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style1.xml" ContentType="application/vnd.ms-office.chartstyle+xml"/>
  <Override PartName="/xl/charts/colors1.xml" ContentType="application/vnd.ms-office.chartcolorstyle+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drawings/drawing10.xml" ContentType="application/vnd.openxmlformats-officedocument.drawing+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drawings/drawing11.xml" ContentType="application/vnd.openxmlformats-officedocument.drawing+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12.xml" ContentType="application/vnd.openxmlformats-officedocument.drawing+xml"/>
  <Override PartName="/xl/charts/chart21.xml" ContentType="application/vnd.openxmlformats-officedocument.drawingml.chart+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harts/chart22.xml" ContentType="application/vnd.openxmlformats-officedocument.drawingml.chart+xml"/>
  <Override PartName="/xl/drawings/drawing16.xml" ContentType="application/vnd.openxmlformats-officedocument.drawing+xml"/>
  <Override PartName="/xl/charts/chart23.xml" ContentType="application/vnd.openxmlformats-officedocument.drawingml.chart+xml"/>
  <Override PartName="/xl/drawings/drawing17.xml" ContentType="application/vnd.openxmlformats-officedocument.drawing+xml"/>
  <Override PartName="/xl/comments3.xml" ContentType="application/vnd.openxmlformats-officedocument.spreadsheetml.comments+xml"/>
  <Override PartName="/xl/charts/chart24.xml" ContentType="application/vnd.openxmlformats-officedocument.drawingml.chart+xml"/>
  <Override PartName="/xl/drawings/drawing18.xml" ContentType="application/vnd.openxmlformats-officedocument.drawing+xml"/>
  <Override PartName="/xl/drawings/drawing19.xml" ContentType="application/vnd.openxmlformats-officedocument.drawing+xml"/>
  <Override PartName="/xl/ctrlProps/ctrlProp4.xml" ContentType="application/vnd.ms-excel.controlproperties+xml"/>
  <Override PartName="/xl/charts/chart25.xml" ContentType="application/vnd.openxmlformats-officedocument.drawingml.chart+xml"/>
  <Override PartName="/xl/charts/style2.xml" ContentType="application/vnd.ms-office.chartstyle+xml"/>
  <Override PartName="/xl/charts/colors2.xml" ContentType="application/vnd.ms-office.chartcolorstyle+xml"/>
  <Override PartName="/xl/charts/chart26.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DieseArbeitsmappe"/>
  <mc:AlternateContent xmlns:mc="http://schemas.openxmlformats.org/markup-compatibility/2006">
    <mc:Choice Requires="x15">
      <x15ac:absPath xmlns:x15ac="http://schemas.microsoft.com/office/spreadsheetml/2010/11/ac" url="D:\Dropbox\@fileswork\@iManagement\"/>
    </mc:Choice>
  </mc:AlternateContent>
  <xr:revisionPtr revIDLastSave="0" documentId="13_ncr:1_{657FDECA-942E-476D-A8B6-756F467AF281}" xr6:coauthVersionLast="47" xr6:coauthVersionMax="47" xr10:uidLastSave="{00000000-0000-0000-0000-000000000000}"/>
  <bookViews>
    <workbookView showSheetTabs="0" xWindow="-108" yWindow="-108" windowWidth="46296" windowHeight="25416" tabRatio="830" firstSheet="1" activeTab="1" xr2:uid="{00000000-000D-0000-FFFF-FFFF00000000}"/>
  </bookViews>
  <sheets>
    <sheet name=" " sheetId="82" state="veryHidden" r:id="rId1"/>
    <sheet name="Projektmgmt" sheetId="44" r:id="rId2"/>
    <sheet name="Projektteam" sheetId="58" r:id="rId3"/>
    <sheet name="Projektauftrag" sheetId="45" r:id="rId4"/>
    <sheet name="Methodik" sheetId="112" r:id="rId5"/>
    <sheet name="Detailplan" sheetId="49" r:id="rId6"/>
    <sheet name="SprintBacklog" sheetId="114" r:id="rId7"/>
    <sheet name="SprintReview" sheetId="115" r:id="rId8"/>
    <sheet name="SprintRetrospective" sheetId="113" r:id="rId9"/>
    <sheet name="Projektabschluss" sheetId="48" r:id="rId10"/>
    <sheet name="Projektbudget" sheetId="84" r:id="rId11"/>
    <sheet name="Stakeholder" sheetId="105" r:id="rId12"/>
    <sheet name="Projektcontrolling" sheetId="94" r:id="rId13"/>
    <sheet name="Kommunikation" sheetId="99" r:id="rId14"/>
    <sheet name="Swot-Analyse" sheetId="92" r:id="rId15"/>
    <sheet name="Risikomgmt" sheetId="88" r:id="rId16"/>
    <sheet name="Machbarkeit" sheetId="90" r:id="rId17"/>
    <sheet name="Kalender" sheetId="96" r:id="rId18"/>
    <sheet name="Logo" sheetId="104" r:id="rId19"/>
  </sheets>
  <externalReferences>
    <externalReference r:id="rId20"/>
  </externalReferences>
  <definedNames>
    <definedName name="_xlnm._FilterDatabase" localSheetId="0" hidden="1">' '!$A$2:$WVL$516</definedName>
    <definedName name="_xlnm._FilterDatabase" localSheetId="5" hidden="1">Detailplan!$B$8:$P$224</definedName>
    <definedName name="_xlnm._FilterDatabase" localSheetId="13" hidden="1">Kommunikation!$C$5:$M$85</definedName>
    <definedName name="_xlnm._FilterDatabase" localSheetId="12" hidden="1">Projektcontrolling!$C$5:$J$89</definedName>
    <definedName name="_xlnm._FilterDatabase" localSheetId="1" hidden="1">Projektmgmt!$D$36:$O$96</definedName>
    <definedName name="_xlnm._FilterDatabase" localSheetId="2" hidden="1">Projektteam!$B$10:$AM$37</definedName>
    <definedName name="_xlnm._FilterDatabase" localSheetId="6" hidden="1">SprintBacklog!$B$8:$P$224</definedName>
    <definedName name="_xlnm._FilterDatabase" localSheetId="14" hidden="1">'Swot-Analyse'!$E$6:$N$47</definedName>
    <definedName name="_Toc343329675" localSheetId="4">Methodik!#REF!</definedName>
    <definedName name="_Toc343329676" localSheetId="4">Methodik!#REF!</definedName>
    <definedName name="_Toc343329677" localSheetId="4">Methodik!#REF!</definedName>
    <definedName name="_Toc343329678" localSheetId="4">Methodik!#REF!</definedName>
    <definedName name="_Toc343329679" localSheetId="4">Methodik!#REF!</definedName>
    <definedName name="_Toc343329680" localSheetId="4">Methodik!#REF!</definedName>
    <definedName name="_Toc343329681" localSheetId="4">Methodik!#REF!</definedName>
    <definedName name="_Toc345954867" localSheetId="4">Methodik!#REF!</definedName>
    <definedName name="_Toc345954868" localSheetId="4">Methodik!#REF!</definedName>
    <definedName name="_Toc345954869" localSheetId="4">Methodik!#REF!</definedName>
    <definedName name="_Toc345954870" localSheetId="4">Methodik!#REF!</definedName>
    <definedName name="_Toc345954871" localSheetId="4">Methodik!#REF!</definedName>
    <definedName name="_Toc345954872" localSheetId="4">Methodik!#REF!</definedName>
    <definedName name="Bars">OFFSET([1]Pareto!$F$7,0,0,COUNT([1]Pareto!$F:$F))</definedName>
    <definedName name="Datum">' '!$W$4</definedName>
    <definedName name="_xlnm.Print_Area" localSheetId="5">Detailplan!$B$1:$P$224</definedName>
    <definedName name="_xlnm.Print_Area" localSheetId="17">Kalender!$B$3:$X$40</definedName>
    <definedName name="_xlnm.Print_Area" localSheetId="13">Kommunikation!$B$1:$M$86</definedName>
    <definedName name="_xlnm.Print_Area" localSheetId="16">Machbarkeit!$A$1:$I$95</definedName>
    <definedName name="_xlnm.Print_Area" localSheetId="4">Methodik!$A$1:$H$38</definedName>
    <definedName name="_xlnm.Print_Area" localSheetId="9">Projektabschluss!$A$1:$L$56</definedName>
    <definedName name="_xlnm.Print_Area" localSheetId="3">Projektauftrag!$A$1:$J$58</definedName>
    <definedName name="_xlnm.Print_Area" localSheetId="10">Projektbudget!$C$1:$DJ$79</definedName>
    <definedName name="_xlnm.Print_Area" localSheetId="12">Projektcontrolling!$B$1:$K$90</definedName>
    <definedName name="_xlnm.Print_Area" localSheetId="1">Projektmgmt!$C$1:$O$96</definedName>
    <definedName name="_xlnm.Print_Area" localSheetId="2">Projektteam!$A$1:$AM$36</definedName>
    <definedName name="_xlnm.Print_Area" localSheetId="15">Risikomgmt!$A$1:$I$53</definedName>
    <definedName name="_xlnm.Print_Area" localSheetId="6">SprintBacklog!$B$1:$P$224</definedName>
    <definedName name="_xlnm.Print_Area" localSheetId="8">SprintRetrospective!$A$1:$L$64</definedName>
    <definedName name="_xlnm.Print_Area" localSheetId="7">SprintReview!$B$1:$F$12</definedName>
    <definedName name="_xlnm.Print_Area" localSheetId="11">Stakeholder!$B$1:$J$76</definedName>
    <definedName name="_xlnm.Print_Area" localSheetId="14">'Swot-Analyse'!$B$1:$Q$78</definedName>
    <definedName name="_xlnm.Print_Titles" localSheetId="5">Detailplan!$7:$7</definedName>
    <definedName name="_xlnm.Print_Titles" localSheetId="16">Machbarkeit!$1:$1</definedName>
    <definedName name="_xlnm.Print_Titles" localSheetId="10">Projektbudget!$1:$2</definedName>
    <definedName name="_xlnm.Print_Titles" localSheetId="12">Projektcontrolling!$4:$4</definedName>
    <definedName name="_xlnm.Print_Titles" localSheetId="1">Projektmgmt!$17:$17</definedName>
    <definedName name="_xlnm.Print_Titles" localSheetId="15">Risikomgmt!$1:$1</definedName>
    <definedName name="_xlnm.Print_Titles" localSheetId="6">SprintBacklog!$7:$7</definedName>
    <definedName name="_xlnm.Print_Titles" localSheetId="7">SprintReview!#REF!</definedName>
    <definedName name="_xlnm.Print_Titles" localSheetId="11">Stakeholder!$1:$1</definedName>
    <definedName name="_xlnm.Print_Titles" localSheetId="14">'Swot-Analyse'!$1:$1</definedName>
    <definedName name="Ersatzprodukte">Machbarkeit!$C$44</definedName>
    <definedName name="graph_2_stakeholder">Stakeholder!$A$77</definedName>
    <definedName name="Graph_Kunden">#REF!</definedName>
    <definedName name="Graph_Risk">Risikomgmt!$A$54</definedName>
    <definedName name="graph_stakeholder">Stakeholder!$A$51</definedName>
    <definedName name="Kunden">Machbarkeit!$C$74</definedName>
    <definedName name="Lieferanten">Machbarkeit!$C$59</definedName>
    <definedName name="Mitbewerber">Machbarkeit!$C$25</definedName>
    <definedName name="Rivalitaet">Machbarkeit!$C$89</definedName>
    <definedName name="Sprachen">' '!$C$3:$F$3</definedName>
    <definedName name="Strategie_1">Projektcontrolling!$C$4</definedName>
    <definedName name="Strategie_2">Projektcontrolling!$C$12</definedName>
    <definedName name="Strategie_3">Projektcontrolling!$C$19</definedName>
    <definedName name="Strategie_4">Projektcontrolling!$C$26</definedName>
    <definedName name="Strategie_5">Projektcontrolling!$C$33</definedName>
    <definedName name="Strategie_6">Projektcontrolling!$C$40</definedName>
    <definedName name="top_2">Machbarkeit!$A$3</definedName>
    <definedName name="top_Porter" localSheetId="13">Kommunikation!$A$2</definedName>
    <definedName name="top_swot" localSheetId="14">'Swot-Analyse'!$A$2</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9" i="49" l="1"/>
  <c r="H10" i="49" s="1"/>
  <c r="H11" i="49" s="1"/>
  <c r="A400" i="82" l="1"/>
  <c r="O13" i="104" s="1"/>
  <c r="A398" i="82"/>
  <c r="O12" i="104" s="1"/>
  <c r="A396" i="82"/>
  <c r="O11" i="104" s="1"/>
  <c r="A394" i="82"/>
  <c r="O10" i="104" s="1"/>
  <c r="A414" i="82"/>
  <c r="A415" i="82"/>
  <c r="A416" i="82"/>
  <c r="A417" i="82"/>
  <c r="A418" i="82"/>
  <c r="A419" i="82"/>
  <c r="A420" i="82"/>
  <c r="A421" i="82"/>
  <c r="A409" i="82"/>
  <c r="O23" i="104" s="1"/>
  <c r="A410" i="82"/>
  <c r="O27" i="104" s="1"/>
  <c r="A411" i="82"/>
  <c r="O31" i="104" s="1"/>
  <c r="A412" i="82"/>
  <c r="O35" i="104" s="1"/>
  <c r="A413" i="82"/>
  <c r="O39" i="104" s="1"/>
  <c r="A422" i="82"/>
  <c r="A391" i="82"/>
  <c r="N3" i="104" s="1"/>
  <c r="D14" i="58"/>
  <c r="D15" i="58"/>
  <c r="D16" i="58"/>
  <c r="D17" i="58"/>
  <c r="D18" i="58"/>
  <c r="D19" i="58"/>
  <c r="D20" i="58"/>
  <c r="D21" i="58"/>
  <c r="D22" i="58"/>
  <c r="D23" i="58"/>
  <c r="D24" i="58"/>
  <c r="D25" i="58"/>
  <c r="D26" i="58"/>
  <c r="D27" i="58"/>
  <c r="D28" i="58"/>
  <c r="D29" i="58"/>
  <c r="D30" i="58"/>
  <c r="D31" i="58"/>
  <c r="D11" i="58"/>
  <c r="D12" i="58"/>
  <c r="D13" i="58"/>
  <c r="C3" i="44"/>
  <c r="B25" i="113"/>
  <c r="B26" i="113"/>
  <c r="B27" i="113"/>
  <c r="B24" i="113"/>
  <c r="B4" i="115"/>
  <c r="B3" i="115"/>
  <c r="W10" i="114"/>
  <c r="W11" i="114"/>
  <c r="W12" i="114"/>
  <c r="W13" i="114"/>
  <c r="W14" i="114"/>
  <c r="W15" i="114"/>
  <c r="W16" i="114"/>
  <c r="W17" i="114"/>
  <c r="W18" i="114"/>
  <c r="W19" i="114"/>
  <c r="W20" i="114"/>
  <c r="W21" i="114"/>
  <c r="W22" i="114"/>
  <c r="W23" i="114"/>
  <c r="W24" i="114"/>
  <c r="W25" i="114"/>
  <c r="W26" i="114"/>
  <c r="W27" i="114"/>
  <c r="W28" i="114"/>
  <c r="W29" i="114"/>
  <c r="W30" i="114"/>
  <c r="W31" i="114"/>
  <c r="W32" i="114"/>
  <c r="W33" i="114"/>
  <c r="W34" i="114"/>
  <c r="W35" i="114"/>
  <c r="W36" i="114"/>
  <c r="W37" i="114"/>
  <c r="W38" i="114"/>
  <c r="W39" i="114"/>
  <c r="W40" i="114"/>
  <c r="W41" i="114"/>
  <c r="W42" i="114"/>
  <c r="W43" i="114"/>
  <c r="W44" i="114"/>
  <c r="W45" i="114"/>
  <c r="W46" i="114"/>
  <c r="W47" i="114"/>
  <c r="W48" i="114"/>
  <c r="W49" i="114"/>
  <c r="W50" i="114"/>
  <c r="W51" i="114"/>
  <c r="W52" i="114"/>
  <c r="W53" i="114"/>
  <c r="W54" i="114"/>
  <c r="W55" i="114"/>
  <c r="W56" i="114"/>
  <c r="W57" i="114"/>
  <c r="W58" i="114"/>
  <c r="W59" i="114"/>
  <c r="W60" i="114"/>
  <c r="W61" i="114"/>
  <c r="W62" i="114"/>
  <c r="W63" i="114"/>
  <c r="W64" i="114"/>
  <c r="W65" i="114"/>
  <c r="W66" i="114"/>
  <c r="W67" i="114"/>
  <c r="W68" i="114"/>
  <c r="W69" i="114"/>
  <c r="W70" i="114"/>
  <c r="W71" i="114"/>
  <c r="W72" i="114"/>
  <c r="W73" i="114"/>
  <c r="W74" i="114"/>
  <c r="W75" i="114"/>
  <c r="W76" i="114"/>
  <c r="W77" i="114"/>
  <c r="W78" i="114"/>
  <c r="W79" i="114"/>
  <c r="W80" i="114"/>
  <c r="W81" i="114"/>
  <c r="W82" i="114"/>
  <c r="W83" i="114"/>
  <c r="W84" i="114"/>
  <c r="W85" i="114"/>
  <c r="W86" i="114"/>
  <c r="W87" i="114"/>
  <c r="W88" i="114"/>
  <c r="W89" i="114"/>
  <c r="W90" i="114"/>
  <c r="W91" i="114"/>
  <c r="W92" i="114"/>
  <c r="W93" i="114"/>
  <c r="W94" i="114"/>
  <c r="W95" i="114"/>
  <c r="W96" i="114"/>
  <c r="W97" i="114"/>
  <c r="W98" i="114"/>
  <c r="W99" i="114"/>
  <c r="W100" i="114"/>
  <c r="W101" i="114"/>
  <c r="W102" i="114"/>
  <c r="W103" i="114"/>
  <c r="W104" i="114"/>
  <c r="W105" i="114"/>
  <c r="W106" i="114"/>
  <c r="W107" i="114"/>
  <c r="W108" i="114"/>
  <c r="W109" i="114"/>
  <c r="W110" i="114"/>
  <c r="W111" i="114"/>
  <c r="W112" i="114"/>
  <c r="W113" i="114"/>
  <c r="W114" i="114"/>
  <c r="W115" i="114"/>
  <c r="W116" i="114"/>
  <c r="W117" i="114"/>
  <c r="W118" i="114"/>
  <c r="W119" i="114"/>
  <c r="W120" i="114"/>
  <c r="W121" i="114"/>
  <c r="W122" i="114"/>
  <c r="W123" i="114"/>
  <c r="W124" i="114"/>
  <c r="W125" i="114"/>
  <c r="W126" i="114"/>
  <c r="W127" i="114"/>
  <c r="W128" i="114"/>
  <c r="W129" i="114"/>
  <c r="W130" i="114"/>
  <c r="W131" i="114"/>
  <c r="W132" i="114"/>
  <c r="W133" i="114"/>
  <c r="W134" i="114"/>
  <c r="W135" i="114"/>
  <c r="W136" i="114"/>
  <c r="W137" i="114"/>
  <c r="W138" i="114"/>
  <c r="W139" i="114"/>
  <c r="W140" i="114"/>
  <c r="W141" i="114"/>
  <c r="W142" i="114"/>
  <c r="W143" i="114"/>
  <c r="W144" i="114"/>
  <c r="W145" i="114"/>
  <c r="W146" i="114"/>
  <c r="W147" i="114"/>
  <c r="W148" i="114"/>
  <c r="W149" i="114"/>
  <c r="W150" i="114"/>
  <c r="W151" i="114"/>
  <c r="W152" i="114"/>
  <c r="W153" i="114"/>
  <c r="W154" i="114"/>
  <c r="W155" i="114"/>
  <c r="W156" i="114"/>
  <c r="W157" i="114"/>
  <c r="W158" i="114"/>
  <c r="W159" i="114"/>
  <c r="W160" i="114"/>
  <c r="W161" i="114"/>
  <c r="W162" i="114"/>
  <c r="W163" i="114"/>
  <c r="W164" i="114"/>
  <c r="W165" i="114"/>
  <c r="W166" i="114"/>
  <c r="W167" i="114"/>
  <c r="W168" i="114"/>
  <c r="W169" i="114"/>
  <c r="W170" i="114"/>
  <c r="W171" i="114"/>
  <c r="W172" i="114"/>
  <c r="W173" i="114"/>
  <c r="W174" i="114"/>
  <c r="W175" i="114"/>
  <c r="W176" i="114"/>
  <c r="W177" i="114"/>
  <c r="W178" i="114"/>
  <c r="W179" i="114"/>
  <c r="W180" i="114"/>
  <c r="W181" i="114"/>
  <c r="W182" i="114"/>
  <c r="W183" i="114"/>
  <c r="W184" i="114"/>
  <c r="W185" i="114"/>
  <c r="W186" i="114"/>
  <c r="W187" i="114"/>
  <c r="W188" i="114"/>
  <c r="W189" i="114"/>
  <c r="W190" i="114"/>
  <c r="W191" i="114"/>
  <c r="W192" i="114"/>
  <c r="W193" i="114"/>
  <c r="W194" i="114"/>
  <c r="W195" i="114"/>
  <c r="W196" i="114"/>
  <c r="W197" i="114"/>
  <c r="W198" i="114"/>
  <c r="W199" i="114"/>
  <c r="W200" i="114"/>
  <c r="W201" i="114"/>
  <c r="W202" i="114"/>
  <c r="W203" i="114"/>
  <c r="W204" i="114"/>
  <c r="W205" i="114"/>
  <c r="W206" i="114"/>
  <c r="W207" i="114"/>
  <c r="W208" i="114"/>
  <c r="W209" i="114"/>
  <c r="W210" i="114"/>
  <c r="W211" i="114"/>
  <c r="W212" i="114"/>
  <c r="W213" i="114"/>
  <c r="W214" i="114"/>
  <c r="W215" i="114"/>
  <c r="W216" i="114"/>
  <c r="W217" i="114"/>
  <c r="W218" i="114"/>
  <c r="W219" i="114"/>
  <c r="W220" i="114"/>
  <c r="W221" i="114"/>
  <c r="W222" i="114"/>
  <c r="W223" i="114"/>
  <c r="W9" i="114"/>
  <c r="H10" i="114"/>
  <c r="J10" i="114" s="1"/>
  <c r="A153" i="82"/>
  <c r="F7" i="114" s="1"/>
  <c r="A154" i="82"/>
  <c r="G7" i="114" s="1"/>
  <c r="A155" i="82"/>
  <c r="B10" i="113" s="1"/>
  <c r="A156" i="82"/>
  <c r="B23" i="113" s="1"/>
  <c r="A157" i="82"/>
  <c r="C7" i="115" s="1"/>
  <c r="A158" i="82"/>
  <c r="D7" i="115" s="1"/>
  <c r="A159" i="82"/>
  <c r="E7" i="115" s="1"/>
  <c r="A160" i="82"/>
  <c r="B7" i="115" s="1"/>
  <c r="A161" i="82"/>
  <c r="A162" i="82"/>
  <c r="B8" i="48" s="1"/>
  <c r="A163" i="82"/>
  <c r="F7" i="115" s="1"/>
  <c r="A164" i="82"/>
  <c r="A165" i="82"/>
  <c r="A166" i="82"/>
  <c r="A167" i="82"/>
  <c r="A152" i="82"/>
  <c r="T223" i="114"/>
  <c r="U223" i="114" s="1"/>
  <c r="S223" i="114"/>
  <c r="O223" i="114"/>
  <c r="A223" i="114"/>
  <c r="T222" i="114"/>
  <c r="U222" i="114" s="1"/>
  <c r="M222" i="114"/>
  <c r="J222" i="114"/>
  <c r="O222" i="114" s="1"/>
  <c r="T221" i="114"/>
  <c r="U221" i="114" s="1"/>
  <c r="P221" i="114" s="1"/>
  <c r="M221" i="114"/>
  <c r="A221" i="114" s="1"/>
  <c r="J221" i="114"/>
  <c r="S221" i="114" s="1"/>
  <c r="T220" i="114"/>
  <c r="M220" i="114"/>
  <c r="A220" i="114" s="1"/>
  <c r="J220" i="114"/>
  <c r="O220" i="114" s="1"/>
  <c r="T219" i="114"/>
  <c r="U219" i="114" s="1"/>
  <c r="M219" i="114"/>
  <c r="A219" i="114" s="1"/>
  <c r="J219" i="114"/>
  <c r="S219" i="114" s="1"/>
  <c r="T218" i="114"/>
  <c r="U218" i="114" s="1"/>
  <c r="P218" i="114" s="1"/>
  <c r="M218" i="114"/>
  <c r="A218" i="114" s="1"/>
  <c r="J218" i="114"/>
  <c r="S218" i="114" s="1"/>
  <c r="T217" i="114"/>
  <c r="M217" i="114"/>
  <c r="A217" i="114" s="1"/>
  <c r="J217" i="114"/>
  <c r="O217" i="114" s="1"/>
  <c r="T216" i="114"/>
  <c r="U216" i="114" s="1"/>
  <c r="M216" i="114"/>
  <c r="A216" i="114" s="1"/>
  <c r="J216" i="114"/>
  <c r="S216" i="114" s="1"/>
  <c r="T215" i="114"/>
  <c r="U215" i="114" s="1"/>
  <c r="P215" i="114" s="1"/>
  <c r="M215" i="114"/>
  <c r="A215" i="114" s="1"/>
  <c r="J215" i="114"/>
  <c r="S215" i="114" s="1"/>
  <c r="T214" i="114"/>
  <c r="M214" i="114"/>
  <c r="A214" i="114" s="1"/>
  <c r="J214" i="114"/>
  <c r="O214" i="114" s="1"/>
  <c r="T213" i="114"/>
  <c r="U213" i="114" s="1"/>
  <c r="M213" i="114"/>
  <c r="A213" i="114" s="1"/>
  <c r="J213" i="114"/>
  <c r="S213" i="114" s="1"/>
  <c r="T212" i="114"/>
  <c r="U212" i="114" s="1"/>
  <c r="P212" i="114" s="1"/>
  <c r="M212" i="114"/>
  <c r="A212" i="114" s="1"/>
  <c r="J212" i="114"/>
  <c r="S212" i="114" s="1"/>
  <c r="T211" i="114"/>
  <c r="M211" i="114"/>
  <c r="A211" i="114" s="1"/>
  <c r="J211" i="114"/>
  <c r="O211" i="114" s="1"/>
  <c r="T210" i="114"/>
  <c r="U210" i="114" s="1"/>
  <c r="M210" i="114"/>
  <c r="A210" i="114" s="1"/>
  <c r="J210" i="114"/>
  <c r="S210" i="114" s="1"/>
  <c r="T209" i="114"/>
  <c r="U209" i="114" s="1"/>
  <c r="P209" i="114" s="1"/>
  <c r="M209" i="114"/>
  <c r="A209" i="114" s="1"/>
  <c r="J209" i="114"/>
  <c r="S209" i="114" s="1"/>
  <c r="T208" i="114"/>
  <c r="M208" i="114"/>
  <c r="A208" i="114" s="1"/>
  <c r="J208" i="114"/>
  <c r="O208" i="114" s="1"/>
  <c r="T207" i="114"/>
  <c r="U207" i="114" s="1"/>
  <c r="M207" i="114"/>
  <c r="A207" i="114" s="1"/>
  <c r="J207" i="114"/>
  <c r="S207" i="114" s="1"/>
  <c r="T206" i="114"/>
  <c r="U206" i="114" s="1"/>
  <c r="P206" i="114" s="1"/>
  <c r="M206" i="114"/>
  <c r="A206" i="114" s="1"/>
  <c r="J206" i="114"/>
  <c r="S206" i="114" s="1"/>
  <c r="T205" i="114"/>
  <c r="M205" i="114"/>
  <c r="A205" i="114" s="1"/>
  <c r="J205" i="114"/>
  <c r="O205" i="114" s="1"/>
  <c r="T204" i="114"/>
  <c r="U204" i="114" s="1"/>
  <c r="M204" i="114"/>
  <c r="A204" i="114" s="1"/>
  <c r="J204" i="114"/>
  <c r="S204" i="114" s="1"/>
  <c r="T203" i="114"/>
  <c r="U203" i="114" s="1"/>
  <c r="P203" i="114" s="1"/>
  <c r="M203" i="114"/>
  <c r="A203" i="114" s="1"/>
  <c r="J203" i="114"/>
  <c r="S203" i="114" s="1"/>
  <c r="T202" i="114"/>
  <c r="M202" i="114"/>
  <c r="A202" i="114" s="1"/>
  <c r="J202" i="114"/>
  <c r="S202" i="114" s="1"/>
  <c r="T201" i="114"/>
  <c r="U201" i="114" s="1"/>
  <c r="M201" i="114"/>
  <c r="A201" i="114" s="1"/>
  <c r="J201" i="114"/>
  <c r="S201" i="114" s="1"/>
  <c r="T200" i="114"/>
  <c r="U200" i="114" s="1"/>
  <c r="P200" i="114" s="1"/>
  <c r="M200" i="114"/>
  <c r="A200" i="114" s="1"/>
  <c r="J200" i="114"/>
  <c r="S200" i="114" s="1"/>
  <c r="T199" i="114"/>
  <c r="M199" i="114"/>
  <c r="A199" i="114" s="1"/>
  <c r="J199" i="114"/>
  <c r="S199" i="114" s="1"/>
  <c r="T198" i="114"/>
  <c r="U198" i="114" s="1"/>
  <c r="M198" i="114"/>
  <c r="A198" i="114" s="1"/>
  <c r="J198" i="114"/>
  <c r="S198" i="114" s="1"/>
  <c r="T197" i="114"/>
  <c r="U197" i="114" s="1"/>
  <c r="P197" i="114" s="1"/>
  <c r="M197" i="114"/>
  <c r="A197" i="114" s="1"/>
  <c r="J197" i="114"/>
  <c r="S197" i="114" s="1"/>
  <c r="T196" i="114"/>
  <c r="M196" i="114"/>
  <c r="A196" i="114" s="1"/>
  <c r="J196" i="114"/>
  <c r="S196" i="114" s="1"/>
  <c r="T195" i="114"/>
  <c r="U195" i="114" s="1"/>
  <c r="M195" i="114"/>
  <c r="A195" i="114" s="1"/>
  <c r="J195" i="114"/>
  <c r="S195" i="114" s="1"/>
  <c r="T194" i="114"/>
  <c r="U194" i="114" s="1"/>
  <c r="P194" i="114" s="1"/>
  <c r="M194" i="114"/>
  <c r="A194" i="114" s="1"/>
  <c r="J194" i="114"/>
  <c r="S194" i="114" s="1"/>
  <c r="T193" i="114"/>
  <c r="M193" i="114"/>
  <c r="A193" i="114" s="1"/>
  <c r="J193" i="114"/>
  <c r="S193" i="114" s="1"/>
  <c r="T192" i="114"/>
  <c r="U192" i="114" s="1"/>
  <c r="M192" i="114"/>
  <c r="A192" i="114" s="1"/>
  <c r="J192" i="114"/>
  <c r="T191" i="114"/>
  <c r="U191" i="114" s="1"/>
  <c r="P191" i="114" s="1"/>
  <c r="M191" i="114"/>
  <c r="A191" i="114" s="1"/>
  <c r="J191" i="114"/>
  <c r="S191" i="114" s="1"/>
  <c r="T190" i="114"/>
  <c r="M190" i="114"/>
  <c r="A190" i="114" s="1"/>
  <c r="J190" i="114"/>
  <c r="S190" i="114" s="1"/>
  <c r="T189" i="114"/>
  <c r="U189" i="114" s="1"/>
  <c r="M189" i="114"/>
  <c r="A189" i="114" s="1"/>
  <c r="J189" i="114"/>
  <c r="T188" i="114"/>
  <c r="U188" i="114" s="1"/>
  <c r="P188" i="114" s="1"/>
  <c r="M188" i="114"/>
  <c r="A188" i="114" s="1"/>
  <c r="J188" i="114"/>
  <c r="S188" i="114" s="1"/>
  <c r="T187" i="114"/>
  <c r="M187" i="114"/>
  <c r="A187" i="114" s="1"/>
  <c r="J187" i="114"/>
  <c r="S187" i="114" s="1"/>
  <c r="T186" i="114"/>
  <c r="U186" i="114" s="1"/>
  <c r="M186" i="114"/>
  <c r="A186" i="114" s="1"/>
  <c r="J186" i="114"/>
  <c r="T185" i="114"/>
  <c r="U185" i="114" s="1"/>
  <c r="P185" i="114" s="1"/>
  <c r="M185" i="114"/>
  <c r="A185" i="114" s="1"/>
  <c r="J185" i="114"/>
  <c r="S185" i="114" s="1"/>
  <c r="T184" i="114"/>
  <c r="M184" i="114"/>
  <c r="A184" i="114" s="1"/>
  <c r="J184" i="114"/>
  <c r="S184" i="114" s="1"/>
  <c r="T183" i="114"/>
  <c r="U183" i="114" s="1"/>
  <c r="M183" i="114"/>
  <c r="A183" i="114" s="1"/>
  <c r="J183" i="114"/>
  <c r="T182" i="114"/>
  <c r="U182" i="114" s="1"/>
  <c r="P182" i="114" s="1"/>
  <c r="M182" i="114"/>
  <c r="A182" i="114" s="1"/>
  <c r="J182" i="114"/>
  <c r="S182" i="114" s="1"/>
  <c r="T181" i="114"/>
  <c r="M181" i="114"/>
  <c r="A181" i="114" s="1"/>
  <c r="J181" i="114"/>
  <c r="S181" i="114" s="1"/>
  <c r="T180" i="114"/>
  <c r="U180" i="114" s="1"/>
  <c r="M180" i="114"/>
  <c r="A180" i="114" s="1"/>
  <c r="J180" i="114"/>
  <c r="T179" i="114"/>
  <c r="U179" i="114" s="1"/>
  <c r="P179" i="114" s="1"/>
  <c r="M179" i="114"/>
  <c r="A179" i="114" s="1"/>
  <c r="J179" i="114"/>
  <c r="S179" i="114" s="1"/>
  <c r="T178" i="114"/>
  <c r="M178" i="114"/>
  <c r="A178" i="114" s="1"/>
  <c r="J178" i="114"/>
  <c r="S178" i="114" s="1"/>
  <c r="T177" i="114"/>
  <c r="M177" i="114"/>
  <c r="A177" i="114" s="1"/>
  <c r="J177" i="114"/>
  <c r="T176" i="114"/>
  <c r="U176" i="114" s="1"/>
  <c r="P176" i="114" s="1"/>
  <c r="M176" i="114"/>
  <c r="A176" i="114" s="1"/>
  <c r="J176" i="114"/>
  <c r="S176" i="114" s="1"/>
  <c r="T175" i="114"/>
  <c r="M175" i="114"/>
  <c r="A175" i="114" s="1"/>
  <c r="J175" i="114"/>
  <c r="S175" i="114" s="1"/>
  <c r="T174" i="114"/>
  <c r="M174" i="114"/>
  <c r="A174" i="114" s="1"/>
  <c r="J174" i="114"/>
  <c r="T173" i="114"/>
  <c r="U173" i="114" s="1"/>
  <c r="M173" i="114"/>
  <c r="A173" i="114" s="1"/>
  <c r="J173" i="114"/>
  <c r="S173" i="114" s="1"/>
  <c r="T172" i="114"/>
  <c r="M172" i="114"/>
  <c r="A172" i="114" s="1"/>
  <c r="J172" i="114"/>
  <c r="S172" i="114" s="1"/>
  <c r="T171" i="114"/>
  <c r="M171" i="114"/>
  <c r="A171" i="114" s="1"/>
  <c r="J171" i="114"/>
  <c r="T170" i="114"/>
  <c r="U170" i="114" s="1"/>
  <c r="P170" i="114" s="1"/>
  <c r="M170" i="114"/>
  <c r="A170" i="114" s="1"/>
  <c r="J170" i="114"/>
  <c r="S170" i="114" s="1"/>
  <c r="T169" i="114"/>
  <c r="M169" i="114"/>
  <c r="A169" i="114" s="1"/>
  <c r="J169" i="114"/>
  <c r="S169" i="114" s="1"/>
  <c r="T168" i="114"/>
  <c r="M168" i="114"/>
  <c r="A168" i="114" s="1"/>
  <c r="J168" i="114"/>
  <c r="T167" i="114"/>
  <c r="U167" i="114" s="1"/>
  <c r="M167" i="114"/>
  <c r="A167" i="114" s="1"/>
  <c r="J167" i="114"/>
  <c r="S167" i="114" s="1"/>
  <c r="T166" i="114"/>
  <c r="M166" i="114"/>
  <c r="A166" i="114" s="1"/>
  <c r="J166" i="114"/>
  <c r="S166" i="114" s="1"/>
  <c r="T165" i="114"/>
  <c r="M165" i="114"/>
  <c r="A165" i="114" s="1"/>
  <c r="J165" i="114"/>
  <c r="T164" i="114"/>
  <c r="U164" i="114" s="1"/>
  <c r="P164" i="114" s="1"/>
  <c r="M164" i="114"/>
  <c r="A164" i="114" s="1"/>
  <c r="J164" i="114"/>
  <c r="S164" i="114" s="1"/>
  <c r="T163" i="114"/>
  <c r="M163" i="114"/>
  <c r="A163" i="114" s="1"/>
  <c r="J163" i="114"/>
  <c r="S163" i="114" s="1"/>
  <c r="T162" i="114"/>
  <c r="M162" i="114"/>
  <c r="A162" i="114" s="1"/>
  <c r="J162" i="114"/>
  <c r="T161" i="114"/>
  <c r="U161" i="114" s="1"/>
  <c r="P161" i="114" s="1"/>
  <c r="M161" i="114"/>
  <c r="A161" i="114" s="1"/>
  <c r="J161" i="114"/>
  <c r="S161" i="114" s="1"/>
  <c r="T160" i="114"/>
  <c r="M160" i="114"/>
  <c r="A160" i="114" s="1"/>
  <c r="J160" i="114"/>
  <c r="O160" i="114" s="1"/>
  <c r="T159" i="114"/>
  <c r="M159" i="114"/>
  <c r="A159" i="114" s="1"/>
  <c r="J159" i="114"/>
  <c r="T158" i="114"/>
  <c r="M158" i="114"/>
  <c r="A158" i="114" s="1"/>
  <c r="J158" i="114"/>
  <c r="S158" i="114" s="1"/>
  <c r="T157" i="114"/>
  <c r="M157" i="114"/>
  <c r="A157" i="114" s="1"/>
  <c r="J157" i="114"/>
  <c r="S157" i="114" s="1"/>
  <c r="T156" i="114"/>
  <c r="M156" i="114"/>
  <c r="A156" i="114" s="1"/>
  <c r="J156" i="114"/>
  <c r="O156" i="114" s="1"/>
  <c r="T155" i="114"/>
  <c r="U155" i="114" s="1"/>
  <c r="M155" i="114"/>
  <c r="A155" i="114" s="1"/>
  <c r="J155" i="114"/>
  <c r="T154" i="114"/>
  <c r="M154" i="114"/>
  <c r="A154" i="114" s="1"/>
  <c r="J154" i="114"/>
  <c r="O154" i="114" s="1"/>
  <c r="T153" i="114"/>
  <c r="M153" i="114"/>
  <c r="A153" i="114" s="1"/>
  <c r="J153" i="114"/>
  <c r="O153" i="114" s="1"/>
  <c r="T152" i="114"/>
  <c r="U152" i="114" s="1"/>
  <c r="P152" i="114" s="1"/>
  <c r="M152" i="114"/>
  <c r="A152" i="114" s="1"/>
  <c r="J152" i="114"/>
  <c r="T151" i="114"/>
  <c r="M151" i="114"/>
  <c r="A151" i="114" s="1"/>
  <c r="J151" i="114"/>
  <c r="O151" i="114" s="1"/>
  <c r="T150" i="114"/>
  <c r="M150" i="114"/>
  <c r="A150" i="114" s="1"/>
  <c r="J150" i="114"/>
  <c r="O150" i="114" s="1"/>
  <c r="T149" i="114"/>
  <c r="U149" i="114" s="1"/>
  <c r="P149" i="114" s="1"/>
  <c r="M149" i="114"/>
  <c r="A149" i="114" s="1"/>
  <c r="J149" i="114"/>
  <c r="T148" i="114"/>
  <c r="M148" i="114"/>
  <c r="A148" i="114" s="1"/>
  <c r="J148" i="114"/>
  <c r="O148" i="114" s="1"/>
  <c r="T147" i="114"/>
  <c r="M147" i="114"/>
  <c r="A147" i="114" s="1"/>
  <c r="J147" i="114"/>
  <c r="O147" i="114" s="1"/>
  <c r="T146" i="114"/>
  <c r="U146" i="114" s="1"/>
  <c r="P146" i="114" s="1"/>
  <c r="M146" i="114"/>
  <c r="A146" i="114" s="1"/>
  <c r="J146" i="114"/>
  <c r="T145" i="114"/>
  <c r="M145" i="114"/>
  <c r="A145" i="114" s="1"/>
  <c r="J145" i="114"/>
  <c r="O145" i="114" s="1"/>
  <c r="T144" i="114"/>
  <c r="M144" i="114"/>
  <c r="A144" i="114" s="1"/>
  <c r="J144" i="114"/>
  <c r="O144" i="114" s="1"/>
  <c r="T143" i="114"/>
  <c r="U143" i="114" s="1"/>
  <c r="M143" i="114"/>
  <c r="A143" i="114" s="1"/>
  <c r="J143" i="114"/>
  <c r="T142" i="114"/>
  <c r="M142" i="114"/>
  <c r="A142" i="114" s="1"/>
  <c r="J142" i="114"/>
  <c r="S142" i="114" s="1"/>
  <c r="T141" i="114"/>
  <c r="M141" i="114"/>
  <c r="A141" i="114" s="1"/>
  <c r="J141" i="114"/>
  <c r="O141" i="114" s="1"/>
  <c r="T140" i="114"/>
  <c r="U140" i="114" s="1"/>
  <c r="M140" i="114"/>
  <c r="A140" i="114" s="1"/>
  <c r="J140" i="114"/>
  <c r="O140" i="114" s="1"/>
  <c r="T139" i="114"/>
  <c r="M139" i="114"/>
  <c r="A139" i="114" s="1"/>
  <c r="J139" i="114"/>
  <c r="S139" i="114" s="1"/>
  <c r="T138" i="114"/>
  <c r="M138" i="114"/>
  <c r="A138" i="114" s="1"/>
  <c r="J138" i="114"/>
  <c r="O138" i="114" s="1"/>
  <c r="T137" i="114"/>
  <c r="U137" i="114" s="1"/>
  <c r="M137" i="114"/>
  <c r="A137" i="114" s="1"/>
  <c r="J137" i="114"/>
  <c r="O137" i="114" s="1"/>
  <c r="T136" i="114"/>
  <c r="M136" i="114"/>
  <c r="A136" i="114" s="1"/>
  <c r="J136" i="114"/>
  <c r="S136" i="114" s="1"/>
  <c r="T135" i="114"/>
  <c r="M135" i="114"/>
  <c r="A135" i="114" s="1"/>
  <c r="J135" i="114"/>
  <c r="O135" i="114" s="1"/>
  <c r="T134" i="114"/>
  <c r="U134" i="114" s="1"/>
  <c r="M134" i="114"/>
  <c r="A134" i="114" s="1"/>
  <c r="J134" i="114"/>
  <c r="O134" i="114" s="1"/>
  <c r="T133" i="114"/>
  <c r="M133" i="114"/>
  <c r="A133" i="114" s="1"/>
  <c r="J133" i="114"/>
  <c r="O133" i="114" s="1"/>
  <c r="T132" i="114"/>
  <c r="M132" i="114"/>
  <c r="A132" i="114" s="1"/>
  <c r="J132" i="114"/>
  <c r="O132" i="114" s="1"/>
  <c r="T131" i="114"/>
  <c r="U131" i="114" s="1"/>
  <c r="P131" i="114" s="1"/>
  <c r="M131" i="114"/>
  <c r="A131" i="114" s="1"/>
  <c r="J131" i="114"/>
  <c r="O131" i="114" s="1"/>
  <c r="T130" i="114"/>
  <c r="M130" i="114"/>
  <c r="A130" i="114" s="1"/>
  <c r="J130" i="114"/>
  <c r="S130" i="114" s="1"/>
  <c r="T129" i="114"/>
  <c r="M129" i="114"/>
  <c r="A129" i="114" s="1"/>
  <c r="J129" i="114"/>
  <c r="O129" i="114" s="1"/>
  <c r="T128" i="114"/>
  <c r="U128" i="114" s="1"/>
  <c r="M128" i="114"/>
  <c r="A128" i="114" s="1"/>
  <c r="J128" i="114"/>
  <c r="O128" i="114" s="1"/>
  <c r="T127" i="114"/>
  <c r="M127" i="114"/>
  <c r="A127" i="114" s="1"/>
  <c r="J127" i="114"/>
  <c r="S127" i="114" s="1"/>
  <c r="T126" i="114"/>
  <c r="M126" i="114"/>
  <c r="A126" i="114" s="1"/>
  <c r="J126" i="114"/>
  <c r="O126" i="114" s="1"/>
  <c r="T125" i="114"/>
  <c r="U125" i="114" s="1"/>
  <c r="M125" i="114"/>
  <c r="A125" i="114" s="1"/>
  <c r="J125" i="114"/>
  <c r="O125" i="114" s="1"/>
  <c r="T124" i="114"/>
  <c r="M124" i="114"/>
  <c r="A124" i="114" s="1"/>
  <c r="J124" i="114"/>
  <c r="O124" i="114" s="1"/>
  <c r="T123" i="114"/>
  <c r="M123" i="114"/>
  <c r="A123" i="114" s="1"/>
  <c r="J123" i="114"/>
  <c r="O123" i="114" s="1"/>
  <c r="T122" i="114"/>
  <c r="U122" i="114" s="1"/>
  <c r="P122" i="114" s="1"/>
  <c r="M122" i="114"/>
  <c r="A122" i="114" s="1"/>
  <c r="J122" i="114"/>
  <c r="O122" i="114" s="1"/>
  <c r="T121" i="114"/>
  <c r="M121" i="114"/>
  <c r="A121" i="114" s="1"/>
  <c r="J121" i="114"/>
  <c r="S121" i="114" s="1"/>
  <c r="T120" i="114"/>
  <c r="M120" i="114"/>
  <c r="A120" i="114" s="1"/>
  <c r="J120" i="114"/>
  <c r="O120" i="114" s="1"/>
  <c r="T119" i="114"/>
  <c r="U119" i="114" s="1"/>
  <c r="M119" i="114"/>
  <c r="A119" i="114" s="1"/>
  <c r="J119" i="114"/>
  <c r="O119" i="114" s="1"/>
  <c r="T118" i="114"/>
  <c r="M118" i="114"/>
  <c r="A118" i="114" s="1"/>
  <c r="J118" i="114"/>
  <c r="S118" i="114" s="1"/>
  <c r="T117" i="114"/>
  <c r="M117" i="114"/>
  <c r="A117" i="114" s="1"/>
  <c r="J117" i="114"/>
  <c r="O117" i="114" s="1"/>
  <c r="T116" i="114"/>
  <c r="U116" i="114" s="1"/>
  <c r="M116" i="114"/>
  <c r="A116" i="114" s="1"/>
  <c r="J116" i="114"/>
  <c r="O116" i="114" s="1"/>
  <c r="T115" i="114"/>
  <c r="M115" i="114"/>
  <c r="A115" i="114" s="1"/>
  <c r="J115" i="114"/>
  <c r="O115" i="114" s="1"/>
  <c r="T114" i="114"/>
  <c r="M114" i="114"/>
  <c r="A114" i="114" s="1"/>
  <c r="J114" i="114"/>
  <c r="O114" i="114" s="1"/>
  <c r="T113" i="114"/>
  <c r="U113" i="114" s="1"/>
  <c r="P113" i="114" s="1"/>
  <c r="M113" i="114"/>
  <c r="A113" i="114" s="1"/>
  <c r="J113" i="114"/>
  <c r="O113" i="114" s="1"/>
  <c r="T112" i="114"/>
  <c r="M112" i="114"/>
  <c r="A112" i="114" s="1"/>
  <c r="J112" i="114"/>
  <c r="S112" i="114" s="1"/>
  <c r="T111" i="114"/>
  <c r="M111" i="114"/>
  <c r="A111" i="114" s="1"/>
  <c r="J111" i="114"/>
  <c r="O111" i="114" s="1"/>
  <c r="T110" i="114"/>
  <c r="U110" i="114" s="1"/>
  <c r="M110" i="114"/>
  <c r="A110" i="114" s="1"/>
  <c r="J110" i="114"/>
  <c r="O110" i="114" s="1"/>
  <c r="T109" i="114"/>
  <c r="M109" i="114"/>
  <c r="A109" i="114" s="1"/>
  <c r="J109" i="114"/>
  <c r="S109" i="114" s="1"/>
  <c r="T108" i="114"/>
  <c r="M108" i="114"/>
  <c r="A108" i="114" s="1"/>
  <c r="J108" i="114"/>
  <c r="O108" i="114" s="1"/>
  <c r="T107" i="114"/>
  <c r="U107" i="114" s="1"/>
  <c r="M107" i="114"/>
  <c r="A107" i="114" s="1"/>
  <c r="J107" i="114"/>
  <c r="O107" i="114" s="1"/>
  <c r="T106" i="114"/>
  <c r="M106" i="114"/>
  <c r="A106" i="114" s="1"/>
  <c r="J106" i="114"/>
  <c r="O106" i="114" s="1"/>
  <c r="T105" i="114"/>
  <c r="M105" i="114"/>
  <c r="A105" i="114" s="1"/>
  <c r="J105" i="114"/>
  <c r="O105" i="114" s="1"/>
  <c r="T104" i="114"/>
  <c r="U104" i="114" s="1"/>
  <c r="P104" i="114" s="1"/>
  <c r="M104" i="114"/>
  <c r="A104" i="114" s="1"/>
  <c r="J104" i="114"/>
  <c r="O104" i="114" s="1"/>
  <c r="T103" i="114"/>
  <c r="M103" i="114"/>
  <c r="A103" i="114" s="1"/>
  <c r="J103" i="114"/>
  <c r="S103" i="114" s="1"/>
  <c r="T102" i="114"/>
  <c r="U102" i="114" s="1"/>
  <c r="M102" i="114"/>
  <c r="A102" i="114" s="1"/>
  <c r="J102" i="114"/>
  <c r="O102" i="114" s="1"/>
  <c r="T101" i="114"/>
  <c r="U101" i="114" s="1"/>
  <c r="M101" i="114"/>
  <c r="A101" i="114" s="1"/>
  <c r="J101" i="114"/>
  <c r="O101" i="114" s="1"/>
  <c r="T100" i="114"/>
  <c r="M100" i="114"/>
  <c r="A100" i="114" s="1"/>
  <c r="J100" i="114"/>
  <c r="S100" i="114" s="1"/>
  <c r="T99" i="114"/>
  <c r="U99" i="114" s="1"/>
  <c r="M99" i="114"/>
  <c r="A99" i="114" s="1"/>
  <c r="J99" i="114"/>
  <c r="O99" i="114" s="1"/>
  <c r="T98" i="114"/>
  <c r="U98" i="114" s="1"/>
  <c r="P98" i="114" s="1"/>
  <c r="M98" i="114"/>
  <c r="A98" i="114" s="1"/>
  <c r="J98" i="114"/>
  <c r="O98" i="114" s="1"/>
  <c r="T97" i="114"/>
  <c r="M97" i="114"/>
  <c r="A97" i="114" s="1"/>
  <c r="J97" i="114"/>
  <c r="O97" i="114" s="1"/>
  <c r="T96" i="114"/>
  <c r="U96" i="114" s="1"/>
  <c r="P96" i="114" s="1"/>
  <c r="M96" i="114"/>
  <c r="A96" i="114" s="1"/>
  <c r="J96" i="114"/>
  <c r="O96" i="114" s="1"/>
  <c r="T95" i="114"/>
  <c r="U95" i="114" s="1"/>
  <c r="P95" i="114" s="1"/>
  <c r="M95" i="114"/>
  <c r="A95" i="114" s="1"/>
  <c r="J95" i="114"/>
  <c r="O95" i="114" s="1"/>
  <c r="T94" i="114"/>
  <c r="U94" i="114" s="1"/>
  <c r="M94" i="114"/>
  <c r="A94" i="114" s="1"/>
  <c r="J94" i="114"/>
  <c r="O94" i="114" s="1"/>
  <c r="T93" i="114"/>
  <c r="M93" i="114"/>
  <c r="A93" i="114" s="1"/>
  <c r="J93" i="114"/>
  <c r="S93" i="114" s="1"/>
  <c r="T92" i="114"/>
  <c r="M92" i="114"/>
  <c r="A92" i="114" s="1"/>
  <c r="J92" i="114"/>
  <c r="O92" i="114" s="1"/>
  <c r="T91" i="114"/>
  <c r="M91" i="114"/>
  <c r="A91" i="114" s="1"/>
  <c r="J91" i="114"/>
  <c r="S91" i="114" s="1"/>
  <c r="T90" i="114"/>
  <c r="U90" i="114" s="1"/>
  <c r="M90" i="114"/>
  <c r="A90" i="114" s="1"/>
  <c r="J90" i="114"/>
  <c r="S90" i="114" s="1"/>
  <c r="T89" i="114"/>
  <c r="U89" i="114" s="1"/>
  <c r="M89" i="114"/>
  <c r="A89" i="114" s="1"/>
  <c r="J89" i="114"/>
  <c r="S89" i="114" s="1"/>
  <c r="T88" i="114"/>
  <c r="U88" i="114" s="1"/>
  <c r="M88" i="114"/>
  <c r="A88" i="114" s="1"/>
  <c r="J88" i="114"/>
  <c r="O88" i="114" s="1"/>
  <c r="T87" i="114"/>
  <c r="M87" i="114"/>
  <c r="A87" i="114" s="1"/>
  <c r="J87" i="114"/>
  <c r="S87" i="114" s="1"/>
  <c r="T86" i="114"/>
  <c r="M86" i="114"/>
  <c r="A86" i="114" s="1"/>
  <c r="J86" i="114"/>
  <c r="O86" i="114" s="1"/>
  <c r="T85" i="114"/>
  <c r="M85" i="114"/>
  <c r="A85" i="114" s="1"/>
  <c r="J85" i="114"/>
  <c r="S85" i="114" s="1"/>
  <c r="T84" i="114"/>
  <c r="M84" i="114"/>
  <c r="A84" i="114" s="1"/>
  <c r="J84" i="114"/>
  <c r="S84" i="114" s="1"/>
  <c r="T83" i="114"/>
  <c r="U83" i="114" s="1"/>
  <c r="M83" i="114"/>
  <c r="A83" i="114" s="1"/>
  <c r="J83" i="114"/>
  <c r="S83" i="114" s="1"/>
  <c r="T82" i="114"/>
  <c r="M82" i="114"/>
  <c r="A82" i="114" s="1"/>
  <c r="J82" i="114"/>
  <c r="O82" i="114" s="1"/>
  <c r="T81" i="114"/>
  <c r="U81" i="114" s="1"/>
  <c r="M81" i="114"/>
  <c r="A81" i="114" s="1"/>
  <c r="J81" i="114"/>
  <c r="S81" i="114" s="1"/>
  <c r="T80" i="114"/>
  <c r="U80" i="114" s="1"/>
  <c r="M80" i="114"/>
  <c r="A80" i="114" s="1"/>
  <c r="J80" i="114"/>
  <c r="O80" i="114" s="1"/>
  <c r="T79" i="114"/>
  <c r="U79" i="114" s="1"/>
  <c r="M79" i="114"/>
  <c r="A79" i="114" s="1"/>
  <c r="J79" i="114"/>
  <c r="S79" i="114" s="1"/>
  <c r="T78" i="114"/>
  <c r="U78" i="114" s="1"/>
  <c r="M78" i="114"/>
  <c r="A78" i="114" s="1"/>
  <c r="J78" i="114"/>
  <c r="S78" i="114" s="1"/>
  <c r="T77" i="114"/>
  <c r="M77" i="114"/>
  <c r="A77" i="114" s="1"/>
  <c r="J77" i="114"/>
  <c r="S77" i="114" s="1"/>
  <c r="T76" i="114"/>
  <c r="U76" i="114" s="1"/>
  <c r="M76" i="114"/>
  <c r="A76" i="114" s="1"/>
  <c r="J76" i="114"/>
  <c r="O76" i="114" s="1"/>
  <c r="T75" i="114"/>
  <c r="U75" i="114" s="1"/>
  <c r="M75" i="114"/>
  <c r="A75" i="114" s="1"/>
  <c r="J75" i="114"/>
  <c r="S75" i="114" s="1"/>
  <c r="T74" i="114"/>
  <c r="U74" i="114" s="1"/>
  <c r="M74" i="114"/>
  <c r="A74" i="114" s="1"/>
  <c r="J74" i="114"/>
  <c r="O74" i="114" s="1"/>
  <c r="T73" i="114"/>
  <c r="U73" i="114" s="1"/>
  <c r="M73" i="114"/>
  <c r="A73" i="114" s="1"/>
  <c r="J73" i="114"/>
  <c r="S73" i="114" s="1"/>
  <c r="T72" i="114"/>
  <c r="U72" i="114" s="1"/>
  <c r="M72" i="114"/>
  <c r="A72" i="114" s="1"/>
  <c r="J72" i="114"/>
  <c r="S72" i="114" s="1"/>
  <c r="T71" i="114"/>
  <c r="U71" i="114" s="1"/>
  <c r="M71" i="114"/>
  <c r="A71" i="114" s="1"/>
  <c r="J71" i="114"/>
  <c r="S71" i="114" s="1"/>
  <c r="T70" i="114"/>
  <c r="U70" i="114" s="1"/>
  <c r="M70" i="114"/>
  <c r="A70" i="114" s="1"/>
  <c r="J70" i="114"/>
  <c r="O70" i="114" s="1"/>
  <c r="T69" i="114"/>
  <c r="U69" i="114" s="1"/>
  <c r="M69" i="114"/>
  <c r="A69" i="114" s="1"/>
  <c r="J69" i="114"/>
  <c r="S69" i="114" s="1"/>
  <c r="T68" i="114"/>
  <c r="U68" i="114" s="1"/>
  <c r="P68" i="114" s="1"/>
  <c r="M68" i="114"/>
  <c r="A68" i="114" s="1"/>
  <c r="J68" i="114"/>
  <c r="O68" i="114" s="1"/>
  <c r="T67" i="114"/>
  <c r="U67" i="114" s="1"/>
  <c r="M67" i="114"/>
  <c r="A67" i="114" s="1"/>
  <c r="J67" i="114"/>
  <c r="S67" i="114" s="1"/>
  <c r="T66" i="114"/>
  <c r="M66" i="114"/>
  <c r="A66" i="114" s="1"/>
  <c r="J66" i="114"/>
  <c r="S66" i="114" s="1"/>
  <c r="T65" i="114"/>
  <c r="U65" i="114" s="1"/>
  <c r="P65" i="114" s="1"/>
  <c r="M65" i="114"/>
  <c r="A65" i="114" s="1"/>
  <c r="J65" i="114"/>
  <c r="S65" i="114" s="1"/>
  <c r="T64" i="114"/>
  <c r="M64" i="114"/>
  <c r="A64" i="114" s="1"/>
  <c r="J64" i="114"/>
  <c r="O64" i="114" s="1"/>
  <c r="T63" i="114"/>
  <c r="M63" i="114"/>
  <c r="A63" i="114" s="1"/>
  <c r="J63" i="114"/>
  <c r="S63" i="114" s="1"/>
  <c r="T62" i="114"/>
  <c r="U62" i="114" s="1"/>
  <c r="P62" i="114" s="1"/>
  <c r="M62" i="114"/>
  <c r="A62" i="114" s="1"/>
  <c r="J62" i="114"/>
  <c r="O62" i="114" s="1"/>
  <c r="T61" i="114"/>
  <c r="M61" i="114"/>
  <c r="A61" i="114" s="1"/>
  <c r="J61" i="114"/>
  <c r="S61" i="114" s="1"/>
  <c r="T60" i="114"/>
  <c r="U60" i="114" s="1"/>
  <c r="M60" i="114"/>
  <c r="A60" i="114" s="1"/>
  <c r="J60" i="114"/>
  <c r="S60" i="114" s="1"/>
  <c r="T59" i="114"/>
  <c r="U59" i="114" s="1"/>
  <c r="P59" i="114" s="1"/>
  <c r="M59" i="114"/>
  <c r="A59" i="114" s="1"/>
  <c r="J59" i="114"/>
  <c r="S59" i="114" s="1"/>
  <c r="T58" i="114"/>
  <c r="U58" i="114" s="1"/>
  <c r="M58" i="114"/>
  <c r="A58" i="114" s="1"/>
  <c r="J58" i="114"/>
  <c r="O58" i="114" s="1"/>
  <c r="T57" i="114"/>
  <c r="M57" i="114"/>
  <c r="A57" i="114" s="1"/>
  <c r="J57" i="114"/>
  <c r="S57" i="114" s="1"/>
  <c r="T56" i="114"/>
  <c r="M56" i="114"/>
  <c r="A56" i="114" s="1"/>
  <c r="J56" i="114"/>
  <c r="O56" i="114" s="1"/>
  <c r="T55" i="114"/>
  <c r="M55" i="114"/>
  <c r="A55" i="114" s="1"/>
  <c r="J55" i="114"/>
  <c r="S55" i="114" s="1"/>
  <c r="T54" i="114"/>
  <c r="U54" i="114" s="1"/>
  <c r="M54" i="114"/>
  <c r="A54" i="114" s="1"/>
  <c r="J54" i="114"/>
  <c r="S54" i="114" s="1"/>
  <c r="T53" i="114"/>
  <c r="U53" i="114" s="1"/>
  <c r="M53" i="114"/>
  <c r="A53" i="114" s="1"/>
  <c r="J53" i="114"/>
  <c r="S53" i="114" s="1"/>
  <c r="T52" i="114"/>
  <c r="U52" i="114" s="1"/>
  <c r="M52" i="114"/>
  <c r="A52" i="114" s="1"/>
  <c r="J52" i="114"/>
  <c r="O52" i="114" s="1"/>
  <c r="T51" i="114"/>
  <c r="M51" i="114"/>
  <c r="A51" i="114" s="1"/>
  <c r="J51" i="114"/>
  <c r="S51" i="114" s="1"/>
  <c r="T50" i="114"/>
  <c r="M50" i="114"/>
  <c r="A50" i="114" s="1"/>
  <c r="J50" i="114"/>
  <c r="O50" i="114" s="1"/>
  <c r="T49" i="114"/>
  <c r="M49" i="114"/>
  <c r="A49" i="114" s="1"/>
  <c r="J49" i="114"/>
  <c r="S49" i="114" s="1"/>
  <c r="T48" i="114"/>
  <c r="M48" i="114"/>
  <c r="A48" i="114" s="1"/>
  <c r="J48" i="114"/>
  <c r="S48" i="114" s="1"/>
  <c r="T47" i="114"/>
  <c r="U47" i="114" s="1"/>
  <c r="M47" i="114"/>
  <c r="A47" i="114" s="1"/>
  <c r="J47" i="114"/>
  <c r="S47" i="114" s="1"/>
  <c r="T46" i="114"/>
  <c r="M46" i="114"/>
  <c r="A46" i="114" s="1"/>
  <c r="J46" i="114"/>
  <c r="O46" i="114" s="1"/>
  <c r="T45" i="114"/>
  <c r="U45" i="114" s="1"/>
  <c r="M45" i="114"/>
  <c r="A45" i="114" s="1"/>
  <c r="J45" i="114"/>
  <c r="S45" i="114" s="1"/>
  <c r="T44" i="114"/>
  <c r="U44" i="114" s="1"/>
  <c r="M44" i="114"/>
  <c r="A44" i="114" s="1"/>
  <c r="J44" i="114"/>
  <c r="O44" i="114" s="1"/>
  <c r="T43" i="114"/>
  <c r="U43" i="114" s="1"/>
  <c r="M43" i="114"/>
  <c r="A43" i="114" s="1"/>
  <c r="J43" i="114"/>
  <c r="S43" i="114" s="1"/>
  <c r="T42" i="114"/>
  <c r="U42" i="114" s="1"/>
  <c r="M42" i="114"/>
  <c r="A42" i="114" s="1"/>
  <c r="J42" i="114"/>
  <c r="S42" i="114" s="1"/>
  <c r="T41" i="114"/>
  <c r="U41" i="114" s="1"/>
  <c r="M41" i="114"/>
  <c r="A41" i="114" s="1"/>
  <c r="J41" i="114"/>
  <c r="S41" i="114" s="1"/>
  <c r="T40" i="114"/>
  <c r="U40" i="114" s="1"/>
  <c r="M40" i="114"/>
  <c r="A40" i="114" s="1"/>
  <c r="J40" i="114"/>
  <c r="O40" i="114" s="1"/>
  <c r="T39" i="114"/>
  <c r="U39" i="114" s="1"/>
  <c r="M39" i="114"/>
  <c r="A39" i="114" s="1"/>
  <c r="J39" i="114"/>
  <c r="S39" i="114" s="1"/>
  <c r="T38" i="114"/>
  <c r="U38" i="114" s="1"/>
  <c r="P38" i="114" s="1"/>
  <c r="M38" i="114"/>
  <c r="A38" i="114" s="1"/>
  <c r="J38" i="114"/>
  <c r="S38" i="114" s="1"/>
  <c r="T37" i="114"/>
  <c r="U37" i="114" s="1"/>
  <c r="M37" i="114"/>
  <c r="A37" i="114" s="1"/>
  <c r="J37" i="114"/>
  <c r="S37" i="114" s="1"/>
  <c r="T36" i="114"/>
  <c r="M36" i="114"/>
  <c r="A36" i="114" s="1"/>
  <c r="J36" i="114"/>
  <c r="S36" i="114" s="1"/>
  <c r="T35" i="114"/>
  <c r="U35" i="114" s="1"/>
  <c r="P35" i="114" s="1"/>
  <c r="M35" i="114"/>
  <c r="A35" i="114" s="1"/>
  <c r="J35" i="114"/>
  <c r="S35" i="114" s="1"/>
  <c r="T34" i="114"/>
  <c r="U34" i="114" s="1"/>
  <c r="M34" i="114"/>
  <c r="A34" i="114" s="1"/>
  <c r="J34" i="114"/>
  <c r="S34" i="114" s="1"/>
  <c r="T33" i="114"/>
  <c r="M33" i="114"/>
  <c r="A33" i="114" s="1"/>
  <c r="J33" i="114"/>
  <c r="S33" i="114" s="1"/>
  <c r="T32" i="114"/>
  <c r="M32" i="114"/>
  <c r="A32" i="114" s="1"/>
  <c r="J32" i="114"/>
  <c r="S32" i="114" s="1"/>
  <c r="T31" i="114"/>
  <c r="U31" i="114" s="1"/>
  <c r="M31" i="114"/>
  <c r="A31" i="114" s="1"/>
  <c r="J31" i="114"/>
  <c r="O31" i="114" s="1"/>
  <c r="T30" i="114"/>
  <c r="U30" i="114" s="1"/>
  <c r="M30" i="114"/>
  <c r="A30" i="114" s="1"/>
  <c r="J30" i="114"/>
  <c r="S30" i="114" s="1"/>
  <c r="T29" i="114"/>
  <c r="U29" i="114" s="1"/>
  <c r="M29" i="114"/>
  <c r="A29" i="114" s="1"/>
  <c r="J29" i="114"/>
  <c r="S29" i="114" s="1"/>
  <c r="T28" i="114"/>
  <c r="U28" i="114" s="1"/>
  <c r="M28" i="114"/>
  <c r="A28" i="114" s="1"/>
  <c r="J28" i="114"/>
  <c r="S28" i="114" s="1"/>
  <c r="T27" i="114"/>
  <c r="U27" i="114" s="1"/>
  <c r="M27" i="114"/>
  <c r="A27" i="114" s="1"/>
  <c r="J27" i="114"/>
  <c r="S27" i="114" s="1"/>
  <c r="T26" i="114"/>
  <c r="M26" i="114"/>
  <c r="A26" i="114" s="1"/>
  <c r="J26" i="114"/>
  <c r="S26" i="114" s="1"/>
  <c r="T25" i="114"/>
  <c r="U25" i="114" s="1"/>
  <c r="M25" i="114"/>
  <c r="A25" i="114" s="1"/>
  <c r="J25" i="114"/>
  <c r="O25" i="114" s="1"/>
  <c r="T24" i="114"/>
  <c r="U24" i="114" s="1"/>
  <c r="M24" i="114"/>
  <c r="A24" i="114" s="1"/>
  <c r="J24" i="114"/>
  <c r="S24" i="114" s="1"/>
  <c r="T23" i="114"/>
  <c r="U23" i="114" s="1"/>
  <c r="P23" i="114" s="1"/>
  <c r="M23" i="114"/>
  <c r="A23" i="114" s="1"/>
  <c r="J23" i="114"/>
  <c r="S23" i="114" s="1"/>
  <c r="T22" i="114"/>
  <c r="U22" i="114" s="1"/>
  <c r="M22" i="114"/>
  <c r="A22" i="114" s="1"/>
  <c r="J22" i="114"/>
  <c r="O22" i="114" s="1"/>
  <c r="T21" i="114"/>
  <c r="U21" i="114" s="1"/>
  <c r="M21" i="114"/>
  <c r="A21" i="114" s="1"/>
  <c r="J21" i="114"/>
  <c r="S21" i="114" s="1"/>
  <c r="T20" i="114"/>
  <c r="U20" i="114" s="1"/>
  <c r="P20" i="114" s="1"/>
  <c r="M20" i="114"/>
  <c r="A20" i="114" s="1"/>
  <c r="J20" i="114"/>
  <c r="S20" i="114" s="1"/>
  <c r="T19" i="114"/>
  <c r="U19" i="114" s="1"/>
  <c r="M19" i="114"/>
  <c r="A19" i="114" s="1"/>
  <c r="J19" i="114"/>
  <c r="S19" i="114" s="1"/>
  <c r="T18" i="114"/>
  <c r="U18" i="114" s="1"/>
  <c r="M18" i="114"/>
  <c r="A18" i="114" s="1"/>
  <c r="J18" i="114"/>
  <c r="S18" i="114" s="1"/>
  <c r="T17" i="114"/>
  <c r="U17" i="114" s="1"/>
  <c r="P17" i="114" s="1"/>
  <c r="M17" i="114"/>
  <c r="A17" i="114" s="1"/>
  <c r="J17" i="114"/>
  <c r="O17" i="114" s="1"/>
  <c r="T16" i="114"/>
  <c r="U16" i="114" s="1"/>
  <c r="M16" i="114"/>
  <c r="A16" i="114" s="1"/>
  <c r="J16" i="114"/>
  <c r="O16" i="114" s="1"/>
  <c r="T15" i="114"/>
  <c r="M15" i="114"/>
  <c r="A15" i="114" s="1"/>
  <c r="J15" i="114"/>
  <c r="S15" i="114" s="1"/>
  <c r="T14" i="114"/>
  <c r="U14" i="114" s="1"/>
  <c r="P14" i="114" s="1"/>
  <c r="M14" i="114"/>
  <c r="A14" i="114" s="1"/>
  <c r="J14" i="114"/>
  <c r="S14" i="114" s="1"/>
  <c r="T13" i="114"/>
  <c r="U13" i="114" s="1"/>
  <c r="M13" i="114"/>
  <c r="A13" i="114" s="1"/>
  <c r="J13" i="114"/>
  <c r="O13" i="114" s="1"/>
  <c r="T12" i="114"/>
  <c r="U12" i="114" s="1"/>
  <c r="M12" i="114"/>
  <c r="A12" i="114" s="1"/>
  <c r="J12" i="114"/>
  <c r="S12" i="114" s="1"/>
  <c r="A11" i="114"/>
  <c r="H11" i="114"/>
  <c r="A10" i="114"/>
  <c r="H9" i="114"/>
  <c r="A9" i="114"/>
  <c r="B4" i="114"/>
  <c r="B3" i="114"/>
  <c r="L56" i="113"/>
  <c r="J56" i="113"/>
  <c r="H56" i="113"/>
  <c r="P5" i="113"/>
  <c r="N5" i="113"/>
  <c r="P4" i="113"/>
  <c r="N4" i="113"/>
  <c r="L4" i="113"/>
  <c r="H4" i="113"/>
  <c r="D4" i="113"/>
  <c r="P3" i="113"/>
  <c r="N3" i="113"/>
  <c r="D3" i="113"/>
  <c r="E7" i="114" l="1"/>
  <c r="D7" i="114"/>
  <c r="S222" i="114"/>
  <c r="O6" i="113"/>
  <c r="P9" i="113" s="1"/>
  <c r="P11" i="113" s="1"/>
  <c r="O59" i="114"/>
  <c r="S17" i="114"/>
  <c r="S76" i="114"/>
  <c r="T10" i="114"/>
  <c r="S153" i="114"/>
  <c r="S148" i="114"/>
  <c r="S16" i="114"/>
  <c r="O109" i="114"/>
  <c r="O47" i="114"/>
  <c r="O71" i="114"/>
  <c r="S52" i="114"/>
  <c r="O83" i="114"/>
  <c r="O157" i="114"/>
  <c r="S95" i="114"/>
  <c r="O34" i="114"/>
  <c r="S135" i="114"/>
  <c r="S220" i="114"/>
  <c r="S217" i="114"/>
  <c r="S22" i="114"/>
  <c r="S160" i="114"/>
  <c r="S46" i="114"/>
  <c r="S70" i="114"/>
  <c r="S94" i="114"/>
  <c r="O67" i="114"/>
  <c r="O91" i="114"/>
  <c r="S125" i="114"/>
  <c r="S132" i="114"/>
  <c r="O43" i="114"/>
  <c r="S50" i="114"/>
  <c r="S74" i="114"/>
  <c r="S40" i="114"/>
  <c r="S64" i="114"/>
  <c r="S88" i="114"/>
  <c r="O136" i="114"/>
  <c r="S151" i="114"/>
  <c r="S58" i="114"/>
  <c r="S82" i="114"/>
  <c r="O130" i="114"/>
  <c r="O38" i="114"/>
  <c r="O55" i="114"/>
  <c r="O79" i="114"/>
  <c r="S141" i="114"/>
  <c r="S214" i="114"/>
  <c r="O35" i="114"/>
  <c r="S62" i="114"/>
  <c r="S86" i="114"/>
  <c r="S108" i="114"/>
  <c r="O127" i="114"/>
  <c r="O163" i="114"/>
  <c r="S25" i="114"/>
  <c r="S44" i="114"/>
  <c r="S56" i="114"/>
  <c r="S68" i="114"/>
  <c r="S80" i="114"/>
  <c r="S92" i="114"/>
  <c r="S116" i="114"/>
  <c r="S99" i="114"/>
  <c r="S106" i="114"/>
  <c r="S124" i="114"/>
  <c r="S145" i="114"/>
  <c r="O29" i="114"/>
  <c r="T9" i="114"/>
  <c r="O26" i="114"/>
  <c r="O45" i="114"/>
  <c r="O57" i="114"/>
  <c r="O69" i="114"/>
  <c r="O81" i="114"/>
  <c r="O93" i="114"/>
  <c r="O169" i="114"/>
  <c r="O172" i="114"/>
  <c r="O175" i="114"/>
  <c r="O178" i="114"/>
  <c r="O181" i="114"/>
  <c r="O184" i="114"/>
  <c r="O187" i="114"/>
  <c r="O190" i="114"/>
  <c r="O193" i="114"/>
  <c r="O196" i="114"/>
  <c r="O199" i="114"/>
  <c r="O202" i="114"/>
  <c r="S205" i="114"/>
  <c r="O20" i="114"/>
  <c r="O51" i="114"/>
  <c r="O63" i="114"/>
  <c r="O75" i="114"/>
  <c r="O87" i="114"/>
  <c r="O121" i="114"/>
  <c r="O166" i="114"/>
  <c r="S13" i="114"/>
  <c r="O49" i="114"/>
  <c r="O61" i="114"/>
  <c r="O73" i="114"/>
  <c r="O85" i="114"/>
  <c r="S97" i="114"/>
  <c r="S150" i="114"/>
  <c r="S31" i="114"/>
  <c r="S105" i="114"/>
  <c r="S133" i="114"/>
  <c r="S154" i="114"/>
  <c r="O19" i="114"/>
  <c r="O37" i="114"/>
  <c r="O42" i="114"/>
  <c r="O54" i="114"/>
  <c r="O66" i="114"/>
  <c r="O78" i="114"/>
  <c r="O90" i="114"/>
  <c r="S101" i="114"/>
  <c r="S107" i="114"/>
  <c r="S123" i="114"/>
  <c r="S126" i="114"/>
  <c r="O32" i="114"/>
  <c r="O142" i="114"/>
  <c r="O14" i="114"/>
  <c r="S114" i="114"/>
  <c r="S117" i="114"/>
  <c r="O139" i="114"/>
  <c r="O28" i="114"/>
  <c r="O48" i="114"/>
  <c r="O60" i="114"/>
  <c r="O72" i="114"/>
  <c r="O84" i="114"/>
  <c r="S115" i="114"/>
  <c r="S211" i="114"/>
  <c r="O23" i="114"/>
  <c r="O41" i="114"/>
  <c r="O53" i="114"/>
  <c r="O65" i="114"/>
  <c r="O77" i="114"/>
  <c r="O89" i="114"/>
  <c r="O103" i="114"/>
  <c r="O112" i="114"/>
  <c r="O118" i="114"/>
  <c r="S134" i="114"/>
  <c r="S208" i="114"/>
  <c r="P41" i="114"/>
  <c r="U77" i="114"/>
  <c r="P77" i="114" s="1"/>
  <c r="T11" i="114"/>
  <c r="P74" i="114"/>
  <c r="P71" i="114"/>
  <c r="P24" i="114"/>
  <c r="U32" i="114"/>
  <c r="P32" i="114" s="1"/>
  <c r="U50" i="114"/>
  <c r="P50" i="114" s="1"/>
  <c r="P73" i="114"/>
  <c r="P75" i="114"/>
  <c r="U86" i="114"/>
  <c r="P86" i="114" s="1"/>
  <c r="P102" i="114"/>
  <c r="P134" i="114"/>
  <c r="P155" i="114"/>
  <c r="P18" i="114"/>
  <c r="U26" i="114"/>
  <c r="P26" i="114" s="1"/>
  <c r="P43" i="114"/>
  <c r="P45" i="114"/>
  <c r="P47" i="114"/>
  <c r="U56" i="114"/>
  <c r="P56" i="114" s="1"/>
  <c r="P79" i="114"/>
  <c r="P81" i="114"/>
  <c r="P83" i="114"/>
  <c r="U92" i="114"/>
  <c r="P92" i="114" s="1"/>
  <c r="P58" i="114"/>
  <c r="P12" i="114"/>
  <c r="P29" i="114"/>
  <c r="U33" i="114"/>
  <c r="P33" i="114" s="1"/>
  <c r="P53" i="114"/>
  <c r="U64" i="114"/>
  <c r="P64" i="114" s="1"/>
  <c r="U66" i="114"/>
  <c r="P66" i="114" s="1"/>
  <c r="P89" i="114"/>
  <c r="P27" i="114"/>
  <c r="U49" i="114"/>
  <c r="P49" i="114" s="1"/>
  <c r="U51" i="114"/>
  <c r="P51" i="114" s="1"/>
  <c r="P70" i="114"/>
  <c r="P72" i="114"/>
  <c r="U85" i="114"/>
  <c r="P85" i="114" s="1"/>
  <c r="U87" i="114"/>
  <c r="P87" i="114" s="1"/>
  <c r="P101" i="114"/>
  <c r="J9" i="114"/>
  <c r="O9" i="114" s="1"/>
  <c r="P21" i="114"/>
  <c r="P42" i="114"/>
  <c r="P44" i="114"/>
  <c r="U55" i="114"/>
  <c r="P55" i="114" s="1"/>
  <c r="U57" i="114"/>
  <c r="P57" i="114" s="1"/>
  <c r="P76" i="114"/>
  <c r="P78" i="114"/>
  <c r="P80" i="114"/>
  <c r="U91" i="114"/>
  <c r="P91" i="114" s="1"/>
  <c r="U93" i="114"/>
  <c r="P93" i="114" s="1"/>
  <c r="P39" i="114"/>
  <c r="P60" i="114"/>
  <c r="U36" i="114"/>
  <c r="P36" i="114" s="1"/>
  <c r="U61" i="114"/>
  <c r="P61" i="114" s="1"/>
  <c r="U63" i="114"/>
  <c r="P63" i="114" s="1"/>
  <c r="P99" i="114"/>
  <c r="U15" i="114"/>
  <c r="P15" i="114" s="1"/>
  <c r="P30" i="114"/>
  <c r="U46" i="114"/>
  <c r="P46" i="114" s="1"/>
  <c r="U48" i="114"/>
  <c r="P48" i="114" s="1"/>
  <c r="P67" i="114"/>
  <c r="P69" i="114"/>
  <c r="U82" i="114"/>
  <c r="P82" i="114" s="1"/>
  <c r="U84" i="114"/>
  <c r="P84" i="114" s="1"/>
  <c r="P94" i="114"/>
  <c r="P52" i="114"/>
  <c r="P54" i="114"/>
  <c r="P88" i="114"/>
  <c r="P90" i="114"/>
  <c r="P107" i="114"/>
  <c r="P116" i="114"/>
  <c r="P125" i="114"/>
  <c r="P140" i="114"/>
  <c r="P167" i="114"/>
  <c r="O10" i="114"/>
  <c r="U97" i="114"/>
  <c r="P97" i="114" s="1"/>
  <c r="U103" i="114"/>
  <c r="P103" i="114" s="1"/>
  <c r="P110" i="114"/>
  <c r="P119" i="114"/>
  <c r="P128" i="114"/>
  <c r="P137" i="114"/>
  <c r="S149" i="114"/>
  <c r="O149" i="114"/>
  <c r="U163" i="114"/>
  <c r="P163" i="114" s="1"/>
  <c r="U171" i="114"/>
  <c r="P171" i="114" s="1"/>
  <c r="S174" i="114"/>
  <c r="O174" i="114"/>
  <c r="U187" i="114"/>
  <c r="P187" i="114" s="1"/>
  <c r="U217" i="114"/>
  <c r="P217" i="114" s="1"/>
  <c r="J11" i="114"/>
  <c r="S110" i="114"/>
  <c r="U112" i="114"/>
  <c r="P112" i="114" s="1"/>
  <c r="S119" i="114"/>
  <c r="U121" i="114"/>
  <c r="P121" i="114" s="1"/>
  <c r="S128" i="114"/>
  <c r="U130" i="114"/>
  <c r="P130" i="114" s="1"/>
  <c r="S137" i="114"/>
  <c r="U139" i="114"/>
  <c r="P139" i="114" s="1"/>
  <c r="S144" i="114"/>
  <c r="S156" i="114"/>
  <c r="U158" i="114"/>
  <c r="P158" i="114" s="1"/>
  <c r="S177" i="114"/>
  <c r="O177" i="114"/>
  <c r="U190" i="114"/>
  <c r="P190" i="114" s="1"/>
  <c r="U214" i="114"/>
  <c r="P214" i="114" s="1"/>
  <c r="U144" i="114"/>
  <c r="P144" i="114" s="1"/>
  <c r="U151" i="114"/>
  <c r="P151" i="114" s="1"/>
  <c r="U156" i="114"/>
  <c r="P156" i="114" s="1"/>
  <c r="S159" i="114"/>
  <c r="O159" i="114"/>
  <c r="U166" i="114"/>
  <c r="P166" i="114" s="1"/>
  <c r="U174" i="114"/>
  <c r="P174" i="114" s="1"/>
  <c r="S180" i="114"/>
  <c r="O180" i="114"/>
  <c r="U193" i="114"/>
  <c r="P193" i="114" s="1"/>
  <c r="U211" i="114"/>
  <c r="P211" i="114" s="1"/>
  <c r="P13" i="114"/>
  <c r="P16" i="114"/>
  <c r="P19" i="114"/>
  <c r="P22" i="114"/>
  <c r="P25" i="114"/>
  <c r="P28" i="114"/>
  <c r="P31" i="114"/>
  <c r="P34" i="114"/>
  <c r="P37" i="114"/>
  <c r="P40" i="114"/>
  <c r="U108" i="114"/>
  <c r="P108" i="114" s="1"/>
  <c r="U117" i="114"/>
  <c r="P117" i="114" s="1"/>
  <c r="U126" i="114"/>
  <c r="P126" i="114" s="1"/>
  <c r="U135" i="114"/>
  <c r="P135" i="114" s="1"/>
  <c r="S152" i="114"/>
  <c r="O152" i="114"/>
  <c r="U177" i="114"/>
  <c r="P177" i="114" s="1"/>
  <c r="S183" i="114"/>
  <c r="O183" i="114"/>
  <c r="U196" i="114"/>
  <c r="P196" i="114" s="1"/>
  <c r="U208" i="114"/>
  <c r="P208" i="114" s="1"/>
  <c r="O100" i="114"/>
  <c r="S147" i="114"/>
  <c r="U159" i="114"/>
  <c r="P159" i="114" s="1"/>
  <c r="S162" i="114"/>
  <c r="O162" i="114"/>
  <c r="U169" i="114"/>
  <c r="P169" i="114" s="1"/>
  <c r="S186" i="114"/>
  <c r="O186" i="114"/>
  <c r="U199" i="114"/>
  <c r="P199" i="114" s="1"/>
  <c r="U205" i="114"/>
  <c r="P205" i="114" s="1"/>
  <c r="S96" i="114"/>
  <c r="S98" i="114"/>
  <c r="S102" i="114"/>
  <c r="S104" i="114"/>
  <c r="U106" i="114"/>
  <c r="P106" i="114" s="1"/>
  <c r="S113" i="114"/>
  <c r="U115" i="114"/>
  <c r="P115" i="114" s="1"/>
  <c r="S122" i="114"/>
  <c r="U124" i="114"/>
  <c r="P124" i="114" s="1"/>
  <c r="S131" i="114"/>
  <c r="U133" i="114"/>
  <c r="P133" i="114" s="1"/>
  <c r="S140" i="114"/>
  <c r="U142" i="114"/>
  <c r="P142" i="114" s="1"/>
  <c r="U147" i="114"/>
  <c r="P147" i="114" s="1"/>
  <c r="U154" i="114"/>
  <c r="P154" i="114" s="1"/>
  <c r="S189" i="114"/>
  <c r="O189" i="114"/>
  <c r="U202" i="114"/>
  <c r="P202" i="114" s="1"/>
  <c r="O12" i="114"/>
  <c r="O30" i="114"/>
  <c r="O33" i="114"/>
  <c r="O39" i="114"/>
  <c r="U100" i="114"/>
  <c r="P100" i="114" s="1"/>
  <c r="S111" i="114"/>
  <c r="S120" i="114"/>
  <c r="S129" i="114"/>
  <c r="S138" i="114"/>
  <c r="S143" i="114"/>
  <c r="O143" i="114"/>
  <c r="S155" i="114"/>
  <c r="O155" i="114"/>
  <c r="U162" i="114"/>
  <c r="P162" i="114" s="1"/>
  <c r="S165" i="114"/>
  <c r="O165" i="114"/>
  <c r="U172" i="114"/>
  <c r="P172" i="114" s="1"/>
  <c r="S192" i="114"/>
  <c r="O192" i="114"/>
  <c r="O15" i="114"/>
  <c r="O24" i="114"/>
  <c r="U111" i="114"/>
  <c r="P111" i="114" s="1"/>
  <c r="U120" i="114"/>
  <c r="P120" i="114" s="1"/>
  <c r="U129" i="114"/>
  <c r="P129" i="114" s="1"/>
  <c r="U138" i="114"/>
  <c r="P138" i="114" s="1"/>
  <c r="O18" i="114"/>
  <c r="O21" i="114"/>
  <c r="O27" i="114"/>
  <c r="O36" i="114"/>
  <c r="P143" i="114"/>
  <c r="U145" i="114"/>
  <c r="P145" i="114" s="1"/>
  <c r="U150" i="114"/>
  <c r="P150" i="114" s="1"/>
  <c r="U157" i="114"/>
  <c r="P157" i="114" s="1"/>
  <c r="U165" i="114"/>
  <c r="P165" i="114" s="1"/>
  <c r="S168" i="114"/>
  <c r="O168" i="114"/>
  <c r="U175" i="114"/>
  <c r="P175" i="114" s="1"/>
  <c r="U109" i="114"/>
  <c r="P109" i="114" s="1"/>
  <c r="U118" i="114"/>
  <c r="P118" i="114" s="1"/>
  <c r="U127" i="114"/>
  <c r="P127" i="114" s="1"/>
  <c r="U136" i="114"/>
  <c r="P136" i="114" s="1"/>
  <c r="S146" i="114"/>
  <c r="O146" i="114"/>
  <c r="P173" i="114"/>
  <c r="U178" i="114"/>
  <c r="P178" i="114" s="1"/>
  <c r="U160" i="114"/>
  <c r="P160" i="114" s="1"/>
  <c r="U168" i="114"/>
  <c r="P168" i="114" s="1"/>
  <c r="S171" i="114"/>
  <c r="O171" i="114"/>
  <c r="U181" i="114"/>
  <c r="P181" i="114" s="1"/>
  <c r="U105" i="114"/>
  <c r="P105" i="114" s="1"/>
  <c r="U114" i="114"/>
  <c r="P114" i="114" s="1"/>
  <c r="U123" i="114"/>
  <c r="P123" i="114" s="1"/>
  <c r="U132" i="114"/>
  <c r="P132" i="114" s="1"/>
  <c r="U141" i="114"/>
  <c r="P141" i="114" s="1"/>
  <c r="U148" i="114"/>
  <c r="P148" i="114" s="1"/>
  <c r="U153" i="114"/>
  <c r="P153" i="114" s="1"/>
  <c r="U184" i="114"/>
  <c r="P184" i="114" s="1"/>
  <c r="U220" i="114"/>
  <c r="P220" i="114" s="1"/>
  <c r="O195" i="114"/>
  <c r="O198" i="114"/>
  <c r="O201" i="114"/>
  <c r="O204" i="114"/>
  <c r="O207" i="114"/>
  <c r="O210" i="114"/>
  <c r="O213" i="114"/>
  <c r="O216" i="114"/>
  <c r="O219" i="114"/>
  <c r="P222" i="114"/>
  <c r="P180" i="114"/>
  <c r="P183" i="114"/>
  <c r="P186" i="114"/>
  <c r="P189" i="114"/>
  <c r="P192" i="114"/>
  <c r="P195" i="114"/>
  <c r="P198" i="114"/>
  <c r="P201" i="114"/>
  <c r="P204" i="114"/>
  <c r="P207" i="114"/>
  <c r="P210" i="114"/>
  <c r="P213" i="114"/>
  <c r="P216" i="114"/>
  <c r="P219" i="114"/>
  <c r="O158" i="114"/>
  <c r="O161" i="114"/>
  <c r="O164" i="114"/>
  <c r="O167" i="114"/>
  <c r="O170" i="114"/>
  <c r="O173" i="114"/>
  <c r="O176" i="114"/>
  <c r="O179" i="114"/>
  <c r="O182" i="114"/>
  <c r="O185" i="114"/>
  <c r="O188" i="114"/>
  <c r="O191" i="114"/>
  <c r="O194" i="114"/>
  <c r="O197" i="114"/>
  <c r="O200" i="114"/>
  <c r="O203" i="114"/>
  <c r="O206" i="114"/>
  <c r="O209" i="114"/>
  <c r="O212" i="114"/>
  <c r="O215" i="114"/>
  <c r="O218" i="114"/>
  <c r="O221" i="114"/>
  <c r="P223" i="114"/>
  <c r="T11" i="49"/>
  <c r="S223" i="49"/>
  <c r="T12" i="49"/>
  <c r="T13" i="49"/>
  <c r="T14" i="49"/>
  <c r="T15" i="49"/>
  <c r="T16" i="49"/>
  <c r="T17" i="49"/>
  <c r="T18" i="49"/>
  <c r="T19" i="49"/>
  <c r="T20" i="49"/>
  <c r="T21" i="49"/>
  <c r="T22" i="49"/>
  <c r="T23" i="49"/>
  <c r="T24" i="49"/>
  <c r="T25" i="49"/>
  <c r="T26" i="49"/>
  <c r="T27" i="49"/>
  <c r="T28" i="49"/>
  <c r="T29" i="49"/>
  <c r="T30" i="49"/>
  <c r="T31" i="49"/>
  <c r="T32" i="49"/>
  <c r="T33" i="49"/>
  <c r="T34" i="49"/>
  <c r="T35" i="49"/>
  <c r="T36" i="49"/>
  <c r="T37" i="49"/>
  <c r="T38" i="49"/>
  <c r="T39" i="49"/>
  <c r="T40" i="49"/>
  <c r="T41" i="49"/>
  <c r="T42" i="49"/>
  <c r="T43" i="49"/>
  <c r="T44" i="49"/>
  <c r="T45" i="49"/>
  <c r="T46" i="49"/>
  <c r="T47" i="49"/>
  <c r="T48" i="49"/>
  <c r="T49" i="49"/>
  <c r="T50" i="49"/>
  <c r="T51" i="49"/>
  <c r="T52" i="49"/>
  <c r="T53" i="49"/>
  <c r="T54" i="49"/>
  <c r="T55" i="49"/>
  <c r="T56" i="49"/>
  <c r="T57" i="49"/>
  <c r="T58" i="49"/>
  <c r="T59" i="49"/>
  <c r="T60" i="49"/>
  <c r="T61" i="49"/>
  <c r="T62" i="49"/>
  <c r="T63" i="49"/>
  <c r="T64" i="49"/>
  <c r="T65" i="49"/>
  <c r="T66" i="49"/>
  <c r="T67" i="49"/>
  <c r="T68" i="49"/>
  <c r="T69" i="49"/>
  <c r="T70" i="49"/>
  <c r="T71" i="49"/>
  <c r="T72" i="49"/>
  <c r="T73" i="49"/>
  <c r="T74" i="49"/>
  <c r="T75" i="49"/>
  <c r="T76" i="49"/>
  <c r="T77" i="49"/>
  <c r="T78" i="49"/>
  <c r="T79" i="49"/>
  <c r="T80" i="49"/>
  <c r="T81" i="49"/>
  <c r="T82" i="49"/>
  <c r="T83" i="49"/>
  <c r="T84" i="49"/>
  <c r="T85" i="49"/>
  <c r="T86" i="49"/>
  <c r="T87" i="49"/>
  <c r="T88" i="49"/>
  <c r="T89" i="49"/>
  <c r="T90" i="49"/>
  <c r="T91" i="49"/>
  <c r="T92" i="49"/>
  <c r="T93" i="49"/>
  <c r="T94" i="49"/>
  <c r="T95" i="49"/>
  <c r="T96" i="49"/>
  <c r="T97" i="49"/>
  <c r="T98" i="49"/>
  <c r="T99" i="49"/>
  <c r="T100" i="49"/>
  <c r="T101" i="49"/>
  <c r="T102" i="49"/>
  <c r="T103" i="49"/>
  <c r="T104" i="49"/>
  <c r="T105" i="49"/>
  <c r="T106" i="49"/>
  <c r="T107" i="49"/>
  <c r="T108" i="49"/>
  <c r="T109" i="49"/>
  <c r="T110" i="49"/>
  <c r="T111" i="49"/>
  <c r="T112" i="49"/>
  <c r="T113" i="49"/>
  <c r="T114" i="49"/>
  <c r="T115" i="49"/>
  <c r="T116" i="49"/>
  <c r="T117" i="49"/>
  <c r="T118" i="49"/>
  <c r="T119" i="49"/>
  <c r="T120" i="49"/>
  <c r="T121" i="49"/>
  <c r="T122" i="49"/>
  <c r="T123" i="49"/>
  <c r="T124" i="49"/>
  <c r="T125" i="49"/>
  <c r="T126" i="49"/>
  <c r="T127" i="49"/>
  <c r="T128" i="49"/>
  <c r="T129" i="49"/>
  <c r="T130" i="49"/>
  <c r="T131" i="49"/>
  <c r="T132" i="49"/>
  <c r="T133" i="49"/>
  <c r="T134" i="49"/>
  <c r="T135" i="49"/>
  <c r="T136" i="49"/>
  <c r="T137" i="49"/>
  <c r="T138" i="49"/>
  <c r="T139" i="49"/>
  <c r="T140" i="49"/>
  <c r="T141" i="49"/>
  <c r="T142" i="49"/>
  <c r="T143" i="49"/>
  <c r="T144" i="49"/>
  <c r="T145" i="49"/>
  <c r="T146" i="49"/>
  <c r="T147" i="49"/>
  <c r="T148" i="49"/>
  <c r="T149" i="49"/>
  <c r="T150" i="49"/>
  <c r="T151" i="49"/>
  <c r="T152" i="49"/>
  <c r="T153" i="49"/>
  <c r="T154" i="49"/>
  <c r="T155" i="49"/>
  <c r="T156" i="49"/>
  <c r="T157" i="49"/>
  <c r="T158" i="49"/>
  <c r="T159" i="49"/>
  <c r="T160" i="49"/>
  <c r="T161" i="49"/>
  <c r="T162" i="49"/>
  <c r="T163" i="49"/>
  <c r="T164" i="49"/>
  <c r="T165" i="49"/>
  <c r="T166" i="49"/>
  <c r="T167" i="49"/>
  <c r="T168" i="49"/>
  <c r="T169" i="49"/>
  <c r="T170" i="49"/>
  <c r="T171" i="49"/>
  <c r="T172" i="49"/>
  <c r="T173" i="49"/>
  <c r="T174" i="49"/>
  <c r="T175" i="49"/>
  <c r="T176" i="49"/>
  <c r="T177" i="49"/>
  <c r="T178" i="49"/>
  <c r="T179" i="49"/>
  <c r="T180" i="49"/>
  <c r="T181" i="49"/>
  <c r="T182" i="49"/>
  <c r="T183" i="49"/>
  <c r="T184" i="49"/>
  <c r="T185" i="49"/>
  <c r="T186" i="49"/>
  <c r="T187" i="49"/>
  <c r="T188" i="49"/>
  <c r="T189" i="49"/>
  <c r="T190" i="49"/>
  <c r="T191" i="49"/>
  <c r="T192" i="49"/>
  <c r="T193" i="49"/>
  <c r="T194" i="49"/>
  <c r="T195" i="49"/>
  <c r="T196" i="49"/>
  <c r="T197" i="49"/>
  <c r="T198" i="49"/>
  <c r="T199" i="49"/>
  <c r="T200" i="49"/>
  <c r="T201" i="49"/>
  <c r="T202" i="49"/>
  <c r="T203" i="49"/>
  <c r="T204" i="49"/>
  <c r="T205" i="49"/>
  <c r="T206" i="49"/>
  <c r="T207" i="49"/>
  <c r="T208" i="49"/>
  <c r="T209" i="49"/>
  <c r="T210" i="49"/>
  <c r="T211" i="49"/>
  <c r="T212" i="49"/>
  <c r="T213" i="49"/>
  <c r="T214" i="49"/>
  <c r="T215" i="49"/>
  <c r="T216" i="49"/>
  <c r="T217" i="49"/>
  <c r="T218" i="49"/>
  <c r="T219" i="49"/>
  <c r="T220" i="49"/>
  <c r="T221" i="49"/>
  <c r="T222" i="49"/>
  <c r="T223" i="49"/>
  <c r="O223" i="49"/>
  <c r="T9" i="49"/>
  <c r="S9" i="114" l="1"/>
  <c r="U9" i="114" s="1"/>
  <c r="S11" i="114"/>
  <c r="U11" i="114" s="1"/>
  <c r="S10" i="114"/>
  <c r="U10" i="114" s="1"/>
  <c r="O11" i="114"/>
  <c r="T10" i="49"/>
  <c r="U217" i="49"/>
  <c r="P217" i="49" s="1"/>
  <c r="U216" i="49"/>
  <c r="P216" i="49" s="1"/>
  <c r="U215" i="49"/>
  <c r="P215" i="49" s="1"/>
  <c r="U214" i="49"/>
  <c r="P214" i="49" s="1"/>
  <c r="U213" i="49"/>
  <c r="P213" i="49" s="1"/>
  <c r="U212" i="49"/>
  <c r="P212" i="49" s="1"/>
  <c r="U223" i="49"/>
  <c r="P223" i="49" s="1"/>
  <c r="U211" i="49"/>
  <c r="P211" i="49" s="1"/>
  <c r="U222" i="49"/>
  <c r="P222" i="49" s="1"/>
  <c r="U221" i="49"/>
  <c r="P221" i="49" s="1"/>
  <c r="U220" i="49"/>
  <c r="P220" i="49" s="1"/>
  <c r="U219" i="49"/>
  <c r="P219" i="49" s="1"/>
  <c r="U218" i="49"/>
  <c r="P218" i="49" s="1"/>
  <c r="U205" i="49"/>
  <c r="P205" i="49" s="1"/>
  <c r="U204" i="49"/>
  <c r="P204" i="49" s="1"/>
  <c r="U203" i="49"/>
  <c r="P203" i="49" s="1"/>
  <c r="U210" i="49"/>
  <c r="P210" i="49" s="1"/>
  <c r="U209" i="49"/>
  <c r="P209" i="49" s="1"/>
  <c r="U208" i="49"/>
  <c r="P208" i="49" s="1"/>
  <c r="U207" i="49"/>
  <c r="P207" i="49" s="1"/>
  <c r="U206" i="49"/>
  <c r="P206" i="49" s="1"/>
  <c r="U193" i="49"/>
  <c r="P193" i="49" s="1"/>
  <c r="U192" i="49"/>
  <c r="P192" i="49" s="1"/>
  <c r="U191" i="49"/>
  <c r="P191" i="49" s="1"/>
  <c r="U202" i="49"/>
  <c r="P202" i="49" s="1"/>
  <c r="U190" i="49"/>
  <c r="P190" i="49" s="1"/>
  <c r="U201" i="49"/>
  <c r="P201" i="49" s="1"/>
  <c r="U189" i="49"/>
  <c r="P189" i="49" s="1"/>
  <c r="U200" i="49"/>
  <c r="P200" i="49" s="1"/>
  <c r="U188" i="49"/>
  <c r="P188" i="49" s="1"/>
  <c r="U199" i="49"/>
  <c r="P199" i="49" s="1"/>
  <c r="U187" i="49"/>
  <c r="P187" i="49" s="1"/>
  <c r="U198" i="49"/>
  <c r="P198" i="49" s="1"/>
  <c r="U197" i="49"/>
  <c r="P197" i="49" s="1"/>
  <c r="U196" i="49"/>
  <c r="P196" i="49" s="1"/>
  <c r="U195" i="49"/>
  <c r="P195" i="49" s="1"/>
  <c r="U194" i="49"/>
  <c r="P194" i="49" s="1"/>
  <c r="U181" i="49"/>
  <c r="P181" i="49" s="1"/>
  <c r="U169" i="49"/>
  <c r="P169" i="49" s="1"/>
  <c r="U157" i="49"/>
  <c r="P157" i="49" s="1"/>
  <c r="U145" i="49"/>
  <c r="P145" i="49" s="1"/>
  <c r="U133" i="49"/>
  <c r="P133" i="49" s="1"/>
  <c r="U121" i="49"/>
  <c r="P121" i="49" s="1"/>
  <c r="U109" i="49"/>
  <c r="P109" i="49" s="1"/>
  <c r="U97" i="49"/>
  <c r="P97" i="49" s="1"/>
  <c r="U85" i="49"/>
  <c r="P85" i="49" s="1"/>
  <c r="U73" i="49"/>
  <c r="P73" i="49" s="1"/>
  <c r="U61" i="49"/>
  <c r="P61" i="49" s="1"/>
  <c r="U49" i="49"/>
  <c r="P49" i="49" s="1"/>
  <c r="U37" i="49"/>
  <c r="P37" i="49" s="1"/>
  <c r="U25" i="49"/>
  <c r="P25" i="49" s="1"/>
  <c r="U180" i="49"/>
  <c r="P180" i="49" s="1"/>
  <c r="U168" i="49"/>
  <c r="P168" i="49" s="1"/>
  <c r="U156" i="49"/>
  <c r="P156" i="49" s="1"/>
  <c r="U144" i="49"/>
  <c r="P144" i="49" s="1"/>
  <c r="U132" i="49"/>
  <c r="P132" i="49" s="1"/>
  <c r="U120" i="49"/>
  <c r="P120" i="49" s="1"/>
  <c r="U108" i="49"/>
  <c r="P108" i="49" s="1"/>
  <c r="U96" i="49"/>
  <c r="P96" i="49" s="1"/>
  <c r="U84" i="49"/>
  <c r="P84" i="49" s="1"/>
  <c r="U72" i="49"/>
  <c r="P72" i="49" s="1"/>
  <c r="U60" i="49"/>
  <c r="P60" i="49" s="1"/>
  <c r="U48" i="49"/>
  <c r="P48" i="49" s="1"/>
  <c r="U36" i="49"/>
  <c r="P36" i="49" s="1"/>
  <c r="U24" i="49"/>
  <c r="P24" i="49" s="1"/>
  <c r="U179" i="49"/>
  <c r="P179" i="49" s="1"/>
  <c r="U167" i="49"/>
  <c r="P167" i="49" s="1"/>
  <c r="U155" i="49"/>
  <c r="P155" i="49" s="1"/>
  <c r="U143" i="49"/>
  <c r="P143" i="49" s="1"/>
  <c r="U131" i="49"/>
  <c r="P131" i="49" s="1"/>
  <c r="U119" i="49"/>
  <c r="P119" i="49" s="1"/>
  <c r="U107" i="49"/>
  <c r="P107" i="49" s="1"/>
  <c r="U95" i="49"/>
  <c r="P95" i="49" s="1"/>
  <c r="U83" i="49"/>
  <c r="P83" i="49" s="1"/>
  <c r="U71" i="49"/>
  <c r="P71" i="49" s="1"/>
  <c r="U59" i="49"/>
  <c r="P59" i="49" s="1"/>
  <c r="U47" i="49"/>
  <c r="P47" i="49" s="1"/>
  <c r="U35" i="49"/>
  <c r="P35" i="49" s="1"/>
  <c r="U23" i="49"/>
  <c r="P23" i="49" s="1"/>
  <c r="U178" i="49"/>
  <c r="P178" i="49" s="1"/>
  <c r="U166" i="49"/>
  <c r="P166" i="49" s="1"/>
  <c r="U154" i="49"/>
  <c r="P154" i="49" s="1"/>
  <c r="U142" i="49"/>
  <c r="P142" i="49" s="1"/>
  <c r="U130" i="49"/>
  <c r="P130" i="49" s="1"/>
  <c r="U118" i="49"/>
  <c r="P118" i="49" s="1"/>
  <c r="U106" i="49"/>
  <c r="P106" i="49" s="1"/>
  <c r="U94" i="49"/>
  <c r="P94" i="49" s="1"/>
  <c r="U82" i="49"/>
  <c r="P82" i="49" s="1"/>
  <c r="U70" i="49"/>
  <c r="P70" i="49" s="1"/>
  <c r="U58" i="49"/>
  <c r="P58" i="49" s="1"/>
  <c r="U46" i="49"/>
  <c r="P46" i="49" s="1"/>
  <c r="U34" i="49"/>
  <c r="P34" i="49" s="1"/>
  <c r="U22" i="49"/>
  <c r="P22" i="49" s="1"/>
  <c r="U177" i="49"/>
  <c r="P177" i="49" s="1"/>
  <c r="U165" i="49"/>
  <c r="P165" i="49" s="1"/>
  <c r="U153" i="49"/>
  <c r="P153" i="49" s="1"/>
  <c r="U141" i="49"/>
  <c r="P141" i="49" s="1"/>
  <c r="U129" i="49"/>
  <c r="P129" i="49" s="1"/>
  <c r="U117" i="49"/>
  <c r="P117" i="49" s="1"/>
  <c r="U105" i="49"/>
  <c r="P105" i="49" s="1"/>
  <c r="U93" i="49"/>
  <c r="P93" i="49" s="1"/>
  <c r="U81" i="49"/>
  <c r="P81" i="49" s="1"/>
  <c r="U69" i="49"/>
  <c r="P69" i="49" s="1"/>
  <c r="U57" i="49"/>
  <c r="P57" i="49" s="1"/>
  <c r="U45" i="49"/>
  <c r="P45" i="49" s="1"/>
  <c r="U33" i="49"/>
  <c r="P33" i="49" s="1"/>
  <c r="U21" i="49"/>
  <c r="P21" i="49" s="1"/>
  <c r="U176" i="49"/>
  <c r="P176" i="49" s="1"/>
  <c r="U164" i="49"/>
  <c r="P164" i="49" s="1"/>
  <c r="U152" i="49"/>
  <c r="P152" i="49" s="1"/>
  <c r="U140" i="49"/>
  <c r="P140" i="49" s="1"/>
  <c r="U128" i="49"/>
  <c r="P128" i="49" s="1"/>
  <c r="U116" i="49"/>
  <c r="P116" i="49" s="1"/>
  <c r="U104" i="49"/>
  <c r="P104" i="49" s="1"/>
  <c r="U92" i="49"/>
  <c r="P92" i="49" s="1"/>
  <c r="U80" i="49"/>
  <c r="P80" i="49" s="1"/>
  <c r="U68" i="49"/>
  <c r="P68" i="49" s="1"/>
  <c r="U56" i="49"/>
  <c r="P56" i="49" s="1"/>
  <c r="U44" i="49"/>
  <c r="P44" i="49" s="1"/>
  <c r="U32" i="49"/>
  <c r="P32" i="49" s="1"/>
  <c r="U20" i="49"/>
  <c r="P20" i="49" s="1"/>
  <c r="U175" i="49"/>
  <c r="P175" i="49" s="1"/>
  <c r="U163" i="49"/>
  <c r="P163" i="49" s="1"/>
  <c r="U151" i="49"/>
  <c r="P151" i="49" s="1"/>
  <c r="U139" i="49"/>
  <c r="P139" i="49" s="1"/>
  <c r="U127" i="49"/>
  <c r="P127" i="49" s="1"/>
  <c r="U115" i="49"/>
  <c r="P115" i="49" s="1"/>
  <c r="U103" i="49"/>
  <c r="P103" i="49" s="1"/>
  <c r="U91" i="49"/>
  <c r="P91" i="49" s="1"/>
  <c r="U79" i="49"/>
  <c r="P79" i="49" s="1"/>
  <c r="U67" i="49"/>
  <c r="P67" i="49" s="1"/>
  <c r="U55" i="49"/>
  <c r="P55" i="49" s="1"/>
  <c r="U43" i="49"/>
  <c r="P43" i="49" s="1"/>
  <c r="U31" i="49"/>
  <c r="P31" i="49" s="1"/>
  <c r="U19" i="49"/>
  <c r="P19" i="49" s="1"/>
  <c r="U186" i="49"/>
  <c r="P186" i="49" s="1"/>
  <c r="U174" i="49"/>
  <c r="P174" i="49" s="1"/>
  <c r="U162" i="49"/>
  <c r="P162" i="49" s="1"/>
  <c r="U150" i="49"/>
  <c r="P150" i="49" s="1"/>
  <c r="U138" i="49"/>
  <c r="P138" i="49" s="1"/>
  <c r="U126" i="49"/>
  <c r="P126" i="49" s="1"/>
  <c r="U114" i="49"/>
  <c r="P114" i="49" s="1"/>
  <c r="U102" i="49"/>
  <c r="P102" i="49" s="1"/>
  <c r="U90" i="49"/>
  <c r="P90" i="49" s="1"/>
  <c r="U78" i="49"/>
  <c r="P78" i="49" s="1"/>
  <c r="U66" i="49"/>
  <c r="P66" i="49" s="1"/>
  <c r="U54" i="49"/>
  <c r="P54" i="49" s="1"/>
  <c r="U42" i="49"/>
  <c r="P42" i="49" s="1"/>
  <c r="U30" i="49"/>
  <c r="P30" i="49" s="1"/>
  <c r="U18" i="49"/>
  <c r="P18" i="49" s="1"/>
  <c r="U185" i="49"/>
  <c r="P185" i="49" s="1"/>
  <c r="U173" i="49"/>
  <c r="P173" i="49" s="1"/>
  <c r="U161" i="49"/>
  <c r="P161" i="49" s="1"/>
  <c r="U149" i="49"/>
  <c r="P149" i="49" s="1"/>
  <c r="U137" i="49"/>
  <c r="P137" i="49" s="1"/>
  <c r="U125" i="49"/>
  <c r="P125" i="49" s="1"/>
  <c r="U113" i="49"/>
  <c r="P113" i="49" s="1"/>
  <c r="U101" i="49"/>
  <c r="P101" i="49" s="1"/>
  <c r="U89" i="49"/>
  <c r="P89" i="49" s="1"/>
  <c r="U77" i="49"/>
  <c r="P77" i="49" s="1"/>
  <c r="U65" i="49"/>
  <c r="P65" i="49" s="1"/>
  <c r="U53" i="49"/>
  <c r="P53" i="49" s="1"/>
  <c r="U41" i="49"/>
  <c r="P41" i="49" s="1"/>
  <c r="U29" i="49"/>
  <c r="P29" i="49" s="1"/>
  <c r="U17" i="49"/>
  <c r="P17" i="49" s="1"/>
  <c r="U184" i="49"/>
  <c r="P184" i="49" s="1"/>
  <c r="U172" i="49"/>
  <c r="P172" i="49" s="1"/>
  <c r="U160" i="49"/>
  <c r="P160" i="49" s="1"/>
  <c r="U148" i="49"/>
  <c r="P148" i="49" s="1"/>
  <c r="U136" i="49"/>
  <c r="P136" i="49" s="1"/>
  <c r="U124" i="49"/>
  <c r="P124" i="49" s="1"/>
  <c r="U112" i="49"/>
  <c r="P112" i="49" s="1"/>
  <c r="U100" i="49"/>
  <c r="P100" i="49" s="1"/>
  <c r="U88" i="49"/>
  <c r="P88" i="49" s="1"/>
  <c r="U76" i="49"/>
  <c r="P76" i="49" s="1"/>
  <c r="U64" i="49"/>
  <c r="P64" i="49" s="1"/>
  <c r="U52" i="49"/>
  <c r="P52" i="49" s="1"/>
  <c r="U40" i="49"/>
  <c r="P40" i="49" s="1"/>
  <c r="U28" i="49"/>
  <c r="P28" i="49" s="1"/>
  <c r="U183" i="49"/>
  <c r="P183" i="49" s="1"/>
  <c r="U171" i="49"/>
  <c r="P171" i="49" s="1"/>
  <c r="U159" i="49"/>
  <c r="P159" i="49" s="1"/>
  <c r="U147" i="49"/>
  <c r="P147" i="49" s="1"/>
  <c r="U135" i="49"/>
  <c r="P135" i="49" s="1"/>
  <c r="U123" i="49"/>
  <c r="P123" i="49" s="1"/>
  <c r="U111" i="49"/>
  <c r="P111" i="49" s="1"/>
  <c r="U99" i="49"/>
  <c r="P99" i="49" s="1"/>
  <c r="U87" i="49"/>
  <c r="P87" i="49" s="1"/>
  <c r="U75" i="49"/>
  <c r="P75" i="49" s="1"/>
  <c r="U63" i="49"/>
  <c r="P63" i="49" s="1"/>
  <c r="U51" i="49"/>
  <c r="P51" i="49" s="1"/>
  <c r="U39" i="49"/>
  <c r="P39" i="49" s="1"/>
  <c r="U27" i="49"/>
  <c r="P27" i="49" s="1"/>
  <c r="U182" i="49"/>
  <c r="P182" i="49" s="1"/>
  <c r="U170" i="49"/>
  <c r="P170" i="49" s="1"/>
  <c r="U158" i="49"/>
  <c r="P158" i="49" s="1"/>
  <c r="U146" i="49"/>
  <c r="P146" i="49" s="1"/>
  <c r="U134" i="49"/>
  <c r="P134" i="49" s="1"/>
  <c r="U122" i="49"/>
  <c r="P122" i="49" s="1"/>
  <c r="U110" i="49"/>
  <c r="P110" i="49" s="1"/>
  <c r="U98" i="49"/>
  <c r="P98" i="49" s="1"/>
  <c r="U86" i="49"/>
  <c r="P86" i="49" s="1"/>
  <c r="U74" i="49"/>
  <c r="P74" i="49" s="1"/>
  <c r="U62" i="49"/>
  <c r="P62" i="49" s="1"/>
  <c r="U50" i="49"/>
  <c r="P50" i="49" s="1"/>
  <c r="U38" i="49"/>
  <c r="P38" i="49" s="1"/>
  <c r="U26" i="49"/>
  <c r="P26" i="49" s="1"/>
  <c r="U12" i="49"/>
  <c r="P12" i="49" s="1"/>
  <c r="U16" i="49"/>
  <c r="P16" i="49" s="1"/>
  <c r="U15" i="49"/>
  <c r="P15" i="49" s="1"/>
  <c r="U14" i="49"/>
  <c r="P14" i="49" s="1"/>
  <c r="U13" i="49"/>
  <c r="P13" i="49" s="1"/>
  <c r="J10" i="49"/>
  <c r="B3" i="49"/>
  <c r="B4" i="49"/>
  <c r="A115" i="82"/>
  <c r="B27" i="104" s="1"/>
  <c r="A116" i="82"/>
  <c r="A112" i="82"/>
  <c r="B24" i="104" s="1"/>
  <c r="A113" i="82"/>
  <c r="B25" i="104" s="1"/>
  <c r="A110" i="82"/>
  <c r="B22" i="104" s="1"/>
  <c r="A111" i="82"/>
  <c r="B23" i="104" s="1"/>
  <c r="A114" i="82"/>
  <c r="B26" i="104" s="1"/>
  <c r="A117" i="82"/>
  <c r="A118" i="82"/>
  <c r="N7" i="114" s="1"/>
  <c r="A119" i="82"/>
  <c r="N7" i="49" l="1"/>
  <c r="P11" i="114"/>
  <c r="P9" i="114"/>
  <c r="P10" i="114"/>
  <c r="O10" i="49"/>
  <c r="A147" i="82"/>
  <c r="B5" i="115" s="1"/>
  <c r="A148" i="82"/>
  <c r="A149" i="82"/>
  <c r="A150" i="82"/>
  <c r="A151" i="82"/>
  <c r="A145" i="82"/>
  <c r="A146" i="82"/>
  <c r="A107" i="82"/>
  <c r="G7" i="49" s="1"/>
  <c r="A108" i="82"/>
  <c r="C7" i="114" s="1"/>
  <c r="A109" i="82"/>
  <c r="A102" i="82"/>
  <c r="A103" i="82"/>
  <c r="A104" i="82"/>
  <c r="A105" i="82"/>
  <c r="B1" i="113" s="1"/>
  <c r="A98" i="82"/>
  <c r="A99" i="82"/>
  <c r="A100" i="82"/>
  <c r="A101" i="82"/>
  <c r="A106" i="82"/>
  <c r="B1" i="48" s="1"/>
  <c r="Y1" i="84"/>
  <c r="B6" i="48" l="1"/>
  <c r="F7" i="49"/>
  <c r="B1" i="114"/>
  <c r="B1" i="115"/>
  <c r="L7" i="114"/>
  <c r="C7" i="49"/>
  <c r="B7" i="49"/>
  <c r="B7" i="114"/>
  <c r="B6" i="113"/>
  <c r="O7" i="49"/>
  <c r="O7" i="114"/>
  <c r="D7" i="49"/>
  <c r="B20" i="104"/>
  <c r="L7" i="49"/>
  <c r="A289" i="82"/>
  <c r="J9" i="49"/>
  <c r="J11" i="49"/>
  <c r="J12" i="49"/>
  <c r="J13" i="49"/>
  <c r="J14" i="49"/>
  <c r="J15" i="49"/>
  <c r="J16" i="49"/>
  <c r="J17" i="49"/>
  <c r="J18" i="49"/>
  <c r="J19" i="49"/>
  <c r="J20" i="49"/>
  <c r="J21" i="49"/>
  <c r="J22" i="49"/>
  <c r="J23" i="49"/>
  <c r="J24" i="49"/>
  <c r="J25" i="49"/>
  <c r="J26" i="49"/>
  <c r="J27" i="49"/>
  <c r="J28" i="49"/>
  <c r="J29" i="49"/>
  <c r="J30" i="49"/>
  <c r="J31" i="49"/>
  <c r="J32" i="49"/>
  <c r="J33" i="49"/>
  <c r="J34" i="49"/>
  <c r="J35" i="49"/>
  <c r="J36" i="49"/>
  <c r="J37" i="49"/>
  <c r="J38" i="49"/>
  <c r="J39" i="49"/>
  <c r="J40" i="49"/>
  <c r="J41" i="49"/>
  <c r="J42" i="49"/>
  <c r="J43" i="49"/>
  <c r="J44" i="49"/>
  <c r="J45" i="49"/>
  <c r="J46" i="49"/>
  <c r="J47" i="49"/>
  <c r="J48" i="49"/>
  <c r="J49" i="49"/>
  <c r="J50" i="49"/>
  <c r="J51" i="49"/>
  <c r="J52" i="49"/>
  <c r="J53" i="49"/>
  <c r="J54" i="49"/>
  <c r="J55" i="49"/>
  <c r="J56" i="49"/>
  <c r="J57" i="49"/>
  <c r="J58" i="49"/>
  <c r="J59" i="49"/>
  <c r="J60" i="49"/>
  <c r="J61" i="49"/>
  <c r="J62" i="49"/>
  <c r="J63" i="49"/>
  <c r="J64" i="49"/>
  <c r="J65" i="49"/>
  <c r="J66" i="49"/>
  <c r="J67" i="49"/>
  <c r="J68" i="49"/>
  <c r="J69" i="49"/>
  <c r="J70" i="49"/>
  <c r="J71" i="49"/>
  <c r="J72" i="49"/>
  <c r="J73" i="49"/>
  <c r="J74" i="49"/>
  <c r="J75" i="49"/>
  <c r="J76" i="49"/>
  <c r="J77" i="49"/>
  <c r="J78" i="49"/>
  <c r="J79" i="49"/>
  <c r="J80" i="49"/>
  <c r="J81" i="49"/>
  <c r="J82" i="49"/>
  <c r="J83" i="49"/>
  <c r="J84" i="49"/>
  <c r="J85" i="49"/>
  <c r="J86" i="49"/>
  <c r="J87" i="49"/>
  <c r="J88" i="49"/>
  <c r="J89" i="49"/>
  <c r="J90" i="49"/>
  <c r="J91" i="49"/>
  <c r="J92" i="49"/>
  <c r="J93" i="49"/>
  <c r="J94" i="49"/>
  <c r="J95" i="49"/>
  <c r="J96" i="49"/>
  <c r="J97" i="49"/>
  <c r="J98" i="49"/>
  <c r="J99" i="49"/>
  <c r="J100" i="49"/>
  <c r="J101" i="49"/>
  <c r="J102" i="49"/>
  <c r="J103" i="49"/>
  <c r="J104" i="49"/>
  <c r="J105" i="49"/>
  <c r="J106" i="49"/>
  <c r="J107" i="49"/>
  <c r="J108" i="49"/>
  <c r="J109" i="49"/>
  <c r="J110" i="49"/>
  <c r="J111" i="49"/>
  <c r="J112" i="49"/>
  <c r="J113" i="49"/>
  <c r="J114" i="49"/>
  <c r="J115" i="49"/>
  <c r="J116" i="49"/>
  <c r="J117" i="49"/>
  <c r="J118" i="49"/>
  <c r="J119" i="49"/>
  <c r="J120" i="49"/>
  <c r="J121" i="49"/>
  <c r="J122" i="49"/>
  <c r="J123" i="49"/>
  <c r="J124" i="49"/>
  <c r="J125" i="49"/>
  <c r="J126" i="49"/>
  <c r="J127" i="49"/>
  <c r="J128" i="49"/>
  <c r="J129" i="49"/>
  <c r="J130" i="49"/>
  <c r="J131" i="49"/>
  <c r="J132" i="49"/>
  <c r="J133" i="49"/>
  <c r="J134" i="49"/>
  <c r="J135" i="49"/>
  <c r="J136" i="49"/>
  <c r="J137" i="49"/>
  <c r="J138" i="49"/>
  <c r="J139" i="49"/>
  <c r="J140" i="49"/>
  <c r="J141" i="49"/>
  <c r="J142" i="49"/>
  <c r="J143" i="49"/>
  <c r="J144" i="49"/>
  <c r="J145" i="49"/>
  <c r="J146" i="49"/>
  <c r="J147" i="49"/>
  <c r="J148" i="49"/>
  <c r="J149" i="49"/>
  <c r="J150" i="49"/>
  <c r="J151" i="49"/>
  <c r="J152" i="49"/>
  <c r="J153" i="49"/>
  <c r="J154" i="49"/>
  <c r="J155" i="49"/>
  <c r="J156" i="49"/>
  <c r="J157" i="49"/>
  <c r="J158" i="49"/>
  <c r="J159" i="49"/>
  <c r="J160" i="49"/>
  <c r="J161" i="49"/>
  <c r="J162" i="49"/>
  <c r="J163" i="49"/>
  <c r="J164" i="49"/>
  <c r="J165" i="49"/>
  <c r="J166" i="49"/>
  <c r="J167" i="49"/>
  <c r="J168" i="49"/>
  <c r="J169" i="49"/>
  <c r="J170" i="49"/>
  <c r="J171" i="49"/>
  <c r="J172" i="49"/>
  <c r="J173" i="49"/>
  <c r="J174" i="49"/>
  <c r="J175" i="49"/>
  <c r="J176" i="49"/>
  <c r="J177" i="49"/>
  <c r="J178" i="49"/>
  <c r="J179" i="49"/>
  <c r="J180" i="49"/>
  <c r="J181" i="49"/>
  <c r="J182" i="49"/>
  <c r="J183" i="49"/>
  <c r="J184" i="49"/>
  <c r="J185" i="49"/>
  <c r="J186" i="49"/>
  <c r="J187" i="49"/>
  <c r="J188" i="49"/>
  <c r="J189" i="49"/>
  <c r="J190" i="49"/>
  <c r="J191" i="49"/>
  <c r="J192" i="49"/>
  <c r="J193" i="49"/>
  <c r="J194" i="49"/>
  <c r="J195" i="49"/>
  <c r="J196" i="49"/>
  <c r="J197" i="49"/>
  <c r="J198" i="49"/>
  <c r="J199" i="49"/>
  <c r="J200" i="49"/>
  <c r="J201" i="49"/>
  <c r="J202" i="49"/>
  <c r="J203" i="49"/>
  <c r="J204" i="49"/>
  <c r="J205" i="49"/>
  <c r="J206" i="49"/>
  <c r="J207" i="49"/>
  <c r="J208" i="49"/>
  <c r="J209" i="49"/>
  <c r="J210" i="49"/>
  <c r="J211" i="49"/>
  <c r="J212" i="49"/>
  <c r="J213" i="49"/>
  <c r="J214" i="49"/>
  <c r="J215" i="49"/>
  <c r="J216" i="49"/>
  <c r="J217" i="49"/>
  <c r="J218" i="49"/>
  <c r="J219" i="49"/>
  <c r="J220" i="49"/>
  <c r="J221" i="49"/>
  <c r="J222" i="49"/>
  <c r="S10" i="49" l="1"/>
  <c r="U10" i="49" s="1"/>
  <c r="S173" i="49"/>
  <c r="O173" i="49"/>
  <c r="S161" i="49"/>
  <c r="O161" i="49"/>
  <c r="O149" i="49"/>
  <c r="S149" i="49"/>
  <c r="O137" i="49"/>
  <c r="S137" i="49"/>
  <c r="S125" i="49"/>
  <c r="O125" i="49"/>
  <c r="S113" i="49"/>
  <c r="O113" i="49"/>
  <c r="S101" i="49"/>
  <c r="O101" i="49"/>
  <c r="S89" i="49"/>
  <c r="O89" i="49"/>
  <c r="S77" i="49"/>
  <c r="O77" i="49"/>
  <c r="S65" i="49"/>
  <c r="O65" i="49"/>
  <c r="S53" i="49"/>
  <c r="O53" i="49"/>
  <c r="S41" i="49"/>
  <c r="O41" i="49"/>
  <c r="S29" i="49"/>
  <c r="O29" i="49"/>
  <c r="S17" i="49"/>
  <c r="O17" i="49"/>
  <c r="S196" i="49"/>
  <c r="O196" i="49"/>
  <c r="S160" i="49"/>
  <c r="O160" i="49"/>
  <c r="S148" i="49"/>
  <c r="O148" i="49"/>
  <c r="S136" i="49"/>
  <c r="O136" i="49"/>
  <c r="S124" i="49"/>
  <c r="O124" i="49"/>
  <c r="S112" i="49"/>
  <c r="O112" i="49"/>
  <c r="S100" i="49"/>
  <c r="O100" i="49"/>
  <c r="S88" i="49"/>
  <c r="O88" i="49"/>
  <c r="S76" i="49"/>
  <c r="O76" i="49"/>
  <c r="S64" i="49"/>
  <c r="O64" i="49"/>
  <c r="S52" i="49"/>
  <c r="O52" i="49"/>
  <c r="S40" i="49"/>
  <c r="O40" i="49"/>
  <c r="S28" i="49"/>
  <c r="O28" i="49"/>
  <c r="S16" i="49"/>
  <c r="O16" i="49"/>
  <c r="S208" i="49"/>
  <c r="O208" i="49"/>
  <c r="S183" i="49"/>
  <c r="O183" i="49"/>
  <c r="S171" i="49"/>
  <c r="O171" i="49"/>
  <c r="S159" i="49"/>
  <c r="O159" i="49"/>
  <c r="S147" i="49"/>
  <c r="O147" i="49"/>
  <c r="S135" i="49"/>
  <c r="O135" i="49"/>
  <c r="S123" i="49"/>
  <c r="O123" i="49"/>
  <c r="S111" i="49"/>
  <c r="O111" i="49"/>
  <c r="S99" i="49"/>
  <c r="O99" i="49"/>
  <c r="S87" i="49"/>
  <c r="O87" i="49"/>
  <c r="S75" i="49"/>
  <c r="O75" i="49"/>
  <c r="S63" i="49"/>
  <c r="O63" i="49"/>
  <c r="S51" i="49"/>
  <c r="O51" i="49"/>
  <c r="S39" i="49"/>
  <c r="O39" i="49"/>
  <c r="S27" i="49"/>
  <c r="O27" i="49"/>
  <c r="S15" i="49"/>
  <c r="O15" i="49"/>
  <c r="O185" i="49"/>
  <c r="S185" i="49"/>
  <c r="S182" i="49"/>
  <c r="O182" i="49"/>
  <c r="S158" i="49"/>
  <c r="O158" i="49"/>
  <c r="S146" i="49"/>
  <c r="O146" i="49"/>
  <c r="S134" i="49"/>
  <c r="O134" i="49"/>
  <c r="S122" i="49"/>
  <c r="O122" i="49"/>
  <c r="S110" i="49"/>
  <c r="O110" i="49"/>
  <c r="S98" i="49"/>
  <c r="O98" i="49"/>
  <c r="S86" i="49"/>
  <c r="O86" i="49"/>
  <c r="S74" i="49"/>
  <c r="O74" i="49"/>
  <c r="S62" i="49"/>
  <c r="O62" i="49"/>
  <c r="S50" i="49"/>
  <c r="O50" i="49"/>
  <c r="S38" i="49"/>
  <c r="O38" i="49"/>
  <c r="S26" i="49"/>
  <c r="O26" i="49"/>
  <c r="S14" i="49"/>
  <c r="O14" i="49"/>
  <c r="S221" i="49"/>
  <c r="O221" i="49"/>
  <c r="S194" i="49"/>
  <c r="O194" i="49"/>
  <c r="S205" i="49"/>
  <c r="O205" i="49"/>
  <c r="S193" i="49"/>
  <c r="O193" i="49"/>
  <c r="S181" i="49"/>
  <c r="O181" i="49"/>
  <c r="S169" i="49"/>
  <c r="O169" i="49"/>
  <c r="S157" i="49"/>
  <c r="O157" i="49"/>
  <c r="S145" i="49"/>
  <c r="O145" i="49"/>
  <c r="S133" i="49"/>
  <c r="O133" i="49"/>
  <c r="S121" i="49"/>
  <c r="O121" i="49"/>
  <c r="S109" i="49"/>
  <c r="O109" i="49"/>
  <c r="S97" i="49"/>
  <c r="O97" i="49"/>
  <c r="S85" i="49"/>
  <c r="O85" i="49"/>
  <c r="S73" i="49"/>
  <c r="O73" i="49"/>
  <c r="S61" i="49"/>
  <c r="O61" i="49"/>
  <c r="S49" i="49"/>
  <c r="O49" i="49"/>
  <c r="S37" i="49"/>
  <c r="O37" i="49"/>
  <c r="S25" i="49"/>
  <c r="O25" i="49"/>
  <c r="S13" i="49"/>
  <c r="O13" i="49"/>
  <c r="O220" i="49"/>
  <c r="S220" i="49"/>
  <c r="S218" i="49"/>
  <c r="O218" i="49"/>
  <c r="S217" i="49"/>
  <c r="O217" i="49"/>
  <c r="S216" i="49"/>
  <c r="O216" i="49"/>
  <c r="S204" i="49"/>
  <c r="O204" i="49"/>
  <c r="S192" i="49"/>
  <c r="O192" i="49"/>
  <c r="S180" i="49"/>
  <c r="O180" i="49"/>
  <c r="S168" i="49"/>
  <c r="O168" i="49"/>
  <c r="S156" i="49"/>
  <c r="O156" i="49"/>
  <c r="S144" i="49"/>
  <c r="O144" i="49"/>
  <c r="S132" i="49"/>
  <c r="O132" i="49"/>
  <c r="S120" i="49"/>
  <c r="O120" i="49"/>
  <c r="S108" i="49"/>
  <c r="O108" i="49"/>
  <c r="S96" i="49"/>
  <c r="O96" i="49"/>
  <c r="S84" i="49"/>
  <c r="O84" i="49"/>
  <c r="S72" i="49"/>
  <c r="O72" i="49"/>
  <c r="S60" i="49"/>
  <c r="O60" i="49"/>
  <c r="S48" i="49"/>
  <c r="O48" i="49"/>
  <c r="S36" i="49"/>
  <c r="O36" i="49"/>
  <c r="S24" i="49"/>
  <c r="O24" i="49"/>
  <c r="S12" i="49"/>
  <c r="O12" i="49"/>
  <c r="S195" i="49"/>
  <c r="O195" i="49"/>
  <c r="S179" i="49"/>
  <c r="O179" i="49"/>
  <c r="S167" i="49"/>
  <c r="O167" i="49"/>
  <c r="S155" i="49"/>
  <c r="O155" i="49"/>
  <c r="S143" i="49"/>
  <c r="O143" i="49"/>
  <c r="S131" i="49"/>
  <c r="O131" i="49"/>
  <c r="S119" i="49"/>
  <c r="O119" i="49"/>
  <c r="S107" i="49"/>
  <c r="O107" i="49"/>
  <c r="S95" i="49"/>
  <c r="O95" i="49"/>
  <c r="S83" i="49"/>
  <c r="O83" i="49"/>
  <c r="S71" i="49"/>
  <c r="O71" i="49"/>
  <c r="S59" i="49"/>
  <c r="O59" i="49"/>
  <c r="S47" i="49"/>
  <c r="O47" i="49"/>
  <c r="S35" i="49"/>
  <c r="O35" i="49"/>
  <c r="S23" i="49"/>
  <c r="O23" i="49"/>
  <c r="O11" i="49"/>
  <c r="S9" i="49"/>
  <c r="U9" i="49" s="1"/>
  <c r="S184" i="49"/>
  <c r="O184" i="49"/>
  <c r="S206" i="49"/>
  <c r="O206" i="49"/>
  <c r="O202" i="49"/>
  <c r="S202" i="49"/>
  <c r="O142" i="49"/>
  <c r="S142" i="49"/>
  <c r="O130" i="49"/>
  <c r="S130" i="49"/>
  <c r="O118" i="49"/>
  <c r="S118" i="49"/>
  <c r="O106" i="49"/>
  <c r="S106" i="49"/>
  <c r="O94" i="49"/>
  <c r="S94" i="49"/>
  <c r="O82" i="49"/>
  <c r="S82" i="49"/>
  <c r="O70" i="49"/>
  <c r="S70" i="49"/>
  <c r="O58" i="49"/>
  <c r="S58" i="49"/>
  <c r="O46" i="49"/>
  <c r="S46" i="49"/>
  <c r="O34" i="49"/>
  <c r="S34" i="49"/>
  <c r="O22" i="49"/>
  <c r="S22" i="49"/>
  <c r="O197" i="49"/>
  <c r="S197" i="49"/>
  <c r="S207" i="49"/>
  <c r="O207" i="49"/>
  <c r="S203" i="49"/>
  <c r="O203" i="49"/>
  <c r="O190" i="49"/>
  <c r="S190" i="49"/>
  <c r="O213" i="49"/>
  <c r="S213" i="49"/>
  <c r="O177" i="49"/>
  <c r="S177" i="49"/>
  <c r="O165" i="49"/>
  <c r="S165" i="49"/>
  <c r="O153" i="49"/>
  <c r="S153" i="49"/>
  <c r="O141" i="49"/>
  <c r="S141" i="49"/>
  <c r="O129" i="49"/>
  <c r="S129" i="49"/>
  <c r="O117" i="49"/>
  <c r="S117" i="49"/>
  <c r="O105" i="49"/>
  <c r="S105" i="49"/>
  <c r="O93" i="49"/>
  <c r="S93" i="49"/>
  <c r="O81" i="49"/>
  <c r="S81" i="49"/>
  <c r="O69" i="49"/>
  <c r="S69" i="49"/>
  <c r="O57" i="49"/>
  <c r="S57" i="49"/>
  <c r="O45" i="49"/>
  <c r="S45" i="49"/>
  <c r="O33" i="49"/>
  <c r="S33" i="49"/>
  <c r="O21" i="49"/>
  <c r="S21" i="49"/>
  <c r="S209" i="49"/>
  <c r="O209" i="49"/>
  <c r="S219" i="49"/>
  <c r="O219" i="49"/>
  <c r="S215" i="49"/>
  <c r="O215" i="49"/>
  <c r="O214" i="49"/>
  <c r="S214" i="49"/>
  <c r="O178" i="49"/>
  <c r="S178" i="49"/>
  <c r="O189" i="49"/>
  <c r="S189" i="49"/>
  <c r="O200" i="49"/>
  <c r="S200" i="49"/>
  <c r="O176" i="49"/>
  <c r="S176" i="49"/>
  <c r="O152" i="49"/>
  <c r="S152" i="49"/>
  <c r="O140" i="49"/>
  <c r="S140" i="49"/>
  <c r="O128" i="49"/>
  <c r="S128" i="49"/>
  <c r="O116" i="49"/>
  <c r="S116" i="49"/>
  <c r="O104" i="49"/>
  <c r="S104" i="49"/>
  <c r="O92" i="49"/>
  <c r="S92" i="49"/>
  <c r="O80" i="49"/>
  <c r="S80" i="49"/>
  <c r="O68" i="49"/>
  <c r="S68" i="49"/>
  <c r="O56" i="49"/>
  <c r="S56" i="49"/>
  <c r="O44" i="49"/>
  <c r="S44" i="49"/>
  <c r="O32" i="49"/>
  <c r="S32" i="49"/>
  <c r="O20" i="49"/>
  <c r="S20" i="49"/>
  <c r="S170" i="49"/>
  <c r="O170" i="49"/>
  <c r="O154" i="49"/>
  <c r="S154" i="49"/>
  <c r="O201" i="49"/>
  <c r="S201" i="49"/>
  <c r="O212" i="49"/>
  <c r="S212" i="49"/>
  <c r="O188" i="49"/>
  <c r="S188" i="49"/>
  <c r="O164" i="49"/>
  <c r="S164" i="49"/>
  <c r="O211" i="49"/>
  <c r="S211" i="49"/>
  <c r="O199" i="49"/>
  <c r="S199" i="49"/>
  <c r="O187" i="49"/>
  <c r="S187" i="49"/>
  <c r="O175" i="49"/>
  <c r="S175" i="49"/>
  <c r="O163" i="49"/>
  <c r="S163" i="49"/>
  <c r="O151" i="49"/>
  <c r="S151" i="49"/>
  <c r="O139" i="49"/>
  <c r="S139" i="49"/>
  <c r="O127" i="49"/>
  <c r="S127" i="49"/>
  <c r="O115" i="49"/>
  <c r="S115" i="49"/>
  <c r="O103" i="49"/>
  <c r="S103" i="49"/>
  <c r="O91" i="49"/>
  <c r="S91" i="49"/>
  <c r="O79" i="49"/>
  <c r="S79" i="49"/>
  <c r="O67" i="49"/>
  <c r="S67" i="49"/>
  <c r="O55" i="49"/>
  <c r="S55" i="49"/>
  <c r="O43" i="49"/>
  <c r="S43" i="49"/>
  <c r="O31" i="49"/>
  <c r="S31" i="49"/>
  <c r="O19" i="49"/>
  <c r="S19" i="49"/>
  <c r="S172" i="49"/>
  <c r="O172" i="49"/>
  <c r="S191" i="49"/>
  <c r="O191" i="49"/>
  <c r="O166" i="49"/>
  <c r="S166" i="49"/>
  <c r="O222" i="49"/>
  <c r="S222" i="49"/>
  <c r="O210" i="49"/>
  <c r="S210" i="49"/>
  <c r="O198" i="49"/>
  <c r="S198" i="49"/>
  <c r="O186" i="49"/>
  <c r="S186" i="49"/>
  <c r="O174" i="49"/>
  <c r="S174" i="49"/>
  <c r="O162" i="49"/>
  <c r="S162" i="49"/>
  <c r="O150" i="49"/>
  <c r="S150" i="49"/>
  <c r="O138" i="49"/>
  <c r="S138" i="49"/>
  <c r="O126" i="49"/>
  <c r="S126" i="49"/>
  <c r="O114" i="49"/>
  <c r="S114" i="49"/>
  <c r="O102" i="49"/>
  <c r="S102" i="49"/>
  <c r="O90" i="49"/>
  <c r="S90" i="49"/>
  <c r="O78" i="49"/>
  <c r="S78" i="49"/>
  <c r="O66" i="49"/>
  <c r="S66" i="49"/>
  <c r="O54" i="49"/>
  <c r="S54" i="49"/>
  <c r="O42" i="49"/>
  <c r="S42" i="49"/>
  <c r="O30" i="49"/>
  <c r="S30" i="49"/>
  <c r="O18" i="49"/>
  <c r="S18" i="49"/>
  <c r="S11" i="49"/>
  <c r="O9" i="49"/>
  <c r="A53" i="82"/>
  <c r="A52" i="82"/>
  <c r="A387" i="82"/>
  <c r="A388" i="82"/>
  <c r="A389" i="82"/>
  <c r="A390" i="82"/>
  <c r="A51" i="82"/>
  <c r="P10" i="49" l="1"/>
  <c r="J7" i="49"/>
  <c r="J7" i="114"/>
  <c r="H7" i="49"/>
  <c r="H7" i="114"/>
  <c r="K7" i="49"/>
  <c r="K7" i="114"/>
  <c r="P11" i="49"/>
  <c r="U11" i="49"/>
  <c r="P9" i="49" s="1"/>
  <c r="A50" i="82"/>
  <c r="F12" i="104" s="1"/>
  <c r="A380" i="82" l="1"/>
  <c r="A379" i="82"/>
  <c r="W5" i="82"/>
  <c r="A392" i="82" l="1"/>
  <c r="N6" i="104" s="1"/>
  <c r="A393" i="82"/>
  <c r="N10" i="104" s="1"/>
  <c r="A395" i="82"/>
  <c r="N11" i="104" s="1"/>
  <c r="A397" i="82"/>
  <c r="N12" i="104" s="1"/>
  <c r="A399" i="82"/>
  <c r="N13" i="104" s="1"/>
  <c r="A401" i="82"/>
  <c r="N15" i="104" s="1"/>
  <c r="A402" i="82"/>
  <c r="N19" i="104" s="1"/>
  <c r="J26" i="90" l="1"/>
  <c r="M12" i="49" l="1"/>
  <c r="M13" i="49"/>
  <c r="M14" i="49"/>
  <c r="M15" i="49"/>
  <c r="M16" i="49"/>
  <c r="M17" i="49"/>
  <c r="M18" i="49"/>
  <c r="M19" i="49"/>
  <c r="M20" i="49"/>
  <c r="M21" i="49"/>
  <c r="M22" i="49"/>
  <c r="M23" i="49"/>
  <c r="M24" i="49"/>
  <c r="M25" i="49"/>
  <c r="M26" i="49"/>
  <c r="M27" i="49"/>
  <c r="M28" i="49"/>
  <c r="M29" i="49"/>
  <c r="M30" i="49"/>
  <c r="M31" i="49"/>
  <c r="M32" i="49"/>
  <c r="M33" i="49"/>
  <c r="M34" i="49"/>
  <c r="M35" i="49"/>
  <c r="M36" i="49"/>
  <c r="M37" i="49"/>
  <c r="M38" i="49"/>
  <c r="M39" i="49"/>
  <c r="M40" i="49"/>
  <c r="M41" i="49"/>
  <c r="M42" i="49"/>
  <c r="M43" i="49"/>
  <c r="M44" i="49"/>
  <c r="M45" i="49"/>
  <c r="M46" i="49"/>
  <c r="M47" i="49"/>
  <c r="M48" i="49"/>
  <c r="M49" i="49"/>
  <c r="M50" i="49"/>
  <c r="M51" i="49"/>
  <c r="M52" i="49"/>
  <c r="M53" i="49"/>
  <c r="M54" i="49"/>
  <c r="M55" i="49"/>
  <c r="M56" i="49"/>
  <c r="M57" i="49"/>
  <c r="M58" i="49"/>
  <c r="M59" i="49"/>
  <c r="M60" i="49"/>
  <c r="M61" i="49"/>
  <c r="M62" i="49"/>
  <c r="M63" i="49"/>
  <c r="M64" i="49"/>
  <c r="M65" i="49"/>
  <c r="M66" i="49"/>
  <c r="M67" i="49"/>
  <c r="M68" i="49"/>
  <c r="M69" i="49"/>
  <c r="M70" i="49"/>
  <c r="M71" i="49"/>
  <c r="M72" i="49"/>
  <c r="M73" i="49"/>
  <c r="M74" i="49"/>
  <c r="M75" i="49"/>
  <c r="M76" i="49"/>
  <c r="M77" i="49"/>
  <c r="M78" i="49"/>
  <c r="M79" i="49"/>
  <c r="M80" i="49"/>
  <c r="M81" i="49"/>
  <c r="M82" i="49"/>
  <c r="M83" i="49"/>
  <c r="M84" i="49"/>
  <c r="M85" i="49"/>
  <c r="M86" i="49"/>
  <c r="M87" i="49"/>
  <c r="M88" i="49"/>
  <c r="M89" i="49"/>
  <c r="M90" i="49"/>
  <c r="M91" i="49"/>
  <c r="M92" i="49"/>
  <c r="M93" i="49"/>
  <c r="M94" i="49"/>
  <c r="M95" i="49"/>
  <c r="M96" i="49"/>
  <c r="M97" i="49"/>
  <c r="M98" i="49"/>
  <c r="M99" i="49"/>
  <c r="M100" i="49"/>
  <c r="M101" i="49"/>
  <c r="M102" i="49"/>
  <c r="M103" i="49"/>
  <c r="M104" i="49"/>
  <c r="M105" i="49"/>
  <c r="M106" i="49"/>
  <c r="M107" i="49"/>
  <c r="M108" i="49"/>
  <c r="M109" i="49"/>
  <c r="M110" i="49"/>
  <c r="M111" i="49"/>
  <c r="M112" i="49"/>
  <c r="M113" i="49"/>
  <c r="M114" i="49"/>
  <c r="M115" i="49"/>
  <c r="M116" i="49"/>
  <c r="M117" i="49"/>
  <c r="M118" i="49"/>
  <c r="M119" i="49"/>
  <c r="M120" i="49"/>
  <c r="M121" i="49"/>
  <c r="M122" i="49"/>
  <c r="M123" i="49"/>
  <c r="M124" i="49"/>
  <c r="M125" i="49"/>
  <c r="M126" i="49"/>
  <c r="M127" i="49"/>
  <c r="M128" i="49"/>
  <c r="M129" i="49"/>
  <c r="M130" i="49"/>
  <c r="M131" i="49"/>
  <c r="M132" i="49"/>
  <c r="M133" i="49"/>
  <c r="M134" i="49"/>
  <c r="M135" i="49"/>
  <c r="M136" i="49"/>
  <c r="M137" i="49"/>
  <c r="M138" i="49"/>
  <c r="M139" i="49"/>
  <c r="M140" i="49"/>
  <c r="M141" i="49"/>
  <c r="M142" i="49"/>
  <c r="M143" i="49"/>
  <c r="M144" i="49"/>
  <c r="M145" i="49"/>
  <c r="M146" i="49"/>
  <c r="M147" i="49"/>
  <c r="M148" i="49"/>
  <c r="M149" i="49"/>
  <c r="M150" i="49"/>
  <c r="M151" i="49"/>
  <c r="M152" i="49"/>
  <c r="M153" i="49"/>
  <c r="M154" i="49"/>
  <c r="M155" i="49"/>
  <c r="M156" i="49"/>
  <c r="M157" i="49"/>
  <c r="M158" i="49"/>
  <c r="M159" i="49"/>
  <c r="M160" i="49"/>
  <c r="M161" i="49"/>
  <c r="M162" i="49"/>
  <c r="M163" i="49"/>
  <c r="M164" i="49"/>
  <c r="M165" i="49"/>
  <c r="M166" i="49"/>
  <c r="M167" i="49"/>
  <c r="M168" i="49"/>
  <c r="M169" i="49"/>
  <c r="M170" i="49"/>
  <c r="M171" i="49"/>
  <c r="M172" i="49"/>
  <c r="M173" i="49"/>
  <c r="M174" i="49"/>
  <c r="M175" i="49"/>
  <c r="M176" i="49"/>
  <c r="M177" i="49"/>
  <c r="M178" i="49"/>
  <c r="M179" i="49"/>
  <c r="M180" i="49"/>
  <c r="M181" i="49"/>
  <c r="M182" i="49"/>
  <c r="M183" i="49"/>
  <c r="M184" i="49"/>
  <c r="M185" i="49"/>
  <c r="M186" i="49"/>
  <c r="M187" i="49"/>
  <c r="M188" i="49"/>
  <c r="M189" i="49"/>
  <c r="M190" i="49"/>
  <c r="M191" i="49"/>
  <c r="M192" i="49"/>
  <c r="M193" i="49"/>
  <c r="M194" i="49"/>
  <c r="M195" i="49"/>
  <c r="M196" i="49"/>
  <c r="M197" i="49"/>
  <c r="M198" i="49"/>
  <c r="M199" i="49"/>
  <c r="M200" i="49"/>
  <c r="M201" i="49"/>
  <c r="M202" i="49"/>
  <c r="M203" i="49"/>
  <c r="M204" i="49"/>
  <c r="M205" i="49"/>
  <c r="M206" i="49"/>
  <c r="M207" i="49"/>
  <c r="M208" i="49"/>
  <c r="M209" i="49"/>
  <c r="M210" i="49"/>
  <c r="M211" i="49"/>
  <c r="M212" i="49"/>
  <c r="M213" i="49"/>
  <c r="M214" i="49"/>
  <c r="M215" i="49"/>
  <c r="M216" i="49"/>
  <c r="M217" i="49"/>
  <c r="M218" i="49"/>
  <c r="M219" i="49"/>
  <c r="M221" i="49"/>
  <c r="M222" i="49"/>
  <c r="M220" i="49"/>
  <c r="D221" i="82"/>
  <c r="A144" i="82"/>
  <c r="A143" i="82" l="1"/>
  <c r="A381" i="82" l="1"/>
  <c r="B1" i="112" s="1"/>
  <c r="G4" i="45" l="1"/>
  <c r="H3" i="113" l="1"/>
  <c r="G3" i="113"/>
  <c r="S11" i="58"/>
  <c r="T11" i="58"/>
  <c r="T12" i="58"/>
  <c r="U11" i="58"/>
  <c r="T13" i="58"/>
  <c r="T14" i="58"/>
  <c r="T15" i="58"/>
  <c r="V11" i="58"/>
  <c r="W11" i="58"/>
  <c r="W12" i="58"/>
  <c r="W13" i="58"/>
  <c r="W14" i="58"/>
  <c r="S12" i="58"/>
  <c r="U12" i="58"/>
  <c r="V12" i="58"/>
  <c r="S13" i="58"/>
  <c r="U13" i="58"/>
  <c r="V13" i="58"/>
  <c r="S14" i="58"/>
  <c r="U14" i="58"/>
  <c r="V14" i="58"/>
  <c r="S15" i="58"/>
  <c r="U15" i="58"/>
  <c r="V15" i="58"/>
  <c r="W15" i="58"/>
  <c r="S16" i="58"/>
  <c r="T16" i="58"/>
  <c r="U16" i="58"/>
  <c r="V16" i="58"/>
  <c r="W16" i="58"/>
  <c r="S17" i="58"/>
  <c r="T17" i="58"/>
  <c r="U17" i="58"/>
  <c r="V17" i="58"/>
  <c r="W17" i="58"/>
  <c r="S18" i="58"/>
  <c r="T18" i="58"/>
  <c r="U18" i="58"/>
  <c r="V18" i="58"/>
  <c r="W18" i="58"/>
  <c r="S19" i="58"/>
  <c r="T19" i="58"/>
  <c r="U19" i="58"/>
  <c r="V19" i="58"/>
  <c r="W19" i="58"/>
  <c r="S20" i="58"/>
  <c r="T20" i="58"/>
  <c r="U20" i="58"/>
  <c r="V20" i="58"/>
  <c r="W20" i="58"/>
  <c r="S21" i="58"/>
  <c r="T21" i="58"/>
  <c r="U21" i="58"/>
  <c r="V21" i="58"/>
  <c r="W21" i="58"/>
  <c r="S22" i="58"/>
  <c r="T22" i="58"/>
  <c r="U22" i="58"/>
  <c r="V22" i="58"/>
  <c r="W22" i="58"/>
  <c r="S23" i="58"/>
  <c r="T23" i="58"/>
  <c r="U23" i="58"/>
  <c r="V23" i="58"/>
  <c r="W23" i="58"/>
  <c r="S24" i="58"/>
  <c r="T24" i="58"/>
  <c r="U24" i="58"/>
  <c r="V24" i="58"/>
  <c r="W24" i="58"/>
  <c r="S25" i="58"/>
  <c r="T25" i="58"/>
  <c r="U25" i="58"/>
  <c r="V25" i="58"/>
  <c r="W25" i="58"/>
  <c r="S26" i="58"/>
  <c r="T26" i="58"/>
  <c r="U26" i="58"/>
  <c r="V26" i="58"/>
  <c r="W26" i="58"/>
  <c r="S27" i="58"/>
  <c r="T27" i="58"/>
  <c r="U27" i="58"/>
  <c r="V27" i="58"/>
  <c r="W27" i="58"/>
  <c r="S28" i="58"/>
  <c r="T28" i="58"/>
  <c r="U28" i="58"/>
  <c r="V28" i="58"/>
  <c r="W28" i="58"/>
  <c r="S29" i="58"/>
  <c r="T29" i="58"/>
  <c r="U29" i="58"/>
  <c r="V29" i="58"/>
  <c r="W29" i="58"/>
  <c r="S30" i="58"/>
  <c r="T30" i="58"/>
  <c r="U30" i="58"/>
  <c r="V30" i="58"/>
  <c r="W30" i="58"/>
  <c r="S31" i="58"/>
  <c r="T31" i="58"/>
  <c r="U31" i="58"/>
  <c r="V31" i="58"/>
  <c r="W31" i="58"/>
  <c r="A142" i="82" l="1"/>
  <c r="I7" i="49" l="1"/>
  <c r="I7" i="114"/>
  <c r="A321" i="82"/>
  <c r="A320" i="82"/>
  <c r="A319" i="82"/>
  <c r="A318" i="82"/>
  <c r="A317" i="82"/>
  <c r="A316" i="82"/>
  <c r="A315" i="82"/>
  <c r="A314" i="82"/>
  <c r="A313" i="82"/>
  <c r="A312" i="82"/>
  <c r="A311" i="82"/>
  <c r="A310" i="82"/>
  <c r="A309" i="82"/>
  <c r="A308" i="82"/>
  <c r="A307" i="82"/>
  <c r="A306" i="82"/>
  <c r="A305" i="82"/>
  <c r="C4" i="99" l="1"/>
  <c r="G4" i="99"/>
  <c r="H4" i="99"/>
  <c r="B4" i="99"/>
  <c r="E4" i="99"/>
  <c r="J4" i="99"/>
  <c r="F4" i="99"/>
  <c r="C1" i="99"/>
  <c r="E51" i="58"/>
  <c r="E49" i="58"/>
  <c r="E48" i="58"/>
  <c r="E46" i="58"/>
  <c r="E45" i="58"/>
  <c r="E44" i="58"/>
  <c r="E42" i="58"/>
  <c r="O40" i="58"/>
  <c r="P40" i="58"/>
  <c r="Q40" i="58"/>
  <c r="R40" i="58"/>
  <c r="N40" i="58"/>
  <c r="O39" i="58"/>
  <c r="P39" i="58"/>
  <c r="Q39" i="58"/>
  <c r="R39" i="58"/>
  <c r="N39" i="58"/>
  <c r="O38" i="58"/>
  <c r="P38" i="58"/>
  <c r="Q38" i="58"/>
  <c r="R38" i="58"/>
  <c r="N38" i="58"/>
  <c r="O37" i="58"/>
  <c r="P37" i="58"/>
  <c r="Q37" i="58"/>
  <c r="R37" i="58"/>
  <c r="N37" i="58"/>
  <c r="O36" i="58"/>
  <c r="P36" i="58"/>
  <c r="Q36" i="58"/>
  <c r="R36" i="58"/>
  <c r="N36" i="58"/>
  <c r="C44" i="58"/>
  <c r="C45" i="58"/>
  <c r="C46" i="58"/>
  <c r="H42" i="45"/>
  <c r="H43" i="45"/>
  <c r="H44" i="45"/>
  <c r="A376" i="82"/>
  <c r="B16" i="104" s="1"/>
  <c r="A377" i="82"/>
  <c r="B15" i="104" s="1"/>
  <c r="A378" i="82"/>
  <c r="B14" i="104" s="1"/>
  <c r="K16" i="104"/>
  <c r="D17" i="104"/>
  <c r="D18" i="104" s="1"/>
  <c r="H45" i="45"/>
  <c r="H46" i="45"/>
  <c r="H47" i="45"/>
  <c r="H48" i="45"/>
  <c r="G40" i="58"/>
  <c r="G39" i="58"/>
  <c r="G38" i="58"/>
  <c r="G37" i="58"/>
  <c r="G36" i="58"/>
  <c r="S36" i="58" s="1"/>
  <c r="E36" i="58" s="1"/>
  <c r="A516" i="82"/>
  <c r="A515" i="82"/>
  <c r="A514" i="82"/>
  <c r="A513" i="82"/>
  <c r="A512" i="82"/>
  <c r="A511" i="82"/>
  <c r="A510" i="82"/>
  <c r="A509" i="82"/>
  <c r="A508" i="82"/>
  <c r="A507" i="82"/>
  <c r="A506" i="82"/>
  <c r="A505" i="82"/>
  <c r="A504" i="82"/>
  <c r="A503" i="82"/>
  <c r="A502" i="82"/>
  <c r="A501" i="82"/>
  <c r="A500" i="82"/>
  <c r="A499" i="82"/>
  <c r="A498" i="82"/>
  <c r="A497" i="82"/>
  <c r="A496" i="82"/>
  <c r="A495" i="82"/>
  <c r="A494" i="82"/>
  <c r="A493" i="82"/>
  <c r="A492" i="82"/>
  <c r="A491" i="82"/>
  <c r="A490" i="82"/>
  <c r="A489" i="82"/>
  <c r="A488" i="82"/>
  <c r="A487" i="82"/>
  <c r="A486" i="82"/>
  <c r="A485" i="82"/>
  <c r="A484" i="82"/>
  <c r="A483" i="82"/>
  <c r="A482" i="82"/>
  <c r="A481" i="82"/>
  <c r="A480" i="82"/>
  <c r="A479" i="82"/>
  <c r="A478" i="82"/>
  <c r="A477" i="82"/>
  <c r="A476" i="82"/>
  <c r="A475" i="82"/>
  <c r="A474" i="82"/>
  <c r="A473" i="82"/>
  <c r="A472" i="82"/>
  <c r="A471" i="82"/>
  <c r="A470" i="82"/>
  <c r="A469" i="82"/>
  <c r="A468" i="82"/>
  <c r="A467" i="82"/>
  <c r="A408" i="82"/>
  <c r="O19" i="104" s="1"/>
  <c r="A407" i="82"/>
  <c r="N39" i="104" s="1"/>
  <c r="A406" i="82"/>
  <c r="N35" i="104" s="1"/>
  <c r="A405" i="82"/>
  <c r="N31" i="104" s="1"/>
  <c r="A404" i="82"/>
  <c r="N27" i="104" s="1"/>
  <c r="A403" i="82"/>
  <c r="N23" i="104" s="1"/>
  <c r="A386" i="82"/>
  <c r="A385" i="82"/>
  <c r="A384" i="82"/>
  <c r="A383" i="82"/>
  <c r="A382" i="82"/>
  <c r="A375" i="82"/>
  <c r="A374" i="82"/>
  <c r="A373" i="82"/>
  <c r="B12" i="104" s="1"/>
  <c r="A372" i="82"/>
  <c r="A371" i="82"/>
  <c r="A370" i="82"/>
  <c r="A369" i="82"/>
  <c r="A368" i="82"/>
  <c r="A367" i="82"/>
  <c r="H72" i="105" s="1"/>
  <c r="A366" i="82"/>
  <c r="A365" i="82"/>
  <c r="A364" i="82"/>
  <c r="A363" i="82"/>
  <c r="A362" i="82"/>
  <c r="A361" i="82"/>
  <c r="G4" i="105" s="1"/>
  <c r="A360" i="82"/>
  <c r="J4" i="105" s="1"/>
  <c r="A359" i="82"/>
  <c r="I4" i="105" s="1"/>
  <c r="A358" i="82"/>
  <c r="H4" i="105" s="1"/>
  <c r="A357" i="82"/>
  <c r="E4" i="105" s="1"/>
  <c r="A356" i="82"/>
  <c r="D4" i="105" s="1"/>
  <c r="A355" i="82"/>
  <c r="F4" i="105" s="1"/>
  <c r="A354" i="82"/>
  <c r="C4" i="105" s="1"/>
  <c r="A353" i="82"/>
  <c r="B4" i="105" s="1"/>
  <c r="A352" i="82"/>
  <c r="A351" i="82"/>
  <c r="A350" i="82"/>
  <c r="A349" i="82"/>
  <c r="A348" i="82"/>
  <c r="A347" i="82"/>
  <c r="A346" i="82"/>
  <c r="H75" i="105" s="1"/>
  <c r="A345" i="82"/>
  <c r="H74" i="105" s="1"/>
  <c r="A344" i="82"/>
  <c r="H73" i="105" s="1"/>
  <c r="A343" i="82"/>
  <c r="A342" i="82"/>
  <c r="A341" i="82"/>
  <c r="A340" i="82"/>
  <c r="A339" i="82"/>
  <c r="B1" i="105" s="1"/>
  <c r="A338" i="82"/>
  <c r="A337" i="82"/>
  <c r="D36" i="44" s="1"/>
  <c r="A336" i="82"/>
  <c r="H36" i="44" s="1"/>
  <c r="A335" i="82"/>
  <c r="F36" i="44" s="1"/>
  <c r="A334" i="82"/>
  <c r="D34" i="44" s="1"/>
  <c r="A333" i="82"/>
  <c r="A332" i="82"/>
  <c r="A331" i="82"/>
  <c r="A330" i="82"/>
  <c r="A329" i="82"/>
  <c r="A328" i="82"/>
  <c r="A327" i="82"/>
  <c r="A326" i="82"/>
  <c r="A325" i="82"/>
  <c r="A324" i="82"/>
  <c r="A323" i="82"/>
  <c r="A322" i="82"/>
  <c r="A304" i="82"/>
  <c r="G6" i="96" s="1"/>
  <c r="G33" i="96" s="1"/>
  <c r="A303" i="82"/>
  <c r="F6" i="96" s="1"/>
  <c r="N24" i="96" s="1"/>
  <c r="A302" i="82"/>
  <c r="E6" i="96" s="1"/>
  <c r="A301" i="82"/>
  <c r="D6" i="96" s="1"/>
  <c r="A300" i="82"/>
  <c r="C6" i="96" s="1"/>
  <c r="C33" i="96" s="1"/>
  <c r="A299" i="82"/>
  <c r="B6" i="96" s="1"/>
  <c r="A298" i="82"/>
  <c r="H6" i="96" s="1"/>
  <c r="A297" i="82"/>
  <c r="B1" i="96" s="1"/>
  <c r="A296" i="82"/>
  <c r="J4" i="94" s="1"/>
  <c r="A295" i="82"/>
  <c r="E4" i="94" s="1"/>
  <c r="A294" i="82"/>
  <c r="A293" i="82"/>
  <c r="A292" i="82"/>
  <c r="C4" i="94" s="1"/>
  <c r="A291" i="82"/>
  <c r="B4" i="94" s="1"/>
  <c r="A290" i="82"/>
  <c r="B1" i="94" s="1"/>
  <c r="A288" i="82"/>
  <c r="D35" i="90" s="1"/>
  <c r="D50" i="90" s="1"/>
  <c r="A287" i="82"/>
  <c r="A286" i="82"/>
  <c r="I24" i="90" s="1"/>
  <c r="A285" i="82"/>
  <c r="H24" i="90" s="1"/>
  <c r="A284" i="82"/>
  <c r="G24" i="90" s="1"/>
  <c r="G69" i="90" s="1"/>
  <c r="A283" i="82"/>
  <c r="E39" i="90" s="1"/>
  <c r="A282" i="82"/>
  <c r="F24" i="90" s="1"/>
  <c r="F39" i="90" s="1"/>
  <c r="A281" i="82"/>
  <c r="D24" i="90" s="1"/>
  <c r="D84" i="90" s="1"/>
  <c r="A280" i="82"/>
  <c r="C24" i="90" s="1"/>
  <c r="A279" i="82"/>
  <c r="B24" i="90" s="1"/>
  <c r="A278" i="82"/>
  <c r="C53" i="90" s="1"/>
  <c r="F8" i="90" s="1"/>
  <c r="A277" i="82"/>
  <c r="C83" i="90" s="1"/>
  <c r="F10" i="90" s="1"/>
  <c r="A276" i="82"/>
  <c r="C38" i="90" s="1"/>
  <c r="F7" i="90" s="1"/>
  <c r="A275" i="82"/>
  <c r="C68" i="90" s="1"/>
  <c r="F9" i="90" s="1"/>
  <c r="A274" i="82"/>
  <c r="C23" i="90" s="1"/>
  <c r="F6" i="90" s="1"/>
  <c r="A273" i="82"/>
  <c r="B1" i="90" s="1"/>
  <c r="A272" i="82"/>
  <c r="A271" i="82"/>
  <c r="I4" i="88" s="1"/>
  <c r="A270" i="82"/>
  <c r="H4" i="88" s="1"/>
  <c r="A269" i="82"/>
  <c r="G4" i="88" s="1"/>
  <c r="A268" i="82"/>
  <c r="D4" i="88" s="1"/>
  <c r="A267" i="82"/>
  <c r="E4" i="88" s="1"/>
  <c r="A266" i="82"/>
  <c r="F4" i="88" s="1"/>
  <c r="A265" i="82"/>
  <c r="C4" i="88" s="1"/>
  <c r="A264" i="82"/>
  <c r="A263" i="82"/>
  <c r="A262" i="82"/>
  <c r="A261" i="82"/>
  <c r="A260" i="82"/>
  <c r="A259" i="82"/>
  <c r="A258" i="82"/>
  <c r="A257" i="82"/>
  <c r="A256" i="82"/>
  <c r="A255" i="82"/>
  <c r="B1" i="88" s="1"/>
  <c r="A254" i="82"/>
  <c r="P27" i="92" s="1"/>
  <c r="P53" i="92" s="1"/>
  <c r="A253" i="82"/>
  <c r="C27" i="92" s="1"/>
  <c r="P55" i="92" s="1"/>
  <c r="A252" i="82"/>
  <c r="P5" i="92" s="1"/>
  <c r="P54" i="92" s="1"/>
  <c r="A251" i="82"/>
  <c r="C5" i="92" s="1"/>
  <c r="P52" i="92" s="1"/>
  <c r="A250" i="82"/>
  <c r="B1" i="92" s="1"/>
  <c r="A249" i="82"/>
  <c r="A248" i="82"/>
  <c r="A247" i="82"/>
  <c r="A246" i="82"/>
  <c r="A245" i="82"/>
  <c r="A244" i="82"/>
  <c r="A243" i="82"/>
  <c r="A242" i="82"/>
  <c r="E61" i="84" s="1"/>
  <c r="A241" i="82"/>
  <c r="E30" i="84" s="1"/>
  <c r="A240" i="82"/>
  <c r="E7" i="84" s="1"/>
  <c r="A239" i="82"/>
  <c r="E77" i="84" s="1"/>
  <c r="A238" i="82"/>
  <c r="E24" i="84" s="1"/>
  <c r="A237" i="82"/>
  <c r="E59" i="84" s="1"/>
  <c r="A236" i="82"/>
  <c r="B56" i="113" s="1"/>
  <c r="A235" i="82"/>
  <c r="E65" i="84" s="1"/>
  <c r="A234" i="82"/>
  <c r="A233" i="82"/>
  <c r="AI9" i="58" s="1"/>
  <c r="A232" i="82"/>
  <c r="CO5" i="84" s="1"/>
  <c r="CO28" i="84" s="1"/>
  <c r="CO65" i="84" s="1"/>
  <c r="A231" i="82"/>
  <c r="A230" i="82"/>
  <c r="A229" i="82"/>
  <c r="A228" i="82"/>
  <c r="A227" i="82"/>
  <c r="A226" i="82"/>
  <c r="F1" i="84" s="1"/>
  <c r="A225" i="82"/>
  <c r="A224" i="82"/>
  <c r="A223" i="82"/>
  <c r="A222" i="82"/>
  <c r="A220" i="82"/>
  <c r="A219" i="82"/>
  <c r="A218" i="82"/>
  <c r="AB33" i="58" s="1"/>
  <c r="A217" i="82"/>
  <c r="A216" i="82"/>
  <c r="AM9" i="58" s="1"/>
  <c r="A214" i="82"/>
  <c r="AK9" i="58" s="1"/>
  <c r="A213" i="82"/>
  <c r="AE9" i="58" s="1"/>
  <c r="A212" i="82"/>
  <c r="AD9" i="58" s="1"/>
  <c r="A211" i="82"/>
  <c r="AD7" i="58" s="1"/>
  <c r="A210" i="82"/>
  <c r="AC9" i="58" s="1"/>
  <c r="A209" i="82"/>
  <c r="AA9" i="58" s="1"/>
  <c r="A208" i="82"/>
  <c r="X9" i="58" s="1"/>
  <c r="A207" i="82"/>
  <c r="E9" i="58" s="1"/>
  <c r="A206" i="82"/>
  <c r="D9" i="58" s="1"/>
  <c r="A205" i="82"/>
  <c r="C9" i="58" s="1"/>
  <c r="A204" i="82"/>
  <c r="B9" i="58" s="1"/>
  <c r="A203" i="82"/>
  <c r="A202" i="82"/>
  <c r="B40" i="48" s="1"/>
  <c r="A201" i="82"/>
  <c r="A200" i="82"/>
  <c r="A199" i="82"/>
  <c r="B24" i="48" s="1"/>
  <c r="A198" i="82"/>
  <c r="A197" i="82"/>
  <c r="B16" i="48" s="1"/>
  <c r="A196" i="82"/>
  <c r="B9" i="48" s="1"/>
  <c r="B17" i="48" s="1"/>
  <c r="B34" i="48" s="1"/>
  <c r="A195" i="82"/>
  <c r="E16" i="48" s="1"/>
  <c r="A194" i="82"/>
  <c r="A193" i="82"/>
  <c r="A192" i="82"/>
  <c r="A191" i="82"/>
  <c r="A190" i="82"/>
  <c r="A189" i="82"/>
  <c r="H4" i="94" s="1"/>
  <c r="A188" i="82"/>
  <c r="A187" i="82"/>
  <c r="A186" i="82"/>
  <c r="A185" i="82"/>
  <c r="A184" i="82"/>
  <c r="A183" i="82"/>
  <c r="A182" i="82"/>
  <c r="A181" i="82"/>
  <c r="A180" i="82"/>
  <c r="A179" i="82"/>
  <c r="A178" i="82"/>
  <c r="A177" i="82"/>
  <c r="A176" i="82"/>
  <c r="A175" i="82"/>
  <c r="A174" i="82"/>
  <c r="A173" i="82"/>
  <c r="A172" i="82"/>
  <c r="A171" i="82"/>
  <c r="A170" i="82"/>
  <c r="A169" i="82"/>
  <c r="A168" i="82"/>
  <c r="A141" i="82"/>
  <c r="A140" i="82"/>
  <c r="A139" i="82"/>
  <c r="A138" i="82"/>
  <c r="A137" i="82"/>
  <c r="AK7" i="58" s="1"/>
  <c r="A136" i="82"/>
  <c r="A135" i="82"/>
  <c r="A133" i="82"/>
  <c r="A132" i="82"/>
  <c r="A131" i="82"/>
  <c r="A129" i="82"/>
  <c r="A128" i="82"/>
  <c r="A127" i="82"/>
  <c r="A126" i="82"/>
  <c r="A125" i="82"/>
  <c r="A124" i="82"/>
  <c r="A123" i="82"/>
  <c r="A122" i="82"/>
  <c r="A121" i="82"/>
  <c r="A120" i="82"/>
  <c r="A97" i="82"/>
  <c r="B57" i="45" s="1"/>
  <c r="B55" i="48" s="1"/>
  <c r="A96" i="82"/>
  <c r="B56" i="45" s="1"/>
  <c r="B54" i="48" s="1"/>
  <c r="A95" i="82"/>
  <c r="B55" i="45" s="1"/>
  <c r="B53" i="48" s="1"/>
  <c r="A94" i="82"/>
  <c r="A93" i="82"/>
  <c r="A92" i="82"/>
  <c r="A91" i="82"/>
  <c r="A90" i="82"/>
  <c r="A89" i="82"/>
  <c r="A88" i="82"/>
  <c r="B49" i="45" s="1"/>
  <c r="A87" i="82"/>
  <c r="J40" i="45" s="1"/>
  <c r="A86" i="82"/>
  <c r="H40" i="45" s="1"/>
  <c r="A85" i="82"/>
  <c r="C40" i="45" s="1"/>
  <c r="A84" i="82"/>
  <c r="B40" i="45" s="1"/>
  <c r="A83" i="82"/>
  <c r="B39" i="45" s="1"/>
  <c r="A82" i="82"/>
  <c r="B35" i="45" s="1"/>
  <c r="A81" i="82"/>
  <c r="A80" i="82"/>
  <c r="A79" i="82"/>
  <c r="A78" i="82"/>
  <c r="A77" i="82"/>
  <c r="B33" i="45" s="1"/>
  <c r="B52" i="113" s="1"/>
  <c r="A76" i="82"/>
  <c r="A75" i="82"/>
  <c r="A74" i="82"/>
  <c r="A73" i="82"/>
  <c r="CO7" i="84" s="1"/>
  <c r="A72" i="82"/>
  <c r="A71" i="82"/>
  <c r="B31" i="45" s="1"/>
  <c r="B50" i="113" s="1"/>
  <c r="A70" i="82"/>
  <c r="B29" i="45" s="1"/>
  <c r="A69" i="82"/>
  <c r="B22" i="45" s="1"/>
  <c r="A68" i="82"/>
  <c r="A67" i="82"/>
  <c r="B15" i="45" s="1"/>
  <c r="A66" i="82"/>
  <c r="B9" i="45" s="1"/>
  <c r="A65" i="82"/>
  <c r="B7" i="45" s="1"/>
  <c r="A64" i="82"/>
  <c r="H6" i="45" s="1"/>
  <c r="J5" i="113" s="1"/>
  <c r="A63" i="82"/>
  <c r="E6" i="45" s="1"/>
  <c r="D3" i="115" s="1"/>
  <c r="A62" i="82"/>
  <c r="B6" i="45" s="1"/>
  <c r="B5" i="113" s="1"/>
  <c r="A61" i="82"/>
  <c r="H5" i="45" s="1"/>
  <c r="A60" i="82"/>
  <c r="E5" i="45" s="1"/>
  <c r="C3" i="115" s="1"/>
  <c r="A59" i="82"/>
  <c r="A58" i="82"/>
  <c r="H4" i="45" s="1"/>
  <c r="J3" i="113" s="1"/>
  <c r="A57" i="82"/>
  <c r="E4" i="45" s="1"/>
  <c r="E3" i="113" s="1"/>
  <c r="A56" i="82"/>
  <c r="B4" i="45" s="1"/>
  <c r="B3" i="113" s="1"/>
  <c r="A55" i="82"/>
  <c r="A49" i="82"/>
  <c r="G3" i="44" s="1"/>
  <c r="A48" i="82"/>
  <c r="K3" i="44" s="1"/>
  <c r="A47" i="82"/>
  <c r="D4" i="104" s="1"/>
  <c r="A46" i="82"/>
  <c r="A45" i="82"/>
  <c r="A44" i="82"/>
  <c r="A43" i="82"/>
  <c r="A42" i="82"/>
  <c r="B1" i="45" s="1"/>
  <c r="A41" i="82"/>
  <c r="A40" i="82"/>
  <c r="A39" i="82"/>
  <c r="A38" i="82"/>
  <c r="A37" i="82"/>
  <c r="A36" i="82"/>
  <c r="A35" i="82"/>
  <c r="A34" i="82"/>
  <c r="A33" i="82"/>
  <c r="A32" i="82"/>
  <c r="A31" i="82"/>
  <c r="A30" i="82"/>
  <c r="A29" i="82"/>
  <c r="A28" i="82"/>
  <c r="A27" i="82"/>
  <c r="A26" i="82"/>
  <c r="A25" i="82"/>
  <c r="A24" i="82"/>
  <c r="A23" i="82"/>
  <c r="A22" i="82"/>
  <c r="A21" i="82"/>
  <c r="A20" i="82"/>
  <c r="A19" i="82"/>
  <c r="A18" i="82"/>
  <c r="A17" i="82"/>
  <c r="A16" i="82"/>
  <c r="A15" i="82"/>
  <c r="A14" i="82"/>
  <c r="A13" i="82"/>
  <c r="A12" i="82"/>
  <c r="A11" i="82"/>
  <c r="A10" i="82"/>
  <c r="A9" i="82"/>
  <c r="A8" i="82"/>
  <c r="A7" i="82"/>
  <c r="A6" i="82"/>
  <c r="A5" i="82"/>
  <c r="A1" i="82"/>
  <c r="AV31" i="58"/>
  <c r="AU31" i="58"/>
  <c r="AT31" i="58"/>
  <c r="AV30" i="58"/>
  <c r="AU30" i="58"/>
  <c r="AT30" i="58"/>
  <c r="AV29" i="58"/>
  <c r="AU29" i="58"/>
  <c r="AT29" i="58"/>
  <c r="AV28" i="58"/>
  <c r="AU28" i="58"/>
  <c r="AT28" i="58"/>
  <c r="AV27" i="58"/>
  <c r="AU27" i="58"/>
  <c r="AT27" i="58"/>
  <c r="AV26" i="58"/>
  <c r="AU26" i="58"/>
  <c r="AT26" i="58"/>
  <c r="AV25" i="58"/>
  <c r="AU25" i="58"/>
  <c r="AT25" i="58"/>
  <c r="AV24" i="58"/>
  <c r="AU24" i="58"/>
  <c r="AT24" i="58"/>
  <c r="AV23" i="58"/>
  <c r="AU23" i="58"/>
  <c r="AT23" i="58"/>
  <c r="AV22" i="58"/>
  <c r="AU22" i="58"/>
  <c r="AT22" i="58"/>
  <c r="AV21" i="58"/>
  <c r="AU21" i="58"/>
  <c r="AT21" i="58"/>
  <c r="AV20" i="58"/>
  <c r="AU20" i="58"/>
  <c r="AT20" i="58"/>
  <c r="AV19" i="58"/>
  <c r="AU19" i="58"/>
  <c r="AT19" i="58"/>
  <c r="AV18" i="58"/>
  <c r="AU18" i="58"/>
  <c r="AT18" i="58"/>
  <c r="AV17" i="58"/>
  <c r="AU17" i="58"/>
  <c r="AT17" i="58"/>
  <c r="AV16" i="58"/>
  <c r="AU16" i="58"/>
  <c r="AU15" i="58"/>
  <c r="AV14" i="58"/>
  <c r="AV13" i="58"/>
  <c r="AU13" i="58"/>
  <c r="B41" i="45"/>
  <c r="H41" i="45" s="1"/>
  <c r="Q48" i="92"/>
  <c r="Q53" i="92"/>
  <c r="D48" i="92"/>
  <c r="Q55" i="92" s="1"/>
  <c r="Q27" i="92"/>
  <c r="Q54" i="92" s="1"/>
  <c r="D27" i="92"/>
  <c r="Q52" i="92" s="1"/>
  <c r="E28" i="92"/>
  <c r="BK12" i="58"/>
  <c r="BA12" i="58" s="1"/>
  <c r="BK13" i="58"/>
  <c r="BA13" i="58" s="1"/>
  <c r="BK14" i="58"/>
  <c r="BA14" i="58" s="1"/>
  <c r="AH14" i="58" s="1"/>
  <c r="BK15" i="58"/>
  <c r="BA15" i="58" s="1"/>
  <c r="AH15" i="58" s="1"/>
  <c r="BK16" i="58"/>
  <c r="BA16" i="58" s="1"/>
  <c r="AH16" i="58" s="1"/>
  <c r="BK17" i="58"/>
  <c r="BA17" i="58" s="1"/>
  <c r="AH17" i="58" s="1"/>
  <c r="BK18" i="58"/>
  <c r="BA18" i="58" s="1"/>
  <c r="AH18" i="58" s="1"/>
  <c r="BK19" i="58"/>
  <c r="BA19" i="58" s="1"/>
  <c r="AH19" i="58" s="1"/>
  <c r="BK20" i="58"/>
  <c r="BA20" i="58" s="1"/>
  <c r="AH20" i="58" s="1"/>
  <c r="BK21" i="58"/>
  <c r="BA21" i="58" s="1"/>
  <c r="AH21" i="58" s="1"/>
  <c r="BK22" i="58"/>
  <c r="BA22" i="58" s="1"/>
  <c r="AH22" i="58" s="1"/>
  <c r="BK23" i="58"/>
  <c r="BA23" i="58" s="1"/>
  <c r="AH23" i="58" s="1"/>
  <c r="BK24" i="58"/>
  <c r="BA24" i="58" s="1"/>
  <c r="AH24" i="58" s="1"/>
  <c r="BK25" i="58"/>
  <c r="BA25" i="58" s="1"/>
  <c r="AH25" i="58" s="1"/>
  <c r="BK26" i="58"/>
  <c r="BA26" i="58" s="1"/>
  <c r="AH26" i="58" s="1"/>
  <c r="BK27" i="58"/>
  <c r="BA27" i="58"/>
  <c r="AH27" i="58"/>
  <c r="BK28" i="58"/>
  <c r="BA28" i="58" s="1"/>
  <c r="AH28" i="58" s="1"/>
  <c r="BK29" i="58"/>
  <c r="BK30" i="58"/>
  <c r="BA30" i="58" s="1"/>
  <c r="AH30" i="58" s="1"/>
  <c r="BK31" i="58"/>
  <c r="BA31" i="58" s="1"/>
  <c r="AH31" i="58" s="1"/>
  <c r="BK11" i="58"/>
  <c r="BA11" i="58" s="1"/>
  <c r="AZ12" i="58"/>
  <c r="AN12" i="58"/>
  <c r="M12" i="58"/>
  <c r="L12" i="58"/>
  <c r="K12" i="58"/>
  <c r="J12" i="58"/>
  <c r="I12" i="58"/>
  <c r="AN3" i="58"/>
  <c r="I13" i="58"/>
  <c r="J13" i="58"/>
  <c r="K13" i="58"/>
  <c r="L13" i="58"/>
  <c r="M13" i="58"/>
  <c r="I14" i="58"/>
  <c r="J14" i="58"/>
  <c r="K14" i="58"/>
  <c r="L14" i="58"/>
  <c r="M14" i="58"/>
  <c r="I15" i="58"/>
  <c r="J15" i="58"/>
  <c r="K15" i="58"/>
  <c r="L15" i="58"/>
  <c r="M15" i="58"/>
  <c r="I16" i="58"/>
  <c r="J16" i="58"/>
  <c r="K16" i="58"/>
  <c r="L16" i="58"/>
  <c r="M16" i="58"/>
  <c r="I17" i="58"/>
  <c r="J17" i="58"/>
  <c r="K17" i="58"/>
  <c r="L17" i="58"/>
  <c r="M17" i="58"/>
  <c r="I18" i="58"/>
  <c r="J18" i="58"/>
  <c r="K18" i="58"/>
  <c r="L18" i="58"/>
  <c r="M18" i="58"/>
  <c r="I19" i="58"/>
  <c r="J19" i="58"/>
  <c r="K19" i="58"/>
  <c r="L19" i="58"/>
  <c r="M19" i="58"/>
  <c r="I20" i="58"/>
  <c r="J20" i="58"/>
  <c r="K20" i="58"/>
  <c r="L20" i="58"/>
  <c r="M20" i="58"/>
  <c r="I21" i="58"/>
  <c r="J21" i="58"/>
  <c r="K21" i="58"/>
  <c r="L21" i="58"/>
  <c r="M21" i="58"/>
  <c r="I22" i="58"/>
  <c r="J22" i="58"/>
  <c r="K22" i="58"/>
  <c r="L22" i="58"/>
  <c r="M22" i="58"/>
  <c r="I23" i="58"/>
  <c r="J23" i="58"/>
  <c r="K23" i="58"/>
  <c r="L23" i="58"/>
  <c r="M23" i="58"/>
  <c r="I24" i="58"/>
  <c r="J24" i="58"/>
  <c r="K24" i="58"/>
  <c r="L24" i="58"/>
  <c r="M24" i="58"/>
  <c r="I25" i="58"/>
  <c r="J25" i="58"/>
  <c r="K25" i="58"/>
  <c r="L25" i="58"/>
  <c r="M25" i="58"/>
  <c r="I26" i="58"/>
  <c r="J26" i="58"/>
  <c r="K26" i="58"/>
  <c r="L26" i="58"/>
  <c r="M26" i="58"/>
  <c r="I27" i="58"/>
  <c r="J27" i="58"/>
  <c r="K27" i="58"/>
  <c r="L27" i="58"/>
  <c r="M27" i="58"/>
  <c r="I28" i="58"/>
  <c r="J28" i="58"/>
  <c r="K28" i="58"/>
  <c r="L28" i="58"/>
  <c r="M28" i="58"/>
  <c r="I29" i="58"/>
  <c r="J29" i="58"/>
  <c r="K29" i="58"/>
  <c r="L29" i="58"/>
  <c r="M29" i="58"/>
  <c r="I30" i="58"/>
  <c r="J30" i="58"/>
  <c r="K30" i="58"/>
  <c r="L30" i="58"/>
  <c r="M30" i="58"/>
  <c r="I31" i="58"/>
  <c r="J31" i="58"/>
  <c r="K31" i="58"/>
  <c r="L31" i="58"/>
  <c r="M31" i="58"/>
  <c r="M11" i="58"/>
  <c r="L11" i="58"/>
  <c r="K11" i="58"/>
  <c r="J11" i="58"/>
  <c r="I11" i="58"/>
  <c r="AR19" i="58"/>
  <c r="AR20" i="58"/>
  <c r="AR21" i="58"/>
  <c r="AR22" i="58"/>
  <c r="AR23" i="58"/>
  <c r="AR24" i="58"/>
  <c r="AR25" i="58"/>
  <c r="AR26" i="58"/>
  <c r="AR27" i="58"/>
  <c r="AR28" i="58"/>
  <c r="AR29" i="58"/>
  <c r="AR30" i="58"/>
  <c r="AR31" i="58"/>
  <c r="H52" i="58"/>
  <c r="H51" i="58"/>
  <c r="H50" i="58"/>
  <c r="H49" i="58"/>
  <c r="H48" i="58"/>
  <c r="AQ17" i="58"/>
  <c r="AQ18" i="58"/>
  <c r="AQ19" i="58"/>
  <c r="AQ20" i="58"/>
  <c r="AQ21" i="58"/>
  <c r="AQ22" i="58"/>
  <c r="AQ23" i="58"/>
  <c r="AQ24" i="58"/>
  <c r="AQ25" i="58"/>
  <c r="AQ26" i="58"/>
  <c r="AQ27" i="58"/>
  <c r="AQ28" i="58"/>
  <c r="AQ29" i="58"/>
  <c r="AQ30" i="58"/>
  <c r="AQ31" i="58"/>
  <c r="AP17" i="58"/>
  <c r="AP18" i="58"/>
  <c r="AP19" i="58"/>
  <c r="AP20" i="58"/>
  <c r="AP21" i="58"/>
  <c r="AP22" i="58"/>
  <c r="AP23" i="58"/>
  <c r="AP24" i="58"/>
  <c r="AP25" i="58"/>
  <c r="AP26" i="58"/>
  <c r="AP27" i="58"/>
  <c r="AP28" i="58"/>
  <c r="AP29" i="58"/>
  <c r="AP30" i="58"/>
  <c r="AP31" i="58"/>
  <c r="X46" i="58"/>
  <c r="X45" i="58"/>
  <c r="X44" i="58"/>
  <c r="X43" i="58"/>
  <c r="X42" i="58"/>
  <c r="G46" i="58"/>
  <c r="G45" i="58"/>
  <c r="G44" i="58"/>
  <c r="G43" i="58"/>
  <c r="G42" i="58"/>
  <c r="D42" i="58"/>
  <c r="AN4" i="58"/>
  <c r="AN5" i="58"/>
  <c r="AN6" i="58"/>
  <c r="AN7" i="58"/>
  <c r="AN8" i="58"/>
  <c r="AN9" i="58"/>
  <c r="AN10" i="58"/>
  <c r="AN11" i="58"/>
  <c r="AN13" i="58"/>
  <c r="AN14" i="58"/>
  <c r="AN15" i="58"/>
  <c r="AN16" i="58"/>
  <c r="AN17" i="58"/>
  <c r="AN18" i="58"/>
  <c r="AN19" i="58"/>
  <c r="AN20" i="58"/>
  <c r="AN21" i="58"/>
  <c r="AN22" i="58"/>
  <c r="AN23" i="58"/>
  <c r="AN24" i="58"/>
  <c r="AN25" i="58"/>
  <c r="AN2" i="58"/>
  <c r="BA29" i="58"/>
  <c r="AH29" i="58" s="1"/>
  <c r="E95" i="90"/>
  <c r="G10" i="90" s="1"/>
  <c r="E80" i="90"/>
  <c r="G9" i="90" s="1"/>
  <c r="E65" i="90"/>
  <c r="G8" i="90" s="1"/>
  <c r="E50" i="90"/>
  <c r="G7" i="90" s="1"/>
  <c r="E35" i="90"/>
  <c r="G6" i="90" s="1"/>
  <c r="E45" i="92"/>
  <c r="F45" i="92"/>
  <c r="G45" i="92"/>
  <c r="H45" i="92"/>
  <c r="I45" i="92"/>
  <c r="J45" i="92"/>
  <c r="K45" i="92"/>
  <c r="L45" i="92"/>
  <c r="M45" i="92"/>
  <c r="N45" i="92"/>
  <c r="E46" i="92"/>
  <c r="F46" i="92"/>
  <c r="G46" i="92"/>
  <c r="H46" i="92"/>
  <c r="I46" i="92"/>
  <c r="J46" i="92"/>
  <c r="K46" i="92"/>
  <c r="L46" i="92"/>
  <c r="M46" i="92"/>
  <c r="N46" i="92"/>
  <c r="E47" i="92"/>
  <c r="F47" i="92"/>
  <c r="G47" i="92"/>
  <c r="H47" i="92"/>
  <c r="I47" i="92"/>
  <c r="J47" i="92"/>
  <c r="K47" i="92"/>
  <c r="L47" i="92"/>
  <c r="M47" i="92"/>
  <c r="N47" i="92"/>
  <c r="E24" i="92"/>
  <c r="F24" i="92"/>
  <c r="G24" i="92"/>
  <c r="H24" i="92"/>
  <c r="I24" i="92"/>
  <c r="J24" i="92"/>
  <c r="K24" i="92"/>
  <c r="L24" i="92"/>
  <c r="M24" i="92"/>
  <c r="N24" i="92"/>
  <c r="E25" i="92"/>
  <c r="F25" i="92"/>
  <c r="G25" i="92"/>
  <c r="H25" i="92"/>
  <c r="I25" i="92"/>
  <c r="J25" i="92"/>
  <c r="K25" i="92"/>
  <c r="L25" i="92"/>
  <c r="M25" i="92"/>
  <c r="N25" i="92"/>
  <c r="E26" i="92"/>
  <c r="F26" i="92"/>
  <c r="G26" i="92"/>
  <c r="H26" i="92"/>
  <c r="I26" i="92"/>
  <c r="J26" i="92"/>
  <c r="K26" i="92"/>
  <c r="L26" i="92"/>
  <c r="M26" i="92"/>
  <c r="N26" i="92"/>
  <c r="N44" i="92"/>
  <c r="M44" i="92"/>
  <c r="L44" i="92"/>
  <c r="K44" i="92"/>
  <c r="J44" i="92"/>
  <c r="I44" i="92"/>
  <c r="H44" i="92"/>
  <c r="G44" i="92"/>
  <c r="F44" i="92"/>
  <c r="E44" i="92"/>
  <c r="N43" i="92"/>
  <c r="M43" i="92"/>
  <c r="L43" i="92"/>
  <c r="K43" i="92"/>
  <c r="J43" i="92"/>
  <c r="I43" i="92"/>
  <c r="H43" i="92"/>
  <c r="G43" i="92"/>
  <c r="F43" i="92"/>
  <c r="E43" i="92"/>
  <c r="N42" i="92"/>
  <c r="M42" i="92"/>
  <c r="L42" i="92"/>
  <c r="K42" i="92"/>
  <c r="J42" i="92"/>
  <c r="I42" i="92"/>
  <c r="H42" i="92"/>
  <c r="G42" i="92"/>
  <c r="F42" i="92"/>
  <c r="E42" i="92"/>
  <c r="N41" i="92"/>
  <c r="M41" i="92"/>
  <c r="L41" i="92"/>
  <c r="K41" i="92"/>
  <c r="J41" i="92"/>
  <c r="I41" i="92"/>
  <c r="H41" i="92"/>
  <c r="G41" i="92"/>
  <c r="F41" i="92"/>
  <c r="E41" i="92"/>
  <c r="N40" i="92"/>
  <c r="M40" i="92"/>
  <c r="L40" i="92"/>
  <c r="K40" i="92"/>
  <c r="J40" i="92"/>
  <c r="I40" i="92"/>
  <c r="H40" i="92"/>
  <c r="G40" i="92"/>
  <c r="F40" i="92"/>
  <c r="E40" i="92"/>
  <c r="N39" i="92"/>
  <c r="M39" i="92"/>
  <c r="L39" i="92"/>
  <c r="K39" i="92"/>
  <c r="J39" i="92"/>
  <c r="I39" i="92"/>
  <c r="H39" i="92"/>
  <c r="G39" i="92"/>
  <c r="F39" i="92"/>
  <c r="E39" i="92"/>
  <c r="N38" i="92"/>
  <c r="M38" i="92"/>
  <c r="L38" i="92"/>
  <c r="K38" i="92"/>
  <c r="J38" i="92"/>
  <c r="I38" i="92"/>
  <c r="H38" i="92"/>
  <c r="G38" i="92"/>
  <c r="F38" i="92"/>
  <c r="E38" i="92"/>
  <c r="N37" i="92"/>
  <c r="M37" i="92"/>
  <c r="L37" i="92"/>
  <c r="K37" i="92"/>
  <c r="J37" i="92"/>
  <c r="I37" i="92"/>
  <c r="H37" i="92"/>
  <c r="G37" i="92"/>
  <c r="F37" i="92"/>
  <c r="E37" i="92"/>
  <c r="N36" i="92"/>
  <c r="M36" i="92"/>
  <c r="L36" i="92"/>
  <c r="K36" i="92"/>
  <c r="J36" i="92"/>
  <c r="I36" i="92"/>
  <c r="H36" i="92"/>
  <c r="G36" i="92"/>
  <c r="F36" i="92"/>
  <c r="E36" i="92"/>
  <c r="N35" i="92"/>
  <c r="M35" i="92"/>
  <c r="L35" i="92"/>
  <c r="K35" i="92"/>
  <c r="J35" i="92"/>
  <c r="I35" i="92"/>
  <c r="H35" i="92"/>
  <c r="G35" i="92"/>
  <c r="F35" i="92"/>
  <c r="E35" i="92"/>
  <c r="N34" i="92"/>
  <c r="M34" i="92"/>
  <c r="L34" i="92"/>
  <c r="K34" i="92"/>
  <c r="J34" i="92"/>
  <c r="I34" i="92"/>
  <c r="H34" i="92"/>
  <c r="G34" i="92"/>
  <c r="F34" i="92"/>
  <c r="E34" i="92"/>
  <c r="N33" i="92"/>
  <c r="M33" i="92"/>
  <c r="L33" i="92"/>
  <c r="K33" i="92"/>
  <c r="J33" i="92"/>
  <c r="I33" i="92"/>
  <c r="H33" i="92"/>
  <c r="G33" i="92"/>
  <c r="F33" i="92"/>
  <c r="E33" i="92"/>
  <c r="N32" i="92"/>
  <c r="M32" i="92"/>
  <c r="L32" i="92"/>
  <c r="K32" i="92"/>
  <c r="J32" i="92"/>
  <c r="I32" i="92"/>
  <c r="H32" i="92"/>
  <c r="G32" i="92"/>
  <c r="F32" i="92"/>
  <c r="E32" i="92"/>
  <c r="N31" i="92"/>
  <c r="M31" i="92"/>
  <c r="L31" i="92"/>
  <c r="K31" i="92"/>
  <c r="J31" i="92"/>
  <c r="I31" i="92"/>
  <c r="H31" i="92"/>
  <c r="G31" i="92"/>
  <c r="F31" i="92"/>
  <c r="E31" i="92"/>
  <c r="N30" i="92"/>
  <c r="M30" i="92"/>
  <c r="L30" i="92"/>
  <c r="K30" i="92"/>
  <c r="J30" i="92"/>
  <c r="I30" i="92"/>
  <c r="H30" i="92"/>
  <c r="G30" i="92"/>
  <c r="F30" i="92"/>
  <c r="E30" i="92"/>
  <c r="N29" i="92"/>
  <c r="M29" i="92"/>
  <c r="L29" i="92"/>
  <c r="K29" i="92"/>
  <c r="J29" i="92"/>
  <c r="I29" i="92"/>
  <c r="H29" i="92"/>
  <c r="G29" i="92"/>
  <c r="F29" i="92"/>
  <c r="E29" i="92"/>
  <c r="N28" i="92"/>
  <c r="M28" i="92"/>
  <c r="L28" i="92"/>
  <c r="K28" i="92"/>
  <c r="J28" i="92"/>
  <c r="I28" i="92"/>
  <c r="H28" i="92"/>
  <c r="G28" i="92"/>
  <c r="F28" i="92"/>
  <c r="J8" i="92"/>
  <c r="K8" i="92"/>
  <c r="L8" i="92"/>
  <c r="M8" i="92"/>
  <c r="N8" i="92"/>
  <c r="J9" i="92"/>
  <c r="K9" i="92"/>
  <c r="L9" i="92"/>
  <c r="M9" i="92"/>
  <c r="N9" i="92"/>
  <c r="J10" i="92"/>
  <c r="K10" i="92"/>
  <c r="L10" i="92"/>
  <c r="M10" i="92"/>
  <c r="N10" i="92"/>
  <c r="J11" i="92"/>
  <c r="K11" i="92"/>
  <c r="L11" i="92"/>
  <c r="M11" i="92"/>
  <c r="N11" i="92"/>
  <c r="J12" i="92"/>
  <c r="K12" i="92"/>
  <c r="L12" i="92"/>
  <c r="M12" i="92"/>
  <c r="N12" i="92"/>
  <c r="J13" i="92"/>
  <c r="K13" i="92"/>
  <c r="L13" i="92"/>
  <c r="M13" i="92"/>
  <c r="N13" i="92"/>
  <c r="J14" i="92"/>
  <c r="K14" i="92"/>
  <c r="L14" i="92"/>
  <c r="M14" i="92"/>
  <c r="N14" i="92"/>
  <c r="J15" i="92"/>
  <c r="K15" i="92"/>
  <c r="L15" i="92"/>
  <c r="M15" i="92"/>
  <c r="N15" i="92"/>
  <c r="J16" i="92"/>
  <c r="K16" i="92"/>
  <c r="L16" i="92"/>
  <c r="M16" i="92"/>
  <c r="N16" i="92"/>
  <c r="J17" i="92"/>
  <c r="K17" i="92"/>
  <c r="L17" i="92"/>
  <c r="M17" i="92"/>
  <c r="N17" i="92"/>
  <c r="J18" i="92"/>
  <c r="K18" i="92"/>
  <c r="L18" i="92"/>
  <c r="M18" i="92"/>
  <c r="N18" i="92"/>
  <c r="J19" i="92"/>
  <c r="K19" i="92"/>
  <c r="L19" i="92"/>
  <c r="M19" i="92"/>
  <c r="N19" i="92"/>
  <c r="J20" i="92"/>
  <c r="K20" i="92"/>
  <c r="L20" i="92"/>
  <c r="M20" i="92"/>
  <c r="N20" i="92"/>
  <c r="J21" i="92"/>
  <c r="K21" i="92"/>
  <c r="L21" i="92"/>
  <c r="M21" i="92"/>
  <c r="N21" i="92"/>
  <c r="J22" i="92"/>
  <c r="K22" i="92"/>
  <c r="L22" i="92"/>
  <c r="M22" i="92"/>
  <c r="N22" i="92"/>
  <c r="J23" i="92"/>
  <c r="K23" i="92"/>
  <c r="L23" i="92"/>
  <c r="M23" i="92"/>
  <c r="N23" i="92"/>
  <c r="K7" i="92"/>
  <c r="M7" i="92"/>
  <c r="J7" i="92"/>
  <c r="N7" i="92"/>
  <c r="L7" i="92"/>
  <c r="E8" i="92"/>
  <c r="F8" i="92"/>
  <c r="G8" i="92"/>
  <c r="H8" i="92"/>
  <c r="I8" i="92"/>
  <c r="E9" i="92"/>
  <c r="F9" i="92"/>
  <c r="G9" i="92"/>
  <c r="H9" i="92"/>
  <c r="I9" i="92"/>
  <c r="E10" i="92"/>
  <c r="F10" i="92"/>
  <c r="G10" i="92"/>
  <c r="H10" i="92"/>
  <c r="I10" i="92"/>
  <c r="E11" i="92"/>
  <c r="F11" i="92"/>
  <c r="G11" i="92"/>
  <c r="H11" i="92"/>
  <c r="I11" i="92"/>
  <c r="E12" i="92"/>
  <c r="F12" i="92"/>
  <c r="G12" i="92"/>
  <c r="H12" i="92"/>
  <c r="I12" i="92"/>
  <c r="E13" i="92"/>
  <c r="F13" i="92"/>
  <c r="G13" i="92"/>
  <c r="H13" i="92"/>
  <c r="I13" i="92"/>
  <c r="E14" i="92"/>
  <c r="F14" i="92"/>
  <c r="G14" i="92"/>
  <c r="H14" i="92"/>
  <c r="I14" i="92"/>
  <c r="E15" i="92"/>
  <c r="F15" i="92"/>
  <c r="G15" i="92"/>
  <c r="H15" i="92"/>
  <c r="I15" i="92"/>
  <c r="E16" i="92"/>
  <c r="F16" i="92"/>
  <c r="G16" i="92"/>
  <c r="H16" i="92"/>
  <c r="I16" i="92"/>
  <c r="E17" i="92"/>
  <c r="F17" i="92"/>
  <c r="G17" i="92"/>
  <c r="H17" i="92"/>
  <c r="I17" i="92"/>
  <c r="E18" i="92"/>
  <c r="F18" i="92"/>
  <c r="G18" i="92"/>
  <c r="H18" i="92"/>
  <c r="I18" i="92"/>
  <c r="E19" i="92"/>
  <c r="F19" i="92"/>
  <c r="G19" i="92"/>
  <c r="H19" i="92"/>
  <c r="I19" i="92"/>
  <c r="E20" i="92"/>
  <c r="F20" i="92"/>
  <c r="G20" i="92"/>
  <c r="H20" i="92"/>
  <c r="I20" i="92"/>
  <c r="E21" i="92"/>
  <c r="F21" i="92"/>
  <c r="G21" i="92"/>
  <c r="H21" i="92"/>
  <c r="I21" i="92"/>
  <c r="E22" i="92"/>
  <c r="F22" i="92"/>
  <c r="G22" i="92"/>
  <c r="H22" i="92"/>
  <c r="I22" i="92"/>
  <c r="E23" i="92"/>
  <c r="F23" i="92"/>
  <c r="G23" i="92"/>
  <c r="H23" i="92"/>
  <c r="I23" i="92"/>
  <c r="I7" i="92"/>
  <c r="H7" i="92"/>
  <c r="G7" i="92"/>
  <c r="F7" i="92"/>
  <c r="E7" i="92"/>
  <c r="F134" i="82"/>
  <c r="E134" i="82"/>
  <c r="D134" i="82"/>
  <c r="C134" i="82"/>
  <c r="D130" i="82"/>
  <c r="E130" i="82"/>
  <c r="F130" i="82"/>
  <c r="C130" i="82"/>
  <c r="F221" i="82"/>
  <c r="E221" i="82"/>
  <c r="C221" i="82"/>
  <c r="D215" i="82"/>
  <c r="E215" i="82"/>
  <c r="F215" i="82"/>
  <c r="C215" i="82"/>
  <c r="A188" i="49"/>
  <c r="A189" i="49"/>
  <c r="A190" i="49"/>
  <c r="A191" i="49"/>
  <c r="A192" i="49"/>
  <c r="A193" i="49"/>
  <c r="A194" i="49"/>
  <c r="A195" i="49"/>
  <c r="A196" i="49"/>
  <c r="A197" i="49"/>
  <c r="A198" i="49"/>
  <c r="A199" i="49"/>
  <c r="A200" i="49"/>
  <c r="A201" i="49"/>
  <c r="A202" i="49"/>
  <c r="A203" i="49"/>
  <c r="A204" i="49"/>
  <c r="A205" i="49"/>
  <c r="A206" i="49"/>
  <c r="A207" i="49"/>
  <c r="A208" i="49"/>
  <c r="A209" i="49"/>
  <c r="A210" i="49"/>
  <c r="A211" i="49"/>
  <c r="A212" i="49"/>
  <c r="A213" i="49"/>
  <c r="A214" i="49"/>
  <c r="A215" i="49"/>
  <c r="A216" i="49"/>
  <c r="A217" i="49"/>
  <c r="A218" i="49"/>
  <c r="A219" i="49"/>
  <c r="A220" i="49"/>
  <c r="A221" i="49"/>
  <c r="A223" i="49"/>
  <c r="H48" i="105"/>
  <c r="H47" i="105"/>
  <c r="H46" i="105"/>
  <c r="H45" i="105"/>
  <c r="H44" i="105"/>
  <c r="H43" i="105"/>
  <c r="H42" i="105"/>
  <c r="H41" i="105"/>
  <c r="H40" i="105"/>
  <c r="H39" i="105"/>
  <c r="H38" i="105"/>
  <c r="H37" i="105"/>
  <c r="H36" i="105"/>
  <c r="H35" i="105"/>
  <c r="H34" i="105"/>
  <c r="H33" i="105"/>
  <c r="H32" i="105"/>
  <c r="H31" i="105"/>
  <c r="H30" i="105"/>
  <c r="H29" i="105"/>
  <c r="K25" i="105"/>
  <c r="K24" i="105"/>
  <c r="K23" i="105"/>
  <c r="K22" i="105"/>
  <c r="K21" i="105"/>
  <c r="K20" i="105"/>
  <c r="K19" i="105"/>
  <c r="K18" i="105"/>
  <c r="K17" i="105"/>
  <c r="K16" i="105"/>
  <c r="K15" i="105"/>
  <c r="K14" i="105"/>
  <c r="K13" i="105"/>
  <c r="K12" i="105"/>
  <c r="K11" i="105"/>
  <c r="K10" i="105"/>
  <c r="K9" i="105"/>
  <c r="K8" i="105"/>
  <c r="K7" i="105"/>
  <c r="K6" i="105"/>
  <c r="AZ13" i="58"/>
  <c r="AZ14" i="58"/>
  <c r="AZ15" i="58"/>
  <c r="AZ16" i="58"/>
  <c r="AZ17" i="58"/>
  <c r="AZ18" i="58"/>
  <c r="AZ19" i="58"/>
  <c r="AZ20" i="58"/>
  <c r="AZ21" i="58"/>
  <c r="AZ22" i="58"/>
  <c r="AZ23" i="58"/>
  <c r="AZ24" i="58"/>
  <c r="AZ25" i="58"/>
  <c r="AZ26" i="58"/>
  <c r="AZ27" i="58"/>
  <c r="AZ28" i="58"/>
  <c r="AZ29" i="58"/>
  <c r="AZ30" i="58"/>
  <c r="AZ31" i="58"/>
  <c r="AZ11" i="58"/>
  <c r="A4" i="94"/>
  <c r="A9" i="58"/>
  <c r="AY22" i="58"/>
  <c r="AY23" i="58"/>
  <c r="AY24" i="58"/>
  <c r="AY25" i="58"/>
  <c r="AY26" i="58"/>
  <c r="AY27" i="58"/>
  <c r="AY28" i="58"/>
  <c r="AY29" i="58"/>
  <c r="AY30" i="58"/>
  <c r="AY31" i="58"/>
  <c r="I47" i="45"/>
  <c r="I48" i="45"/>
  <c r="J47" i="45"/>
  <c r="J48" i="45"/>
  <c r="A186" i="49"/>
  <c r="A185" i="49"/>
  <c r="A184" i="49"/>
  <c r="A183" i="49"/>
  <c r="A182" i="49"/>
  <c r="A181" i="49"/>
  <c r="A180" i="49"/>
  <c r="A179" i="49"/>
  <c r="A178" i="49"/>
  <c r="A177" i="49"/>
  <c r="A176" i="49"/>
  <c r="A175" i="49"/>
  <c r="A174" i="49"/>
  <c r="A173" i="49"/>
  <c r="A172" i="49"/>
  <c r="A171" i="49"/>
  <c r="A169" i="49"/>
  <c r="A170" i="49"/>
  <c r="A168" i="49"/>
  <c r="A167" i="49"/>
  <c r="B3" i="96"/>
  <c r="AA4" i="96" s="1"/>
  <c r="B5" i="96" s="1"/>
  <c r="A127" i="49"/>
  <c r="A128" i="49"/>
  <c r="A129" i="49"/>
  <c r="A130" i="49"/>
  <c r="A131" i="49"/>
  <c r="A132" i="49"/>
  <c r="A133" i="49"/>
  <c r="A134" i="49"/>
  <c r="A135" i="49"/>
  <c r="A136" i="49"/>
  <c r="A137" i="49"/>
  <c r="A138" i="49"/>
  <c r="A139" i="49"/>
  <c r="A140" i="49"/>
  <c r="A141" i="49"/>
  <c r="A142" i="49"/>
  <c r="A143" i="49"/>
  <c r="A144" i="49"/>
  <c r="A145" i="49"/>
  <c r="A146" i="49"/>
  <c r="A147" i="49"/>
  <c r="A148" i="49"/>
  <c r="A149" i="49"/>
  <c r="A150" i="49"/>
  <c r="A151" i="49"/>
  <c r="A152" i="49"/>
  <c r="A153" i="49"/>
  <c r="A154" i="49"/>
  <c r="A155" i="49"/>
  <c r="A156" i="49"/>
  <c r="A157" i="49"/>
  <c r="A158" i="49"/>
  <c r="A159" i="49"/>
  <c r="A160" i="49"/>
  <c r="A161" i="49"/>
  <c r="A162" i="49"/>
  <c r="A163" i="49"/>
  <c r="A164" i="49"/>
  <c r="A165" i="49"/>
  <c r="A166" i="49"/>
  <c r="A187" i="49"/>
  <c r="BZ50" i="84"/>
  <c r="BZ51" i="84"/>
  <c r="BZ52" i="84"/>
  <c r="BZ53" i="84"/>
  <c r="BZ54" i="84"/>
  <c r="BZ55" i="84"/>
  <c r="BZ56" i="84"/>
  <c r="BZ57" i="84"/>
  <c r="BZ58" i="84"/>
  <c r="BJ77" i="84"/>
  <c r="AT77" i="84"/>
  <c r="G37" i="45" s="1"/>
  <c r="BZ76" i="84"/>
  <c r="BZ75" i="84"/>
  <c r="BZ74" i="84"/>
  <c r="BZ73" i="84"/>
  <c r="BZ72" i="84"/>
  <c r="BZ71" i="84"/>
  <c r="BZ70" i="84"/>
  <c r="BZ69" i="84"/>
  <c r="BZ68" i="84"/>
  <c r="BZ67" i="84"/>
  <c r="A118" i="49"/>
  <c r="A17" i="49"/>
  <c r="AB4" i="58"/>
  <c r="C4" i="58"/>
  <c r="C3" i="58"/>
  <c r="L4" i="48"/>
  <c r="D4" i="48"/>
  <c r="D3" i="48"/>
  <c r="C1" i="44"/>
  <c r="B86" i="90"/>
  <c r="B87" i="90" s="1"/>
  <c r="B88" i="90" s="1"/>
  <c r="B89" i="90" s="1"/>
  <c r="B90" i="90" s="1"/>
  <c r="B91" i="90" s="1"/>
  <c r="B92" i="90" s="1"/>
  <c r="B93" i="90" s="1"/>
  <c r="B94" i="90" s="1"/>
  <c r="B71" i="90"/>
  <c r="B72" i="90" s="1"/>
  <c r="B73" i="90" s="1"/>
  <c r="B74" i="90" s="1"/>
  <c r="B75" i="90" s="1"/>
  <c r="B76" i="90" s="1"/>
  <c r="B77" i="90" s="1"/>
  <c r="B78" i="90" s="1"/>
  <c r="B79" i="90" s="1"/>
  <c r="B56" i="90"/>
  <c r="B57" i="90" s="1"/>
  <c r="B58" i="90" s="1"/>
  <c r="B59" i="90" s="1"/>
  <c r="B60" i="90" s="1"/>
  <c r="B61" i="90" s="1"/>
  <c r="B62" i="90" s="1"/>
  <c r="B63" i="90" s="1"/>
  <c r="B64" i="90" s="1"/>
  <c r="B41" i="90"/>
  <c r="B42" i="90" s="1"/>
  <c r="B43" i="90" s="1"/>
  <c r="B44" i="90" s="1"/>
  <c r="B45" i="90" s="1"/>
  <c r="B46" i="90" s="1"/>
  <c r="B47" i="90" s="1"/>
  <c r="B48" i="90" s="1"/>
  <c r="B49" i="90" s="1"/>
  <c r="B26" i="90"/>
  <c r="B27" i="90" s="1"/>
  <c r="B28" i="90" s="1"/>
  <c r="B29" i="90" s="1"/>
  <c r="B30" i="90" s="1"/>
  <c r="B31" i="90" s="1"/>
  <c r="B32" i="90" s="1"/>
  <c r="B33" i="90" s="1"/>
  <c r="B34" i="90" s="1"/>
  <c r="J25" i="90"/>
  <c r="A18" i="49"/>
  <c r="A19" i="49"/>
  <c r="A20" i="49"/>
  <c r="A21" i="49"/>
  <c r="A22" i="49"/>
  <c r="A23" i="49"/>
  <c r="A24" i="49"/>
  <c r="A25" i="49"/>
  <c r="A26" i="49"/>
  <c r="A27" i="49"/>
  <c r="A28" i="49"/>
  <c r="A29" i="49"/>
  <c r="A30" i="49"/>
  <c r="A31" i="49"/>
  <c r="A32" i="49"/>
  <c r="A33" i="49"/>
  <c r="A34" i="49"/>
  <c r="A35" i="49"/>
  <c r="A36" i="49"/>
  <c r="A37" i="49"/>
  <c r="A38" i="49"/>
  <c r="A39" i="49"/>
  <c r="A40" i="49"/>
  <c r="A41" i="49"/>
  <c r="A42" i="49"/>
  <c r="A43" i="49"/>
  <c r="A44" i="49"/>
  <c r="A45" i="49"/>
  <c r="A46" i="49"/>
  <c r="A47" i="49"/>
  <c r="A48" i="49"/>
  <c r="A49" i="49"/>
  <c r="A50" i="49"/>
  <c r="A51" i="49"/>
  <c r="A52" i="49"/>
  <c r="A53" i="49"/>
  <c r="A54" i="49"/>
  <c r="A55" i="49"/>
  <c r="A56" i="49"/>
  <c r="A57" i="49"/>
  <c r="A58" i="49"/>
  <c r="A59" i="49"/>
  <c r="A60" i="49"/>
  <c r="A61" i="49"/>
  <c r="A62" i="49"/>
  <c r="A63" i="49"/>
  <c r="A64" i="49"/>
  <c r="A65" i="49"/>
  <c r="A66" i="49"/>
  <c r="A67" i="49"/>
  <c r="A68" i="49"/>
  <c r="A69" i="49"/>
  <c r="A70" i="49"/>
  <c r="A71" i="49"/>
  <c r="A72" i="49"/>
  <c r="A73" i="49"/>
  <c r="A74" i="49"/>
  <c r="A75" i="49"/>
  <c r="A76" i="49"/>
  <c r="A77" i="49"/>
  <c r="A78" i="49"/>
  <c r="A79" i="49"/>
  <c r="A80" i="49"/>
  <c r="A81" i="49"/>
  <c r="A82" i="49"/>
  <c r="A83" i="49"/>
  <c r="A84" i="49"/>
  <c r="A85" i="49"/>
  <c r="A86" i="49"/>
  <c r="A87" i="49"/>
  <c r="A88" i="49"/>
  <c r="A89" i="49"/>
  <c r="A90" i="49"/>
  <c r="A91" i="49"/>
  <c r="A92" i="49"/>
  <c r="A93" i="49"/>
  <c r="A94" i="49"/>
  <c r="A95" i="49"/>
  <c r="A96" i="49"/>
  <c r="A97" i="49"/>
  <c r="A98" i="49"/>
  <c r="A99" i="49"/>
  <c r="A100" i="49"/>
  <c r="A101" i="49"/>
  <c r="A102" i="49"/>
  <c r="A103" i="49"/>
  <c r="A104" i="49"/>
  <c r="A105" i="49"/>
  <c r="A106" i="49"/>
  <c r="A107" i="49"/>
  <c r="A108" i="49"/>
  <c r="A109" i="49"/>
  <c r="A110" i="49"/>
  <c r="A111" i="49"/>
  <c r="A112" i="49"/>
  <c r="A113" i="49"/>
  <c r="A114" i="49"/>
  <c r="A115" i="49"/>
  <c r="A116" i="49"/>
  <c r="A117" i="49"/>
  <c r="A119" i="49"/>
  <c r="A120" i="49"/>
  <c r="A121" i="49"/>
  <c r="A122" i="49"/>
  <c r="A123" i="49"/>
  <c r="A124" i="49"/>
  <c r="A125" i="49"/>
  <c r="A126" i="49"/>
  <c r="BZ49" i="84"/>
  <c r="BZ48" i="84"/>
  <c r="BZ47" i="84"/>
  <c r="BZ46" i="84"/>
  <c r="BZ45" i="84"/>
  <c r="BZ44" i="84"/>
  <c r="BZ43" i="84"/>
  <c r="BZ42" i="84"/>
  <c r="BZ41" i="84"/>
  <c r="BZ40" i="84"/>
  <c r="BZ39" i="84"/>
  <c r="BZ38" i="84"/>
  <c r="BZ37" i="84"/>
  <c r="BZ36" i="84"/>
  <c r="BZ35" i="84"/>
  <c r="BZ34" i="84"/>
  <c r="BZ33" i="84"/>
  <c r="BZ32" i="84"/>
  <c r="BZ31" i="84"/>
  <c r="BZ23" i="84"/>
  <c r="BZ22" i="84"/>
  <c r="BZ21" i="84"/>
  <c r="BZ20" i="84"/>
  <c r="BZ19" i="84"/>
  <c r="BZ18" i="84"/>
  <c r="BZ17" i="84"/>
  <c r="BZ16" i="84"/>
  <c r="BZ15" i="84"/>
  <c r="BZ14" i="84"/>
  <c r="BZ13" i="84"/>
  <c r="BZ12" i="84"/>
  <c r="BZ11" i="84"/>
  <c r="BZ10" i="84"/>
  <c r="BZ9" i="84"/>
  <c r="BZ8" i="84"/>
  <c r="Y4" i="58"/>
  <c r="H4" i="48"/>
  <c r="A15" i="49"/>
  <c r="A16" i="49"/>
  <c r="A13" i="49"/>
  <c r="A14" i="49"/>
  <c r="A12" i="49"/>
  <c r="AY20" i="58"/>
  <c r="AY21" i="58"/>
  <c r="AY19" i="58"/>
  <c r="J45" i="45"/>
  <c r="I45" i="45"/>
  <c r="J46" i="45"/>
  <c r="I46" i="45"/>
  <c r="A11" i="49"/>
  <c r="A10" i="49"/>
  <c r="A9" i="49"/>
  <c r="AQ15" i="58"/>
  <c r="AQ16" i="58"/>
  <c r="AR14" i="58"/>
  <c r="AR17" i="58"/>
  <c r="AR18" i="58"/>
  <c r="AR16" i="58"/>
  <c r="AR13" i="58"/>
  <c r="AQ13" i="58"/>
  <c r="AY18" i="58"/>
  <c r="AY17" i="58"/>
  <c r="AY16" i="58"/>
  <c r="J43" i="45"/>
  <c r="J42" i="45"/>
  <c r="I42" i="45"/>
  <c r="J44" i="45"/>
  <c r="I44" i="45"/>
  <c r="I43" i="45"/>
  <c r="L5" i="113" l="1"/>
  <c r="D5" i="113"/>
  <c r="C4" i="115"/>
  <c r="E3" i="114"/>
  <c r="E4" i="114"/>
  <c r="P7" i="49"/>
  <c r="P7" i="114"/>
  <c r="B1" i="49"/>
  <c r="E7" i="49"/>
  <c r="B12" i="113"/>
  <c r="B13" i="113"/>
  <c r="L23" i="113"/>
  <c r="B48" i="113"/>
  <c r="B54" i="113"/>
  <c r="D11" i="113"/>
  <c r="B46" i="113"/>
  <c r="D13" i="113"/>
  <c r="D10" i="113"/>
  <c r="D12" i="113"/>
  <c r="E3" i="49"/>
  <c r="E4" i="113"/>
  <c r="B15" i="113"/>
  <c r="E4" i="49"/>
  <c r="J4" i="113"/>
  <c r="B28" i="113"/>
  <c r="B35" i="113"/>
  <c r="E5" i="113"/>
  <c r="B8" i="113"/>
  <c r="B41" i="113"/>
  <c r="B58" i="113"/>
  <c r="B11" i="113"/>
  <c r="AA5" i="58"/>
  <c r="B5" i="45"/>
  <c r="B4" i="113" s="1"/>
  <c r="A221" i="82"/>
  <c r="B4" i="88"/>
  <c r="A215" i="82"/>
  <c r="AG9" i="58" s="1"/>
  <c r="AL9" i="58" s="1"/>
  <c r="A130" i="82"/>
  <c r="A134" i="82"/>
  <c r="AB32" i="58"/>
  <c r="AH9" i="58"/>
  <c r="AB34" i="58"/>
  <c r="BZ5" i="84"/>
  <c r="BZ28" i="84"/>
  <c r="BZ65" i="84" s="1"/>
  <c r="BJ5" i="84"/>
  <c r="BJ28" i="84"/>
  <c r="BJ65" i="84" s="1"/>
  <c r="AT5" i="84"/>
  <c r="AT28" i="84"/>
  <c r="AT65" i="84" s="1"/>
  <c r="AJ9" i="58"/>
  <c r="AF9" i="58"/>
  <c r="E5" i="84"/>
  <c r="E28" i="84"/>
  <c r="CO67" i="84"/>
  <c r="B37" i="45"/>
  <c r="B28" i="48"/>
  <c r="J30" i="45"/>
  <c r="H30" i="45"/>
  <c r="G30" i="45"/>
  <c r="D36" i="58"/>
  <c r="AN26" i="58" s="1"/>
  <c r="T36" i="58"/>
  <c r="BZ77" i="84"/>
  <c r="J37" i="45" s="1"/>
  <c r="H37" i="45"/>
  <c r="N45" i="58"/>
  <c r="O45" i="58" s="1"/>
  <c r="AW25" i="58"/>
  <c r="AE25" i="58" s="1"/>
  <c r="AD25" i="58" s="1"/>
  <c r="AG25" i="58" s="1"/>
  <c r="AJ25" i="58" s="1"/>
  <c r="CO77" i="84"/>
  <c r="L32" i="48"/>
  <c r="J32" i="48"/>
  <c r="H32" i="48"/>
  <c r="N42" i="58"/>
  <c r="O42" i="58" s="1"/>
  <c r="N43" i="58"/>
  <c r="O43" i="58" s="1"/>
  <c r="AS28" i="58"/>
  <c r="AK28" i="58" s="1"/>
  <c r="AL28" i="58" s="1"/>
  <c r="F39" i="58"/>
  <c r="AS17" i="58"/>
  <c r="AK17" i="58" s="1"/>
  <c r="AL17" i="58" s="1"/>
  <c r="AS22" i="58"/>
  <c r="AK22" i="58" s="1"/>
  <c r="AL22" i="58" s="1"/>
  <c r="AS21" i="58"/>
  <c r="AK21" i="58" s="1"/>
  <c r="AL21" i="58" s="1"/>
  <c r="N46" i="58"/>
  <c r="O46" i="58" s="1"/>
  <c r="U36" i="58"/>
  <c r="N44" i="58"/>
  <c r="O44" i="58" s="1"/>
  <c r="V36" i="58"/>
  <c r="E39" i="58" s="1"/>
  <c r="D39" i="58" s="1"/>
  <c r="F40" i="58"/>
  <c r="F36" i="58"/>
  <c r="F37" i="58"/>
  <c r="F38" i="58"/>
  <c r="AW17" i="58"/>
  <c r="AE17" i="58" s="1"/>
  <c r="AD17" i="58" s="1"/>
  <c r="AG17" i="58" s="1"/>
  <c r="AJ17" i="58" s="1"/>
  <c r="AW21" i="58"/>
  <c r="AE21" i="58" s="1"/>
  <c r="AD21" i="58" s="1"/>
  <c r="AG21" i="58" s="1"/>
  <c r="AJ21" i="58" s="1"/>
  <c r="AW29" i="58"/>
  <c r="AE29" i="58" s="1"/>
  <c r="AD29" i="58" s="1"/>
  <c r="AG29" i="58" s="1"/>
  <c r="AJ29" i="58" s="1"/>
  <c r="AS29" i="58"/>
  <c r="AK29" i="58" s="1"/>
  <c r="AL29" i="58" s="1"/>
  <c r="AW23" i="58"/>
  <c r="AE23" i="58" s="1"/>
  <c r="AD23" i="58" s="1"/>
  <c r="AG23" i="58" s="1"/>
  <c r="AJ23" i="58" s="1"/>
  <c r="AS20" i="58"/>
  <c r="AK20" i="58" s="1"/>
  <c r="AL20" i="58" s="1"/>
  <c r="AW20" i="58"/>
  <c r="AE20" i="58" s="1"/>
  <c r="AD20" i="58" s="1"/>
  <c r="AG20" i="58" s="1"/>
  <c r="AJ20" i="58" s="1"/>
  <c r="AW24" i="58"/>
  <c r="AE24" i="58" s="1"/>
  <c r="AD24" i="58" s="1"/>
  <c r="AG24" i="58" s="1"/>
  <c r="AJ24" i="58" s="1"/>
  <c r="AW28" i="58"/>
  <c r="AE28" i="58" s="1"/>
  <c r="AD28" i="58" s="1"/>
  <c r="AG28" i="58" s="1"/>
  <c r="AJ28" i="58" s="1"/>
  <c r="AS25" i="58"/>
  <c r="AK25" i="58" s="1"/>
  <c r="AL25" i="58" s="1"/>
  <c r="J41" i="45"/>
  <c r="I41" i="45"/>
  <c r="AS30" i="58"/>
  <c r="AK30" i="58" s="1"/>
  <c r="AL30" i="58" s="1"/>
  <c r="AS18" i="58"/>
  <c r="AK18" i="58" s="1"/>
  <c r="AL18" i="58" s="1"/>
  <c r="AS31" i="58"/>
  <c r="AK31" i="58" s="1"/>
  <c r="AL31" i="58" s="1"/>
  <c r="AS19" i="58"/>
  <c r="AK19" i="58" s="1"/>
  <c r="AL19" i="58" s="1"/>
  <c r="AW18" i="58"/>
  <c r="AE18" i="58" s="1"/>
  <c r="AD18" i="58" s="1"/>
  <c r="AG18" i="58" s="1"/>
  <c r="AJ18" i="58" s="1"/>
  <c r="AW22" i="58"/>
  <c r="AE22" i="58" s="1"/>
  <c r="AD22" i="58" s="1"/>
  <c r="AG22" i="58" s="1"/>
  <c r="AJ22" i="58" s="1"/>
  <c r="AW26" i="58"/>
  <c r="AE26" i="58" s="1"/>
  <c r="AD26" i="58" s="1"/>
  <c r="AG26" i="58" s="1"/>
  <c r="AJ26" i="58" s="1"/>
  <c r="AW30" i="58"/>
  <c r="AE30" i="58" s="1"/>
  <c r="AD30" i="58" s="1"/>
  <c r="AG30" i="58" s="1"/>
  <c r="AJ30" i="58" s="1"/>
  <c r="AW19" i="58"/>
  <c r="AE19" i="58" s="1"/>
  <c r="AD19" i="58" s="1"/>
  <c r="AG19" i="58" s="1"/>
  <c r="AJ19" i="58" s="1"/>
  <c r="AW27" i="58"/>
  <c r="AE27" i="58" s="1"/>
  <c r="AD27" i="58" s="1"/>
  <c r="AG27" i="58" s="1"/>
  <c r="AJ27" i="58" s="1"/>
  <c r="AW31" i="58"/>
  <c r="AE31" i="58" s="1"/>
  <c r="AD31" i="58" s="1"/>
  <c r="AG31" i="58" s="1"/>
  <c r="AJ31" i="58" s="1"/>
  <c r="AS23" i="58"/>
  <c r="AK23" i="58" s="1"/>
  <c r="AL23" i="58" s="1"/>
  <c r="AS27" i="58"/>
  <c r="AK27" i="58" s="1"/>
  <c r="AL27" i="58" s="1"/>
  <c r="AS26" i="58"/>
  <c r="AK26" i="58" s="1"/>
  <c r="AL26" i="58" s="1"/>
  <c r="AS24" i="58"/>
  <c r="AK24" i="58" s="1"/>
  <c r="AL24" i="58" s="1"/>
  <c r="B47" i="48"/>
  <c r="V15" i="96"/>
  <c r="O24" i="96"/>
  <c r="W15" i="96"/>
  <c r="O33" i="96"/>
  <c r="F54" i="90"/>
  <c r="G54" i="90"/>
  <c r="G39" i="90"/>
  <c r="G84" i="90"/>
  <c r="K6" i="99"/>
  <c r="E8" i="48"/>
  <c r="F69" i="90"/>
  <c r="E24" i="48"/>
  <c r="F84" i="90"/>
  <c r="AB9" i="58"/>
  <c r="G4" i="94"/>
  <c r="L4" i="99"/>
  <c r="F4" i="94"/>
  <c r="K4" i="99"/>
  <c r="E24" i="90"/>
  <c r="E54" i="90" s="1"/>
  <c r="D3" i="44"/>
  <c r="L5" i="48"/>
  <c r="D95" i="90"/>
  <c r="C5" i="58"/>
  <c r="D80" i="90"/>
  <c r="D65" i="90"/>
  <c r="B6" i="58"/>
  <c r="J5" i="48"/>
  <c r="AB5" i="58"/>
  <c r="AA4" i="58"/>
  <c r="J4" i="48"/>
  <c r="D5" i="48"/>
  <c r="C6" i="58"/>
  <c r="G3" i="48"/>
  <c r="B32" i="48"/>
  <c r="Y3" i="58"/>
  <c r="E55" i="45"/>
  <c r="J4" i="45"/>
  <c r="L3" i="113" s="1"/>
  <c r="D4" i="58"/>
  <c r="H3" i="48"/>
  <c r="B30" i="48"/>
  <c r="B26" i="48"/>
  <c r="AA3" i="58"/>
  <c r="J3" i="48"/>
  <c r="J24" i="90"/>
  <c r="I39" i="90"/>
  <c r="I54" i="90"/>
  <c r="I84" i="90"/>
  <c r="J86" i="90" s="1"/>
  <c r="I69" i="90"/>
  <c r="J70" i="90" s="1"/>
  <c r="B1" i="58"/>
  <c r="H33" i="96"/>
  <c r="X33" i="96"/>
  <c r="B3" i="48"/>
  <c r="B3" i="58"/>
  <c r="W33" i="96"/>
  <c r="N33" i="96"/>
  <c r="G15" i="96"/>
  <c r="F24" i="96"/>
  <c r="O6" i="96"/>
  <c r="V6" i="96"/>
  <c r="E4" i="48"/>
  <c r="N15" i="96"/>
  <c r="V24" i="96"/>
  <c r="E3" i="48"/>
  <c r="W24" i="96"/>
  <c r="F15" i="96"/>
  <c r="O15" i="96"/>
  <c r="F33" i="96"/>
  <c r="D3" i="58"/>
  <c r="V33" i="96"/>
  <c r="W6" i="96"/>
  <c r="G24" i="96"/>
  <c r="N6" i="96"/>
  <c r="T33" i="96"/>
  <c r="L33" i="96"/>
  <c r="L24" i="96"/>
  <c r="L15" i="96"/>
  <c r="T6" i="96"/>
  <c r="T24" i="96"/>
  <c r="D24" i="96"/>
  <c r="D15" i="96"/>
  <c r="L6" i="96"/>
  <c r="T15" i="96"/>
  <c r="D33" i="96"/>
  <c r="E5" i="48"/>
  <c r="B18" i="104"/>
  <c r="D5" i="58"/>
  <c r="C84" i="90"/>
  <c r="C69" i="90"/>
  <c r="C54" i="90"/>
  <c r="C39" i="90"/>
  <c r="B5" i="58"/>
  <c r="B5" i="48"/>
  <c r="P33" i="96"/>
  <c r="X24" i="96"/>
  <c r="P6" i="96"/>
  <c r="X15" i="96"/>
  <c r="H15" i="96"/>
  <c r="AD3" i="58"/>
  <c r="AM3" i="58" s="1"/>
  <c r="H24" i="96"/>
  <c r="P15" i="96"/>
  <c r="P24" i="96"/>
  <c r="X6" i="96"/>
  <c r="H10" i="96"/>
  <c r="AM10" i="96" s="1"/>
  <c r="G10" i="96"/>
  <c r="AL10" i="96" s="1"/>
  <c r="C9" i="96"/>
  <c r="AH9" i="96" s="1"/>
  <c r="H8" i="96"/>
  <c r="AM8" i="96" s="1"/>
  <c r="B10" i="96"/>
  <c r="AG10" i="96" s="1"/>
  <c r="D10" i="96"/>
  <c r="AI10" i="96" s="1"/>
  <c r="F12" i="96"/>
  <c r="AK12" i="96" s="1"/>
  <c r="D8" i="96"/>
  <c r="AI8" i="96" s="1"/>
  <c r="G8" i="96"/>
  <c r="AL8" i="96" s="1"/>
  <c r="E8" i="96"/>
  <c r="AJ8" i="96" s="1"/>
  <c r="C12" i="96"/>
  <c r="AH12" i="96" s="1"/>
  <c r="B12" i="96"/>
  <c r="AG12" i="96" s="1"/>
  <c r="D9" i="96"/>
  <c r="AI9" i="96" s="1"/>
  <c r="G12" i="96"/>
  <c r="AL12" i="96" s="1"/>
  <c r="B7" i="96"/>
  <c r="AG7" i="96" s="1"/>
  <c r="C10" i="96"/>
  <c r="AH10" i="96" s="1"/>
  <c r="E10" i="96"/>
  <c r="AJ10" i="96" s="1"/>
  <c r="D11" i="96"/>
  <c r="AI11" i="96" s="1"/>
  <c r="G7" i="96"/>
  <c r="AL7" i="96" s="1"/>
  <c r="F11" i="96"/>
  <c r="AK11" i="96" s="1"/>
  <c r="F10" i="96"/>
  <c r="AK10" i="96" s="1"/>
  <c r="G11" i="96"/>
  <c r="AL11" i="96" s="1"/>
  <c r="C7" i="96"/>
  <c r="AH7" i="96" s="1"/>
  <c r="H11" i="96"/>
  <c r="AM11" i="96" s="1"/>
  <c r="F9" i="96"/>
  <c r="AK9" i="96" s="1"/>
  <c r="G9" i="96"/>
  <c r="AL9" i="96" s="1"/>
  <c r="H9" i="96"/>
  <c r="AM9" i="96" s="1"/>
  <c r="D12" i="96"/>
  <c r="AI12" i="96" s="1"/>
  <c r="D7" i="96"/>
  <c r="AI7" i="96" s="1"/>
  <c r="E12" i="96"/>
  <c r="AJ12" i="96" s="1"/>
  <c r="H12" i="96"/>
  <c r="AM12" i="96" s="1"/>
  <c r="B11" i="96"/>
  <c r="AG11" i="96" s="1"/>
  <c r="F8" i="96"/>
  <c r="AK8" i="96" s="1"/>
  <c r="B9" i="96"/>
  <c r="AG9" i="96" s="1"/>
  <c r="E7" i="96"/>
  <c r="AJ7" i="96" s="1"/>
  <c r="E11" i="96"/>
  <c r="AJ11" i="96" s="1"/>
  <c r="J5" i="96"/>
  <c r="F7" i="96"/>
  <c r="AK7" i="96" s="1"/>
  <c r="E9" i="96"/>
  <c r="AJ9" i="96" s="1"/>
  <c r="H7" i="96"/>
  <c r="AM7" i="96" s="1"/>
  <c r="B8" i="96"/>
  <c r="AG8" i="96" s="1"/>
  <c r="C11" i="96"/>
  <c r="AH11" i="96" s="1"/>
  <c r="C8" i="96"/>
  <c r="AH8" i="96" s="1"/>
  <c r="B24" i="96"/>
  <c r="J24" i="96"/>
  <c r="J15" i="96"/>
  <c r="B15" i="96"/>
  <c r="R15" i="96"/>
  <c r="J6" i="96"/>
  <c r="R33" i="96"/>
  <c r="R6" i="96"/>
  <c r="J33" i="96"/>
  <c r="B33" i="96"/>
  <c r="R24" i="96"/>
  <c r="K33" i="96"/>
  <c r="S33" i="96"/>
  <c r="K6" i="96"/>
  <c r="C24" i="96"/>
  <c r="C15" i="96"/>
  <c r="K15" i="96"/>
  <c r="S15" i="96"/>
  <c r="K24" i="96"/>
  <c r="S24" i="96"/>
  <c r="S6" i="96"/>
  <c r="H84" i="90"/>
  <c r="H69" i="90"/>
  <c r="H54" i="90"/>
  <c r="H39" i="90"/>
  <c r="U6" i="96"/>
  <c r="M15" i="96"/>
  <c r="M33" i="96"/>
  <c r="E33" i="96"/>
  <c r="E24" i="96"/>
  <c r="M24" i="96"/>
  <c r="U24" i="96"/>
  <c r="U15" i="96"/>
  <c r="U33" i="96"/>
  <c r="E15" i="96"/>
  <c r="M6" i="96"/>
  <c r="B84" i="90"/>
  <c r="B39" i="90"/>
  <c r="B54" i="90"/>
  <c r="B69" i="90"/>
  <c r="D39" i="90"/>
  <c r="D69" i="90"/>
  <c r="D54" i="90"/>
  <c r="AE36" i="58" l="1"/>
  <c r="H49" i="113"/>
  <c r="J49" i="113"/>
  <c r="L25" i="48"/>
  <c r="L49" i="113"/>
  <c r="B4" i="48"/>
  <c r="B4" i="58"/>
  <c r="L6" i="99"/>
  <c r="L7" i="99" s="1"/>
  <c r="J25" i="48"/>
  <c r="AF29" i="58"/>
  <c r="W36" i="58"/>
  <c r="E52" i="58" s="1"/>
  <c r="AK36" i="58"/>
  <c r="X36" i="58" s="1"/>
  <c r="AY32" i="58"/>
  <c r="E40" i="58"/>
  <c r="E50" i="58"/>
  <c r="E38" i="58"/>
  <c r="AE39" i="58"/>
  <c r="AN29" i="58"/>
  <c r="AK39" i="58"/>
  <c r="X39" i="58" s="1"/>
  <c r="AP16" i="58" s="1"/>
  <c r="AS16" i="58" s="1"/>
  <c r="AK16" i="58" s="1"/>
  <c r="AL16" i="58" s="1"/>
  <c r="AY36" i="58"/>
  <c r="AF31" i="58"/>
  <c r="AF20" i="58"/>
  <c r="AF23" i="58"/>
  <c r="E37" i="58"/>
  <c r="E43" i="58"/>
  <c r="AF28" i="58"/>
  <c r="AF18" i="58"/>
  <c r="AF22" i="58"/>
  <c r="AI21" i="58"/>
  <c r="AI24" i="58"/>
  <c r="AF19" i="58"/>
  <c r="AF17" i="58"/>
  <c r="AI27" i="58"/>
  <c r="AF30" i="58"/>
  <c r="AF24" i="58"/>
  <c r="AF27" i="58"/>
  <c r="AI25" i="58"/>
  <c r="AF25" i="58"/>
  <c r="AI26" i="58"/>
  <c r="AF21" i="58"/>
  <c r="AI19" i="58"/>
  <c r="AF26" i="58"/>
  <c r="E69" i="90"/>
  <c r="E84" i="90"/>
  <c r="J85" i="90"/>
  <c r="H25" i="48"/>
  <c r="J84" i="90"/>
  <c r="L3" i="48"/>
  <c r="E53" i="48" s="1"/>
  <c r="AB3" i="58"/>
  <c r="J69" i="90"/>
  <c r="J71" i="90"/>
  <c r="J54" i="90"/>
  <c r="J55" i="90"/>
  <c r="J56" i="90"/>
  <c r="J40" i="90"/>
  <c r="J39" i="90"/>
  <c r="J41" i="90"/>
  <c r="M10" i="96"/>
  <c r="AR10" i="96" s="1"/>
  <c r="O7" i="96"/>
  <c r="AT7" i="96" s="1"/>
  <c r="N7" i="96"/>
  <c r="AS7" i="96" s="1"/>
  <c r="N12" i="96"/>
  <c r="AS12" i="96" s="1"/>
  <c r="P9" i="96"/>
  <c r="AU9" i="96" s="1"/>
  <c r="P10" i="96"/>
  <c r="AU10" i="96" s="1"/>
  <c r="N10" i="96"/>
  <c r="AS10" i="96" s="1"/>
  <c r="L8" i="96"/>
  <c r="AQ8" i="96" s="1"/>
  <c r="P8" i="96"/>
  <c r="AU8" i="96" s="1"/>
  <c r="N11" i="96"/>
  <c r="AS11" i="96" s="1"/>
  <c r="L7" i="96"/>
  <c r="AQ7" i="96" s="1"/>
  <c r="L10" i="96"/>
  <c r="AQ10" i="96" s="1"/>
  <c r="R5" i="96"/>
  <c r="O8" i="96"/>
  <c r="AT8" i="96" s="1"/>
  <c r="P12" i="96"/>
  <c r="AU12" i="96" s="1"/>
  <c r="N8" i="96"/>
  <c r="AS8" i="96" s="1"/>
  <c r="O11" i="96"/>
  <c r="AT11" i="96" s="1"/>
  <c r="K7" i="96"/>
  <c r="AP7" i="96" s="1"/>
  <c r="J9" i="96"/>
  <c r="AO9" i="96" s="1"/>
  <c r="L9" i="96"/>
  <c r="AQ9" i="96" s="1"/>
  <c r="M12" i="96"/>
  <c r="AR12" i="96" s="1"/>
  <c r="K12" i="96"/>
  <c r="AP12" i="96" s="1"/>
  <c r="N9" i="96"/>
  <c r="AS9" i="96" s="1"/>
  <c r="J8" i="96"/>
  <c r="AO8" i="96" s="1"/>
  <c r="J11" i="96"/>
  <c r="AO11" i="96" s="1"/>
  <c r="K11" i="96"/>
  <c r="AP11" i="96" s="1"/>
  <c r="K9" i="96"/>
  <c r="AP9" i="96" s="1"/>
  <c r="O12" i="96"/>
  <c r="AT12" i="96" s="1"/>
  <c r="M8" i="96"/>
  <c r="AR8" i="96" s="1"/>
  <c r="J7" i="96"/>
  <c r="AO7" i="96" s="1"/>
  <c r="L12" i="96"/>
  <c r="AQ12" i="96" s="1"/>
  <c r="J12" i="96"/>
  <c r="AO12" i="96" s="1"/>
  <c r="P7" i="96"/>
  <c r="AU7" i="96" s="1"/>
  <c r="L11" i="96"/>
  <c r="AQ11" i="96" s="1"/>
  <c r="K10" i="96"/>
  <c r="AP10" i="96" s="1"/>
  <c r="K8" i="96"/>
  <c r="AP8" i="96" s="1"/>
  <c r="O10" i="96"/>
  <c r="AT10" i="96" s="1"/>
  <c r="O9" i="96"/>
  <c r="AT9" i="96" s="1"/>
  <c r="M11" i="96"/>
  <c r="AR11" i="96" s="1"/>
  <c r="M7" i="96"/>
  <c r="AR7" i="96" s="1"/>
  <c r="J10" i="96"/>
  <c r="AO10" i="96" s="1"/>
  <c r="M9" i="96"/>
  <c r="AR9" i="96" s="1"/>
  <c r="P11" i="96"/>
  <c r="AU11" i="96" s="1"/>
  <c r="AI20" i="58" l="1"/>
  <c r="AI31" i="58"/>
  <c r="AI18" i="58"/>
  <c r="AI28" i="58"/>
  <c r="AI23" i="58"/>
  <c r="AI22" i="58"/>
  <c r="Y36" i="58"/>
  <c r="D40" i="58"/>
  <c r="D38" i="58"/>
  <c r="Y39" i="58"/>
  <c r="AT16" i="58" s="1"/>
  <c r="AW16" i="58" s="1"/>
  <c r="AE16" i="58" s="1"/>
  <c r="AD16" i="58" s="1"/>
  <c r="AG16" i="58" s="1"/>
  <c r="AJ16" i="58" s="1"/>
  <c r="AI29" i="58"/>
  <c r="AV11" i="58"/>
  <c r="AV12" i="58"/>
  <c r="AR11" i="58"/>
  <c r="AR12" i="58"/>
  <c r="D37" i="58"/>
  <c r="AI30" i="58"/>
  <c r="AI17" i="58"/>
  <c r="W11" i="96"/>
  <c r="BB11" i="96" s="1"/>
  <c r="W10" i="96"/>
  <c r="BB10" i="96" s="1"/>
  <c r="X7" i="96"/>
  <c r="BC7" i="96" s="1"/>
  <c r="X12" i="96"/>
  <c r="BC12" i="96" s="1"/>
  <c r="S9" i="96"/>
  <c r="AX9" i="96" s="1"/>
  <c r="V10" i="96"/>
  <c r="BA10" i="96" s="1"/>
  <c r="X11" i="96"/>
  <c r="BC11" i="96" s="1"/>
  <c r="V12" i="96"/>
  <c r="BA12" i="96" s="1"/>
  <c r="S8" i="96"/>
  <c r="AX8" i="96" s="1"/>
  <c r="R11" i="96"/>
  <c r="AW11" i="96" s="1"/>
  <c r="T12" i="96"/>
  <c r="AY12" i="96" s="1"/>
  <c r="V9" i="96"/>
  <c r="BA9" i="96" s="1"/>
  <c r="V7" i="96"/>
  <c r="BA7" i="96" s="1"/>
  <c r="V8" i="96"/>
  <c r="BA8" i="96" s="1"/>
  <c r="U7" i="96"/>
  <c r="AZ7" i="96" s="1"/>
  <c r="T10" i="96"/>
  <c r="AY10" i="96" s="1"/>
  <c r="R10" i="96"/>
  <c r="AW10" i="96" s="1"/>
  <c r="S11" i="96"/>
  <c r="AX11" i="96" s="1"/>
  <c r="U12" i="96"/>
  <c r="AZ12" i="96" s="1"/>
  <c r="U9" i="96"/>
  <c r="AZ9" i="96" s="1"/>
  <c r="T11" i="96"/>
  <c r="AY11" i="96" s="1"/>
  <c r="T7" i="96"/>
  <c r="AY7" i="96" s="1"/>
  <c r="R7" i="96"/>
  <c r="AW7" i="96" s="1"/>
  <c r="T9" i="96"/>
  <c r="AY9" i="96" s="1"/>
  <c r="W8" i="96"/>
  <c r="BB8" i="96" s="1"/>
  <c r="T8" i="96"/>
  <c r="AY8" i="96" s="1"/>
  <c r="U10" i="96"/>
  <c r="AZ10" i="96" s="1"/>
  <c r="R9" i="96"/>
  <c r="AW9" i="96" s="1"/>
  <c r="S12" i="96"/>
  <c r="AX12" i="96" s="1"/>
  <c r="U8" i="96"/>
  <c r="AZ8" i="96" s="1"/>
  <c r="B14" i="96"/>
  <c r="X8" i="96"/>
  <c r="BC8" i="96" s="1"/>
  <c r="U11" i="96"/>
  <c r="AZ11" i="96" s="1"/>
  <c r="W12" i="96"/>
  <c r="BB12" i="96" s="1"/>
  <c r="S10" i="96"/>
  <c r="AX10" i="96" s="1"/>
  <c r="W9" i="96"/>
  <c r="BB9" i="96" s="1"/>
  <c r="W7" i="96"/>
  <c r="BB7" i="96" s="1"/>
  <c r="X9" i="96"/>
  <c r="BC9" i="96" s="1"/>
  <c r="R8" i="96"/>
  <c r="AW8" i="96" s="1"/>
  <c r="R12" i="96"/>
  <c r="AW12" i="96" s="1"/>
  <c r="X10" i="96"/>
  <c r="BC10" i="96" s="1"/>
  <c r="S7" i="96"/>
  <c r="AX7" i="96" s="1"/>
  <c r="V11" i="96"/>
  <c r="BA11" i="96" s="1"/>
  <c r="AN30" i="58" l="1"/>
  <c r="AK40" i="58"/>
  <c r="X40" i="58" s="1"/>
  <c r="AE40" i="58"/>
  <c r="AY37" i="58"/>
  <c r="AE38" i="58"/>
  <c r="AN28" i="58"/>
  <c r="AK38" i="58"/>
  <c r="X38" i="58" s="1"/>
  <c r="AY34" i="58"/>
  <c r="AF16" i="58"/>
  <c r="AI16" i="58"/>
  <c r="AN27" i="58"/>
  <c r="AY33" i="58"/>
  <c r="AE37" i="58"/>
  <c r="AK37" i="58"/>
  <c r="X37" i="58" s="1"/>
  <c r="AQ14" i="58" s="1"/>
  <c r="E20" i="96"/>
  <c r="AJ20" i="96" s="1"/>
  <c r="F21" i="96"/>
  <c r="AK21" i="96" s="1"/>
  <c r="H16" i="96"/>
  <c r="AM16" i="96" s="1"/>
  <c r="B17" i="96"/>
  <c r="AG17" i="96" s="1"/>
  <c r="E17" i="96"/>
  <c r="AJ17" i="96" s="1"/>
  <c r="D19" i="96"/>
  <c r="AI19" i="96" s="1"/>
  <c r="C21" i="96"/>
  <c r="AH21" i="96" s="1"/>
  <c r="B19" i="96"/>
  <c r="AG19" i="96" s="1"/>
  <c r="D21" i="96"/>
  <c r="AI21" i="96" s="1"/>
  <c r="C17" i="96"/>
  <c r="AH17" i="96" s="1"/>
  <c r="B21" i="96"/>
  <c r="AG21" i="96" s="1"/>
  <c r="B16" i="96"/>
  <c r="AG16" i="96" s="1"/>
  <c r="F20" i="96"/>
  <c r="AK20" i="96" s="1"/>
  <c r="H19" i="96"/>
  <c r="AM19" i="96" s="1"/>
  <c r="J14" i="96"/>
  <c r="G19" i="96"/>
  <c r="AL19" i="96" s="1"/>
  <c r="E18" i="96"/>
  <c r="AJ18" i="96" s="1"/>
  <c r="F19" i="96"/>
  <c r="AK19" i="96" s="1"/>
  <c r="D17" i="96"/>
  <c r="AI17" i="96" s="1"/>
  <c r="F16" i="96"/>
  <c r="AK16" i="96" s="1"/>
  <c r="B18" i="96"/>
  <c r="AG18" i="96" s="1"/>
  <c r="D18" i="96"/>
  <c r="AI18" i="96" s="1"/>
  <c r="G16" i="96"/>
  <c r="AL16" i="96" s="1"/>
  <c r="G17" i="96"/>
  <c r="AL17" i="96" s="1"/>
  <c r="H21" i="96"/>
  <c r="AM21" i="96" s="1"/>
  <c r="C19" i="96"/>
  <c r="AH19" i="96" s="1"/>
  <c r="H18" i="96"/>
  <c r="AM18" i="96" s="1"/>
  <c r="E21" i="96"/>
  <c r="AJ21" i="96" s="1"/>
  <c r="G18" i="96"/>
  <c r="AL18" i="96" s="1"/>
  <c r="G20" i="96"/>
  <c r="AL20" i="96" s="1"/>
  <c r="C20" i="96"/>
  <c r="AH20" i="96" s="1"/>
  <c r="H17" i="96"/>
  <c r="AM17" i="96" s="1"/>
  <c r="D16" i="96"/>
  <c r="AI16" i="96" s="1"/>
  <c r="E19" i="96"/>
  <c r="AJ19" i="96" s="1"/>
  <c r="D20" i="96"/>
  <c r="AI20" i="96" s="1"/>
  <c r="E16" i="96"/>
  <c r="AJ16" i="96" s="1"/>
  <c r="H20" i="96"/>
  <c r="AM20" i="96" s="1"/>
  <c r="G21" i="96"/>
  <c r="AL21" i="96" s="1"/>
  <c r="C18" i="96"/>
  <c r="AH18" i="96" s="1"/>
  <c r="F17" i="96"/>
  <c r="AK17" i="96" s="1"/>
  <c r="F18" i="96"/>
  <c r="AK18" i="96" s="1"/>
  <c r="B20" i="96"/>
  <c r="AG20" i="96" s="1"/>
  <c r="C16" i="96"/>
  <c r="AH16" i="96" s="1"/>
  <c r="Y40" i="58" l="1"/>
  <c r="AP12" i="58"/>
  <c r="AP13" i="58"/>
  <c r="AS13" i="58" s="1"/>
  <c r="AK13" i="58" s="1"/>
  <c r="AL13" i="58" s="1"/>
  <c r="AR15" i="58"/>
  <c r="AP11" i="58"/>
  <c r="AP14" i="58"/>
  <c r="AS14" i="58" s="1"/>
  <c r="AK14" i="58" s="1"/>
  <c r="AL14" i="58" s="1"/>
  <c r="AP15" i="58"/>
  <c r="Y38" i="58"/>
  <c r="Y37" i="58"/>
  <c r="AU14" i="58" s="1"/>
  <c r="AQ12" i="58"/>
  <c r="AQ11" i="58"/>
  <c r="AO7" i="58" a="1"/>
  <c r="AO7" i="58" s="1"/>
  <c r="AO26" i="58" a="1"/>
  <c r="AO26" i="58" s="1"/>
  <c r="AO25" i="58" a="1"/>
  <c r="AO25" i="58" s="1"/>
  <c r="AO3" i="58" a="1"/>
  <c r="AO3" i="58" s="1"/>
  <c r="AO10" i="58" a="1"/>
  <c r="AO10" i="58" s="1"/>
  <c r="AO24" i="58" a="1"/>
  <c r="AO24" i="58" s="1"/>
  <c r="AO28" i="58" a="1"/>
  <c r="AO28" i="58" s="1"/>
  <c r="AO29" i="58" a="1"/>
  <c r="AO29" i="58" s="1"/>
  <c r="AO21" i="58" a="1"/>
  <c r="AO21" i="58" s="1"/>
  <c r="AO15" i="58" a="1"/>
  <c r="AO15" i="58" s="1"/>
  <c r="AO31" i="58" a="1"/>
  <c r="AO31" i="58" s="1"/>
  <c r="AO17" i="58" a="1"/>
  <c r="AO17" i="58" s="1"/>
  <c r="AO4" i="58" a="1"/>
  <c r="AO4" i="58" s="1"/>
  <c r="AO12" i="58" a="1"/>
  <c r="AO12" i="58" s="1"/>
  <c r="AO8" i="58" a="1"/>
  <c r="AO8" i="58" s="1"/>
  <c r="AO27" i="58" a="1"/>
  <c r="AO27" i="58" s="1"/>
  <c r="AO18" i="58" a="1"/>
  <c r="AO18" i="58" s="1"/>
  <c r="AO9" i="58" a="1"/>
  <c r="AO9" i="58" s="1"/>
  <c r="AO30" i="58" a="1"/>
  <c r="AO30" i="58" s="1"/>
  <c r="AO6" i="58" a="1"/>
  <c r="AO6" i="58" s="1"/>
  <c r="AO22" i="58" a="1"/>
  <c r="AO22" i="58" s="1"/>
  <c r="AO13" i="58" a="1"/>
  <c r="AO13" i="58" s="1"/>
  <c r="AO16" i="58" a="1"/>
  <c r="AO16" i="58" s="1"/>
  <c r="AO14" i="58" a="1"/>
  <c r="AO14" i="58" s="1"/>
  <c r="AO5" i="58" a="1"/>
  <c r="AO5" i="58" s="1"/>
  <c r="AO11" i="58" a="1"/>
  <c r="AO11" i="58" s="1"/>
  <c r="AO20" i="58" a="1"/>
  <c r="AO20" i="58" s="1"/>
  <c r="AO23" i="58" a="1"/>
  <c r="AO23" i="58" s="1"/>
  <c r="AO19" i="58" a="1"/>
  <c r="AO19" i="58" s="1"/>
  <c r="AO2" i="58" a="1"/>
  <c r="AO2" i="58" s="1"/>
  <c r="M19" i="96"/>
  <c r="AR19" i="96" s="1"/>
  <c r="J20" i="96"/>
  <c r="AO20" i="96" s="1"/>
  <c r="M21" i="96"/>
  <c r="AR21" i="96" s="1"/>
  <c r="K18" i="96"/>
  <c r="AP18" i="96" s="1"/>
  <c r="L19" i="96"/>
  <c r="AQ19" i="96" s="1"/>
  <c r="K19" i="96"/>
  <c r="AP19" i="96" s="1"/>
  <c r="O16" i="96"/>
  <c r="AT16" i="96" s="1"/>
  <c r="O20" i="96"/>
  <c r="AT20" i="96" s="1"/>
  <c r="N17" i="96"/>
  <c r="AS17" i="96" s="1"/>
  <c r="P20" i="96"/>
  <c r="AU20" i="96" s="1"/>
  <c r="N16" i="96"/>
  <c r="AS16" i="96" s="1"/>
  <c r="J21" i="96"/>
  <c r="AO21" i="96" s="1"/>
  <c r="J18" i="96"/>
  <c r="AO18" i="96" s="1"/>
  <c r="J19" i="96"/>
  <c r="AO19" i="96" s="1"/>
  <c r="O19" i="96"/>
  <c r="AT19" i="96" s="1"/>
  <c r="L21" i="96"/>
  <c r="AQ21" i="96" s="1"/>
  <c r="L20" i="96"/>
  <c r="AQ20" i="96" s="1"/>
  <c r="L16" i="96"/>
  <c r="AQ16" i="96" s="1"/>
  <c r="O18" i="96"/>
  <c r="AT18" i="96" s="1"/>
  <c r="P17" i="96"/>
  <c r="AU17" i="96" s="1"/>
  <c r="M16" i="96"/>
  <c r="AR16" i="96" s="1"/>
  <c r="N21" i="96"/>
  <c r="AS21" i="96" s="1"/>
  <c r="N19" i="96"/>
  <c r="AS19" i="96" s="1"/>
  <c r="M17" i="96"/>
  <c r="AR17" i="96" s="1"/>
  <c r="P18" i="96"/>
  <c r="AU18" i="96" s="1"/>
  <c r="K20" i="96"/>
  <c r="AP20" i="96" s="1"/>
  <c r="R14" i="96"/>
  <c r="J16" i="96"/>
  <c r="AO16" i="96" s="1"/>
  <c r="L18" i="96"/>
  <c r="AQ18" i="96" s="1"/>
  <c r="K16" i="96"/>
  <c r="AP16" i="96" s="1"/>
  <c r="O17" i="96"/>
  <c r="AT17" i="96" s="1"/>
  <c r="J17" i="96"/>
  <c r="AO17" i="96" s="1"/>
  <c r="P19" i="96"/>
  <c r="AU19" i="96" s="1"/>
  <c r="K21" i="96"/>
  <c r="AP21" i="96" s="1"/>
  <c r="N18" i="96"/>
  <c r="AS18" i="96" s="1"/>
  <c r="N20" i="96"/>
  <c r="AS20" i="96" s="1"/>
  <c r="P21" i="96"/>
  <c r="AU21" i="96" s="1"/>
  <c r="O21" i="96"/>
  <c r="AT21" i="96" s="1"/>
  <c r="K17" i="96"/>
  <c r="AP17" i="96" s="1"/>
  <c r="M18" i="96"/>
  <c r="AR18" i="96" s="1"/>
  <c r="M20" i="96"/>
  <c r="AR20" i="96" s="1"/>
  <c r="P16" i="96"/>
  <c r="AU16" i="96" s="1"/>
  <c r="L17" i="96"/>
  <c r="AQ17" i="96" s="1"/>
  <c r="AS11" i="58" l="1"/>
  <c r="AK11" i="58" s="1"/>
  <c r="AL11" i="58" s="1"/>
  <c r="AT13" i="58"/>
  <c r="AW13" i="58" s="1"/>
  <c r="AE13" i="58" s="1"/>
  <c r="AD13" i="58" s="1"/>
  <c r="AG13" i="58" s="1"/>
  <c r="AJ13" i="58" s="1"/>
  <c r="AV15" i="58"/>
  <c r="AT11" i="58"/>
  <c r="AT12" i="58"/>
  <c r="AS12" i="58"/>
  <c r="AK12" i="58" s="1"/>
  <c r="AL12" i="58" s="1"/>
  <c r="AS15" i="58"/>
  <c r="AK15" i="58" s="1"/>
  <c r="AL15" i="58" s="1"/>
  <c r="AT14" i="58"/>
  <c r="AW14" i="58" s="1"/>
  <c r="AE14" i="58" s="1"/>
  <c r="AD14" i="58" s="1"/>
  <c r="AG14" i="58" s="1"/>
  <c r="AJ14" i="58" s="1"/>
  <c r="AT15" i="58"/>
  <c r="AU11" i="58"/>
  <c r="AU12" i="58"/>
  <c r="X20" i="96"/>
  <c r="BC20" i="96" s="1"/>
  <c r="V17" i="96"/>
  <c r="BA17" i="96" s="1"/>
  <c r="R21" i="96"/>
  <c r="AW21" i="96" s="1"/>
  <c r="V18" i="96"/>
  <c r="BA18" i="96" s="1"/>
  <c r="T17" i="96"/>
  <c r="AY17" i="96" s="1"/>
  <c r="V16" i="96"/>
  <c r="BA16" i="96" s="1"/>
  <c r="X16" i="96"/>
  <c r="BC16" i="96" s="1"/>
  <c r="U16" i="96"/>
  <c r="AZ16" i="96" s="1"/>
  <c r="U19" i="96"/>
  <c r="AZ19" i="96" s="1"/>
  <c r="W17" i="96"/>
  <c r="BB17" i="96" s="1"/>
  <c r="X19" i="96"/>
  <c r="BC19" i="96" s="1"/>
  <c r="X21" i="96"/>
  <c r="BC21" i="96" s="1"/>
  <c r="V19" i="96"/>
  <c r="BA19" i="96" s="1"/>
  <c r="R18" i="96"/>
  <c r="AW18" i="96" s="1"/>
  <c r="R17" i="96"/>
  <c r="AW17" i="96" s="1"/>
  <c r="U17" i="96"/>
  <c r="AZ17" i="96" s="1"/>
  <c r="R16" i="96"/>
  <c r="AW16" i="96" s="1"/>
  <c r="U21" i="96"/>
  <c r="AZ21" i="96" s="1"/>
  <c r="V21" i="96"/>
  <c r="BA21" i="96" s="1"/>
  <c r="B23" i="96"/>
  <c r="W16" i="96"/>
  <c r="BB16" i="96" s="1"/>
  <c r="V20" i="96"/>
  <c r="BA20" i="96" s="1"/>
  <c r="T19" i="96"/>
  <c r="AY19" i="96" s="1"/>
  <c r="S18" i="96"/>
  <c r="AX18" i="96" s="1"/>
  <c r="T16" i="96"/>
  <c r="AY16" i="96" s="1"/>
  <c r="R19" i="96"/>
  <c r="AW19" i="96" s="1"/>
  <c r="W20" i="96"/>
  <c r="BB20" i="96" s="1"/>
  <c r="U18" i="96"/>
  <c r="AZ18" i="96" s="1"/>
  <c r="W19" i="96"/>
  <c r="BB19" i="96" s="1"/>
  <c r="X17" i="96"/>
  <c r="BC17" i="96" s="1"/>
  <c r="S19" i="96"/>
  <c r="AX19" i="96" s="1"/>
  <c r="R20" i="96"/>
  <c r="AW20" i="96" s="1"/>
  <c r="S17" i="96"/>
  <c r="AX17" i="96" s="1"/>
  <c r="W18" i="96"/>
  <c r="BB18" i="96" s="1"/>
  <c r="S16" i="96"/>
  <c r="AX16" i="96" s="1"/>
  <c r="U20" i="96"/>
  <c r="AZ20" i="96" s="1"/>
  <c r="T21" i="96"/>
  <c r="AY21" i="96" s="1"/>
  <c r="S21" i="96"/>
  <c r="AX21" i="96" s="1"/>
  <c r="T20" i="96"/>
  <c r="AY20" i="96" s="1"/>
  <c r="W21" i="96"/>
  <c r="BB21" i="96" s="1"/>
  <c r="X18" i="96"/>
  <c r="BC18" i="96" s="1"/>
  <c r="S20" i="96"/>
  <c r="AX20" i="96" s="1"/>
  <c r="T18" i="96"/>
  <c r="AY18" i="96" s="1"/>
  <c r="AH13" i="58" l="1"/>
  <c r="AK32" i="58"/>
  <c r="AL32" i="58"/>
  <c r="BJ7" i="84" s="1"/>
  <c r="BJ24" i="84" s="1"/>
  <c r="J50" i="113" s="1"/>
  <c r="AW15" i="58"/>
  <c r="AE15" i="58" s="1"/>
  <c r="AD15" i="58" s="1"/>
  <c r="AG15" i="58" s="1"/>
  <c r="AJ15" i="58" s="1"/>
  <c r="AF13" i="58"/>
  <c r="AW11" i="58"/>
  <c r="AE11" i="58" s="1"/>
  <c r="AD11" i="58" s="1"/>
  <c r="AG11" i="58" s="1"/>
  <c r="AW12" i="58"/>
  <c r="AE12" i="58" s="1"/>
  <c r="AD12" i="58" s="1"/>
  <c r="AK34" i="58"/>
  <c r="AF14" i="58"/>
  <c r="AI14" i="58"/>
  <c r="C27" i="96"/>
  <c r="AH27" i="96" s="1"/>
  <c r="D30" i="96"/>
  <c r="AI30" i="96" s="1"/>
  <c r="C30" i="96"/>
  <c r="AH30" i="96" s="1"/>
  <c r="B26" i="96"/>
  <c r="AG26" i="96" s="1"/>
  <c r="D28" i="96"/>
  <c r="AI28" i="96" s="1"/>
  <c r="E27" i="96"/>
  <c r="AJ27" i="96" s="1"/>
  <c r="G25" i="96"/>
  <c r="AL25" i="96" s="1"/>
  <c r="E26" i="96"/>
  <c r="AJ26" i="96" s="1"/>
  <c r="D25" i="96"/>
  <c r="AI25" i="96" s="1"/>
  <c r="B30" i="96"/>
  <c r="AG30" i="96" s="1"/>
  <c r="F26" i="96"/>
  <c r="AK26" i="96" s="1"/>
  <c r="D29" i="96"/>
  <c r="AI29" i="96" s="1"/>
  <c r="F29" i="96"/>
  <c r="AK29" i="96" s="1"/>
  <c r="G26" i="96"/>
  <c r="AL26" i="96" s="1"/>
  <c r="H28" i="96"/>
  <c r="AM28" i="96" s="1"/>
  <c r="C26" i="96"/>
  <c r="AH26" i="96" s="1"/>
  <c r="E30" i="96"/>
  <c r="AJ30" i="96" s="1"/>
  <c r="B25" i="96"/>
  <c r="AG25" i="96" s="1"/>
  <c r="G29" i="96"/>
  <c r="AL29" i="96" s="1"/>
  <c r="F30" i="96"/>
  <c r="AK30" i="96" s="1"/>
  <c r="H26" i="96"/>
  <c r="AM26" i="96" s="1"/>
  <c r="D27" i="96"/>
  <c r="AI27" i="96" s="1"/>
  <c r="C28" i="96"/>
  <c r="AH28" i="96" s="1"/>
  <c r="C25" i="96"/>
  <c r="AH25" i="96" s="1"/>
  <c r="B27" i="96"/>
  <c r="AG27" i="96" s="1"/>
  <c r="B29" i="96"/>
  <c r="AG29" i="96" s="1"/>
  <c r="H25" i="96"/>
  <c r="AM25" i="96" s="1"/>
  <c r="E28" i="96"/>
  <c r="AJ28" i="96" s="1"/>
  <c r="F28" i="96"/>
  <c r="AK28" i="96" s="1"/>
  <c r="E29" i="96"/>
  <c r="AJ29" i="96" s="1"/>
  <c r="H30" i="96"/>
  <c r="AM30" i="96" s="1"/>
  <c r="G30" i="96"/>
  <c r="AL30" i="96" s="1"/>
  <c r="H27" i="96"/>
  <c r="AM27" i="96" s="1"/>
  <c r="E25" i="96"/>
  <c r="AJ25" i="96" s="1"/>
  <c r="G27" i="96"/>
  <c r="AL27" i="96" s="1"/>
  <c r="J23" i="96"/>
  <c r="B28" i="96"/>
  <c r="AG28" i="96" s="1"/>
  <c r="F25" i="96"/>
  <c r="AK25" i="96" s="1"/>
  <c r="C29" i="96"/>
  <c r="AH29" i="96" s="1"/>
  <c r="D26" i="96"/>
  <c r="AI26" i="96" s="1"/>
  <c r="F27" i="96"/>
  <c r="AK27" i="96" s="1"/>
  <c r="H29" i="96"/>
  <c r="AM29" i="96" s="1"/>
  <c r="G28" i="96"/>
  <c r="AL28" i="96" s="1"/>
  <c r="AG12" i="58" l="1"/>
  <c r="AG34" i="58" s="1"/>
  <c r="AI13" i="58"/>
  <c r="AH12" i="58"/>
  <c r="AY13" i="58"/>
  <c r="AY14" i="58"/>
  <c r="AK33" i="58"/>
  <c r="AF15" i="58"/>
  <c r="AE32" i="58"/>
  <c r="AE34" i="58"/>
  <c r="AI15" i="58"/>
  <c r="AD32" i="58"/>
  <c r="AF11" i="58"/>
  <c r="AJ11" i="58" s="1"/>
  <c r="J26" i="48"/>
  <c r="H31" i="45"/>
  <c r="K29" i="96"/>
  <c r="AP29" i="96" s="1"/>
  <c r="J27" i="96"/>
  <c r="AO27" i="96" s="1"/>
  <c r="O25" i="96"/>
  <c r="AT25" i="96" s="1"/>
  <c r="O26" i="96"/>
  <c r="AT26" i="96" s="1"/>
  <c r="P29" i="96"/>
  <c r="AU29" i="96" s="1"/>
  <c r="M27" i="96"/>
  <c r="AR27" i="96" s="1"/>
  <c r="N28" i="96"/>
  <c r="AS28" i="96" s="1"/>
  <c r="N30" i="96"/>
  <c r="AS30" i="96" s="1"/>
  <c r="P26" i="96"/>
  <c r="AU26" i="96" s="1"/>
  <c r="J30" i="96"/>
  <c r="AO30" i="96" s="1"/>
  <c r="L25" i="96"/>
  <c r="AQ25" i="96" s="1"/>
  <c r="M28" i="96"/>
  <c r="AR28" i="96" s="1"/>
  <c r="J28" i="96"/>
  <c r="AO28" i="96" s="1"/>
  <c r="M26" i="96"/>
  <c r="AR26" i="96" s="1"/>
  <c r="L28" i="96"/>
  <c r="AQ28" i="96" s="1"/>
  <c r="J29" i="96"/>
  <c r="AO29" i="96" s="1"/>
  <c r="L27" i="96"/>
  <c r="AQ27" i="96" s="1"/>
  <c r="N29" i="96"/>
  <c r="AS29" i="96" s="1"/>
  <c r="P27" i="96"/>
  <c r="AU27" i="96" s="1"/>
  <c r="O27" i="96"/>
  <c r="AT27" i="96" s="1"/>
  <c r="J26" i="96"/>
  <c r="AO26" i="96" s="1"/>
  <c r="P28" i="96"/>
  <c r="AU28" i="96" s="1"/>
  <c r="N27" i="96"/>
  <c r="AS27" i="96" s="1"/>
  <c r="K27" i="96"/>
  <c r="AP27" i="96" s="1"/>
  <c r="L30" i="96"/>
  <c r="AQ30" i="96" s="1"/>
  <c r="P30" i="96"/>
  <c r="AU30" i="96" s="1"/>
  <c r="R23" i="96"/>
  <c r="O28" i="96"/>
  <c r="AT28" i="96" s="1"/>
  <c r="K26" i="96"/>
  <c r="AP26" i="96" s="1"/>
  <c r="M25" i="96"/>
  <c r="AR25" i="96" s="1"/>
  <c r="L29" i="96"/>
  <c r="AQ29" i="96" s="1"/>
  <c r="M29" i="96"/>
  <c r="AR29" i="96" s="1"/>
  <c r="M30" i="96"/>
  <c r="AR30" i="96" s="1"/>
  <c r="K30" i="96"/>
  <c r="AP30" i="96" s="1"/>
  <c r="N26" i="96"/>
  <c r="AS26" i="96" s="1"/>
  <c r="P25" i="96"/>
  <c r="AU25" i="96" s="1"/>
  <c r="O30" i="96"/>
  <c r="AT30" i="96" s="1"/>
  <c r="O29" i="96"/>
  <c r="AT29" i="96" s="1"/>
  <c r="L26" i="96"/>
  <c r="AQ26" i="96" s="1"/>
  <c r="K28" i="96"/>
  <c r="AP28" i="96" s="1"/>
  <c r="J25" i="96"/>
  <c r="AO25" i="96" s="1"/>
  <c r="N25" i="96"/>
  <c r="AS25" i="96" s="1"/>
  <c r="K25" i="96"/>
  <c r="AP25" i="96" s="1"/>
  <c r="AD34" i="58" l="1"/>
  <c r="AF12" i="58"/>
  <c r="AY12" i="58" s="1"/>
  <c r="AJ12" i="58"/>
  <c r="AJ33" i="58" s="1"/>
  <c r="AG33" i="58"/>
  <c r="AI12" i="58"/>
  <c r="AY15" i="58"/>
  <c r="AE33" i="58"/>
  <c r="AF32" i="58"/>
  <c r="AY11" i="58"/>
  <c r="AH11" i="58"/>
  <c r="AG32" i="58"/>
  <c r="V30" i="96"/>
  <c r="BA30" i="96" s="1"/>
  <c r="T26" i="96"/>
  <c r="AY26" i="96" s="1"/>
  <c r="X25" i="96"/>
  <c r="BC25" i="96" s="1"/>
  <c r="U30" i="96"/>
  <c r="AZ30" i="96" s="1"/>
  <c r="V28" i="96"/>
  <c r="BA28" i="96" s="1"/>
  <c r="U28" i="96"/>
  <c r="AZ28" i="96" s="1"/>
  <c r="V29" i="96"/>
  <c r="BA29" i="96" s="1"/>
  <c r="R25" i="96"/>
  <c r="AW25" i="96" s="1"/>
  <c r="U25" i="96"/>
  <c r="AZ25" i="96" s="1"/>
  <c r="X30" i="96"/>
  <c r="BC30" i="96" s="1"/>
  <c r="B32" i="96"/>
  <c r="U27" i="96"/>
  <c r="AZ27" i="96" s="1"/>
  <c r="W25" i="96"/>
  <c r="BB25" i="96" s="1"/>
  <c r="S30" i="96"/>
  <c r="AX30" i="96" s="1"/>
  <c r="T29" i="96"/>
  <c r="AY29" i="96" s="1"/>
  <c r="R29" i="96"/>
  <c r="AW29" i="96" s="1"/>
  <c r="S29" i="96"/>
  <c r="AX29" i="96" s="1"/>
  <c r="V25" i="96"/>
  <c r="BA25" i="96" s="1"/>
  <c r="S28" i="96"/>
  <c r="AX28" i="96" s="1"/>
  <c r="W28" i="96"/>
  <c r="BB28" i="96" s="1"/>
  <c r="W30" i="96"/>
  <c r="BB30" i="96" s="1"/>
  <c r="X26" i="96"/>
  <c r="BC26" i="96" s="1"/>
  <c r="T25" i="96"/>
  <c r="AY25" i="96" s="1"/>
  <c r="R26" i="96"/>
  <c r="AW26" i="96" s="1"/>
  <c r="R28" i="96"/>
  <c r="AW28" i="96" s="1"/>
  <c r="S26" i="96"/>
  <c r="AX26" i="96" s="1"/>
  <c r="W26" i="96"/>
  <c r="BB26" i="96" s="1"/>
  <c r="T28" i="96"/>
  <c r="AY28" i="96" s="1"/>
  <c r="W27" i="96"/>
  <c r="BB27" i="96" s="1"/>
  <c r="X28" i="96"/>
  <c r="BC28" i="96" s="1"/>
  <c r="T30" i="96"/>
  <c r="AY30" i="96" s="1"/>
  <c r="T27" i="96"/>
  <c r="AY27" i="96" s="1"/>
  <c r="X27" i="96"/>
  <c r="BC27" i="96" s="1"/>
  <c r="U29" i="96"/>
  <c r="AZ29" i="96" s="1"/>
  <c r="U26" i="96"/>
  <c r="AZ26" i="96" s="1"/>
  <c r="R30" i="96"/>
  <c r="AW30" i="96" s="1"/>
  <c r="S27" i="96"/>
  <c r="AX27" i="96" s="1"/>
  <c r="S25" i="96"/>
  <c r="AX25" i="96" s="1"/>
  <c r="X29" i="96"/>
  <c r="BC29" i="96" s="1"/>
  <c r="R27" i="96"/>
  <c r="AW27" i="96" s="1"/>
  <c r="W29" i="96"/>
  <c r="BB29" i="96" s="1"/>
  <c r="V27" i="96"/>
  <c r="BA27" i="96" s="1"/>
  <c r="V26" i="96"/>
  <c r="BA26" i="96" s="1"/>
  <c r="M3" i="44" l="1"/>
  <c r="F5" i="114"/>
  <c r="F4" i="114"/>
  <c r="F5" i="49"/>
  <c r="F4" i="49"/>
  <c r="AD33" i="58"/>
  <c r="AF34" i="58"/>
  <c r="AJ34" i="58"/>
  <c r="AL33" i="58"/>
  <c r="AJ32" i="58"/>
  <c r="AH34" i="58"/>
  <c r="AH32" i="58"/>
  <c r="BB21" i="58" a="1"/>
  <c r="BB21" i="58" s="1"/>
  <c r="BB23" i="58" a="1"/>
  <c r="BB23" i="58" s="1"/>
  <c r="BB37" i="58" a="1"/>
  <c r="BB37" i="58" s="1"/>
  <c r="BB18" i="58" a="1"/>
  <c r="BB18" i="58" s="1"/>
  <c r="BB36" i="58" a="1"/>
  <c r="BB36" i="58" s="1"/>
  <c r="BB34" i="58" a="1"/>
  <c r="BB34" i="58" s="1"/>
  <c r="BB8" i="58" a="1"/>
  <c r="BB8" i="58" s="1"/>
  <c r="BB30" i="58" a="1"/>
  <c r="BB30" i="58" s="1"/>
  <c r="BB24" i="58" a="1"/>
  <c r="BB24" i="58" s="1"/>
  <c r="BB4" i="58" a="1"/>
  <c r="BB4" i="58" s="1"/>
  <c r="BB10" i="58" a="1"/>
  <c r="BB10" i="58" s="1"/>
  <c r="BB19" i="58" a="1"/>
  <c r="BB19" i="58" s="1"/>
  <c r="BB12" i="58" a="1"/>
  <c r="BB12" i="58" s="1"/>
  <c r="BB22" i="58" a="1"/>
  <c r="BB22" i="58" s="1"/>
  <c r="BB14" i="58" a="1"/>
  <c r="BB14" i="58" s="1"/>
  <c r="BB16" i="58" a="1"/>
  <c r="BB16" i="58" s="1"/>
  <c r="BB6" i="58" a="1"/>
  <c r="BB6" i="58" s="1"/>
  <c r="BB33" i="58" a="1"/>
  <c r="BB33" i="58" s="1"/>
  <c r="BB9" i="58" a="1"/>
  <c r="BB9" i="58" s="1"/>
  <c r="BB25" i="58" a="1"/>
  <c r="BB25" i="58" s="1"/>
  <c r="BB20" i="58" a="1"/>
  <c r="BB20" i="58" s="1"/>
  <c r="BB13" i="58" a="1"/>
  <c r="BB13" i="58" s="1"/>
  <c r="BB28" i="58" a="1"/>
  <c r="BB28" i="58" s="1"/>
  <c r="BB2" i="58" a="1"/>
  <c r="BB2" i="58" s="1"/>
  <c r="BB5" i="58" a="1"/>
  <c r="BB5" i="58" s="1"/>
  <c r="BB17" i="58" a="1"/>
  <c r="BB17" i="58" s="1"/>
  <c r="BB15" i="58" a="1"/>
  <c r="BB15" i="58" s="1"/>
  <c r="BB7" i="58" a="1"/>
  <c r="BB7" i="58" s="1"/>
  <c r="BB3" i="58" a="1"/>
  <c r="BB3" i="58" s="1"/>
  <c r="BB26" i="58" a="1"/>
  <c r="BB26" i="58" s="1"/>
  <c r="BB11" i="58" a="1"/>
  <c r="BB11" i="58" s="1"/>
  <c r="BB29" i="58" a="1"/>
  <c r="BB29" i="58" s="1"/>
  <c r="BB32" i="58" a="1"/>
  <c r="BB32" i="58" s="1"/>
  <c r="BB31" i="58" a="1"/>
  <c r="BB31" i="58" s="1"/>
  <c r="BB27" i="58" a="1"/>
  <c r="BB27" i="58" s="1"/>
  <c r="AT30" i="84"/>
  <c r="AI11" i="58"/>
  <c r="AT7" i="84"/>
  <c r="AF33" i="58"/>
  <c r="F37" i="96"/>
  <c r="AK37" i="96" s="1"/>
  <c r="C38" i="96"/>
  <c r="AH38" i="96" s="1"/>
  <c r="G34" i="96"/>
  <c r="AL34" i="96" s="1"/>
  <c r="B37" i="96"/>
  <c r="AG37" i="96" s="1"/>
  <c r="H35" i="96"/>
  <c r="AM35" i="96" s="1"/>
  <c r="E36" i="96"/>
  <c r="AJ36" i="96" s="1"/>
  <c r="F34" i="96"/>
  <c r="AK34" i="96" s="1"/>
  <c r="C37" i="96"/>
  <c r="AH37" i="96" s="1"/>
  <c r="B34" i="96"/>
  <c r="AG34" i="96" s="1"/>
  <c r="G37" i="96"/>
  <c r="AL37" i="96" s="1"/>
  <c r="C34" i="96"/>
  <c r="AH34" i="96" s="1"/>
  <c r="E39" i="96"/>
  <c r="AJ39" i="96" s="1"/>
  <c r="H37" i="96"/>
  <c r="AM37" i="96" s="1"/>
  <c r="C35" i="96"/>
  <c r="AH35" i="96" s="1"/>
  <c r="B39" i="96"/>
  <c r="AG39" i="96" s="1"/>
  <c r="H34" i="96"/>
  <c r="AM34" i="96" s="1"/>
  <c r="G36" i="96"/>
  <c r="AL36" i="96" s="1"/>
  <c r="E37" i="96"/>
  <c r="AJ37" i="96" s="1"/>
  <c r="G38" i="96"/>
  <c r="AL38" i="96" s="1"/>
  <c r="B36" i="96"/>
  <c r="AG36" i="96" s="1"/>
  <c r="H36" i="96"/>
  <c r="AM36" i="96" s="1"/>
  <c r="F39" i="96"/>
  <c r="AK39" i="96" s="1"/>
  <c r="G35" i="96"/>
  <c r="AL35" i="96" s="1"/>
  <c r="C39" i="96"/>
  <c r="AH39" i="96" s="1"/>
  <c r="G39" i="96"/>
  <c r="AL39" i="96" s="1"/>
  <c r="E35" i="96"/>
  <c r="AJ35" i="96" s="1"/>
  <c r="D34" i="96"/>
  <c r="AI34" i="96" s="1"/>
  <c r="D39" i="96"/>
  <c r="AI39" i="96" s="1"/>
  <c r="H38" i="96"/>
  <c r="AM38" i="96" s="1"/>
  <c r="D37" i="96"/>
  <c r="AI37" i="96" s="1"/>
  <c r="F38" i="96"/>
  <c r="AK38" i="96" s="1"/>
  <c r="D36" i="96"/>
  <c r="AI36" i="96" s="1"/>
  <c r="D35" i="96"/>
  <c r="AI35" i="96" s="1"/>
  <c r="F35" i="96"/>
  <c r="AK35" i="96" s="1"/>
  <c r="C36" i="96"/>
  <c r="AH36" i="96" s="1"/>
  <c r="E34" i="96"/>
  <c r="AJ34" i="96" s="1"/>
  <c r="B38" i="96"/>
  <c r="AG38" i="96" s="1"/>
  <c r="D38" i="96"/>
  <c r="AI38" i="96" s="1"/>
  <c r="B35" i="96"/>
  <c r="AG35" i="96" s="1"/>
  <c r="F36" i="96"/>
  <c r="AK36" i="96" s="1"/>
  <c r="H39" i="96"/>
  <c r="AM39" i="96" s="1"/>
  <c r="E38" i="96"/>
  <c r="AJ38" i="96" s="1"/>
  <c r="J32" i="96"/>
  <c r="BJ30" i="84" l="1"/>
  <c r="BJ59" i="84" s="1"/>
  <c r="AL34" i="58"/>
  <c r="AT24" i="84"/>
  <c r="H50" i="113" s="1"/>
  <c r="K50" i="113" s="1"/>
  <c r="BZ7" i="84"/>
  <c r="AI32" i="58"/>
  <c r="AI34" i="58"/>
  <c r="AT59" i="84"/>
  <c r="H52" i="113" s="1"/>
  <c r="AH33" i="58"/>
  <c r="N35" i="96"/>
  <c r="AS35" i="96" s="1"/>
  <c r="P38" i="96"/>
  <c r="AU38" i="96" s="1"/>
  <c r="O38" i="96"/>
  <c r="AT38" i="96" s="1"/>
  <c r="K36" i="96"/>
  <c r="AP36" i="96" s="1"/>
  <c r="M38" i="96"/>
  <c r="AR38" i="96" s="1"/>
  <c r="P36" i="96"/>
  <c r="AU36" i="96" s="1"/>
  <c r="M36" i="96"/>
  <c r="AR36" i="96" s="1"/>
  <c r="N39" i="96"/>
  <c r="AS39" i="96" s="1"/>
  <c r="K37" i="96"/>
  <c r="AP37" i="96" s="1"/>
  <c r="P34" i="96"/>
  <c r="AU34" i="96" s="1"/>
  <c r="J34" i="96"/>
  <c r="AO34" i="96" s="1"/>
  <c r="M34" i="96"/>
  <c r="AR34" i="96" s="1"/>
  <c r="L37" i="96"/>
  <c r="AQ37" i="96" s="1"/>
  <c r="O39" i="96"/>
  <c r="AT39" i="96" s="1"/>
  <c r="J37" i="96"/>
  <c r="AO37" i="96" s="1"/>
  <c r="L34" i="96"/>
  <c r="AQ34" i="96" s="1"/>
  <c r="J36" i="96"/>
  <c r="AO36" i="96" s="1"/>
  <c r="M37" i="96"/>
  <c r="AR37" i="96" s="1"/>
  <c r="N37" i="96"/>
  <c r="AS37" i="96" s="1"/>
  <c r="L35" i="96"/>
  <c r="AQ35" i="96" s="1"/>
  <c r="N38" i="96"/>
  <c r="AS38" i="96" s="1"/>
  <c r="J39" i="96"/>
  <c r="AO39" i="96" s="1"/>
  <c r="P35" i="96"/>
  <c r="AU35" i="96" s="1"/>
  <c r="L36" i="96"/>
  <c r="AQ36" i="96" s="1"/>
  <c r="K38" i="96"/>
  <c r="AP38" i="96" s="1"/>
  <c r="L39" i="96"/>
  <c r="AQ39" i="96" s="1"/>
  <c r="O35" i="96"/>
  <c r="AT35" i="96" s="1"/>
  <c r="J35" i="96"/>
  <c r="AO35" i="96" s="1"/>
  <c r="K39" i="96"/>
  <c r="AP39" i="96" s="1"/>
  <c r="N34" i="96"/>
  <c r="AS34" i="96" s="1"/>
  <c r="K35" i="96"/>
  <c r="AP35" i="96" s="1"/>
  <c r="L38" i="96"/>
  <c r="AQ38" i="96" s="1"/>
  <c r="P37" i="96"/>
  <c r="AU37" i="96" s="1"/>
  <c r="P39" i="96"/>
  <c r="AU39" i="96" s="1"/>
  <c r="K34" i="96"/>
  <c r="AP34" i="96" s="1"/>
  <c r="M39" i="96"/>
  <c r="AR39" i="96" s="1"/>
  <c r="R32" i="96"/>
  <c r="M35" i="96"/>
  <c r="AR35" i="96" s="1"/>
  <c r="O34" i="96"/>
  <c r="AT34" i="96" s="1"/>
  <c r="J38" i="96"/>
  <c r="AO38" i="96" s="1"/>
  <c r="O36" i="96"/>
  <c r="AT36" i="96" s="1"/>
  <c r="N36" i="96"/>
  <c r="AS36" i="96" s="1"/>
  <c r="O37" i="96"/>
  <c r="AT37" i="96" s="1"/>
  <c r="BJ61" i="84" l="1"/>
  <c r="J54" i="113" s="1"/>
  <c r="J52" i="113"/>
  <c r="K52" i="113" s="1"/>
  <c r="AT61" i="84"/>
  <c r="H54" i="113" s="1"/>
  <c r="BZ30" i="84"/>
  <c r="J28" i="48"/>
  <c r="H33" i="45"/>
  <c r="H28" i="48"/>
  <c r="G33" i="45"/>
  <c r="I52" i="113" s="1"/>
  <c r="CO59" i="84"/>
  <c r="BZ59" i="84"/>
  <c r="L52" i="113" s="1"/>
  <c r="AI33" i="58"/>
  <c r="H26" i="48"/>
  <c r="K26" i="48" s="1"/>
  <c r="CO24" i="84"/>
  <c r="G31" i="45"/>
  <c r="H3" i="44" s="1"/>
  <c r="BZ24" i="84"/>
  <c r="L50" i="113" s="1"/>
  <c r="T34" i="96"/>
  <c r="AY34" i="96" s="1"/>
  <c r="T38" i="96"/>
  <c r="AY38" i="96" s="1"/>
  <c r="V39" i="96"/>
  <c r="BA39" i="96" s="1"/>
  <c r="T39" i="96"/>
  <c r="AY39" i="96" s="1"/>
  <c r="R35" i="96"/>
  <c r="AW35" i="96" s="1"/>
  <c r="S38" i="96"/>
  <c r="AX38" i="96" s="1"/>
  <c r="W36" i="96"/>
  <c r="BB36" i="96" s="1"/>
  <c r="W34" i="96"/>
  <c r="BB34" i="96" s="1"/>
  <c r="W38" i="96"/>
  <c r="BB38" i="96" s="1"/>
  <c r="U36" i="96"/>
  <c r="AZ36" i="96" s="1"/>
  <c r="V36" i="96"/>
  <c r="BA36" i="96" s="1"/>
  <c r="X37" i="96"/>
  <c r="BC37" i="96" s="1"/>
  <c r="W35" i="96"/>
  <c r="BB35" i="96" s="1"/>
  <c r="U37" i="96"/>
  <c r="AZ37" i="96" s="1"/>
  <c r="X34" i="96"/>
  <c r="BC34" i="96" s="1"/>
  <c r="W39" i="96"/>
  <c r="BB39" i="96" s="1"/>
  <c r="T37" i="96"/>
  <c r="AY37" i="96" s="1"/>
  <c r="U35" i="96"/>
  <c r="AZ35" i="96" s="1"/>
  <c r="R34" i="96"/>
  <c r="AW34" i="96" s="1"/>
  <c r="S39" i="96"/>
  <c r="AX39" i="96" s="1"/>
  <c r="X39" i="96"/>
  <c r="BC39" i="96" s="1"/>
  <c r="R39" i="96"/>
  <c r="AW39" i="96" s="1"/>
  <c r="S35" i="96"/>
  <c r="AX35" i="96" s="1"/>
  <c r="V34" i="96"/>
  <c r="BA34" i="96" s="1"/>
  <c r="X38" i="96"/>
  <c r="BC38" i="96" s="1"/>
  <c r="S37" i="96"/>
  <c r="AX37" i="96" s="1"/>
  <c r="S34" i="96"/>
  <c r="AX34" i="96" s="1"/>
  <c r="V37" i="96"/>
  <c r="BA37" i="96" s="1"/>
  <c r="W37" i="96"/>
  <c r="BB37" i="96" s="1"/>
  <c r="U39" i="96"/>
  <c r="AZ39" i="96" s="1"/>
  <c r="S36" i="96"/>
  <c r="AX36" i="96" s="1"/>
  <c r="T35" i="96"/>
  <c r="AY35" i="96" s="1"/>
  <c r="X35" i="96"/>
  <c r="BC35" i="96" s="1"/>
  <c r="R36" i="96"/>
  <c r="AW36" i="96" s="1"/>
  <c r="V35" i="96"/>
  <c r="BA35" i="96" s="1"/>
  <c r="V38" i="96"/>
  <c r="BA38" i="96" s="1"/>
  <c r="U34" i="96"/>
  <c r="AZ34" i="96" s="1"/>
  <c r="X36" i="96"/>
  <c r="BC36" i="96" s="1"/>
  <c r="R38" i="96"/>
  <c r="AW38" i="96" s="1"/>
  <c r="U38" i="96"/>
  <c r="AZ38" i="96" s="1"/>
  <c r="R37" i="96"/>
  <c r="AW37" i="96" s="1"/>
  <c r="T36" i="96"/>
  <c r="AY36" i="96" s="1"/>
  <c r="K54" i="113" l="1"/>
  <c r="CO61" i="84"/>
  <c r="BZ61" i="84"/>
  <c r="L54" i="113" s="1"/>
  <c r="K28" i="48"/>
  <c r="H35" i="45"/>
  <c r="J30" i="48"/>
  <c r="J31" i="45"/>
  <c r="I31" i="45"/>
  <c r="L28" i="48"/>
  <c r="G35" i="45"/>
  <c r="I54" i="113" s="1"/>
  <c r="H30" i="48"/>
  <c r="L26" i="48"/>
  <c r="J33" i="45"/>
  <c r="I28" i="48"/>
  <c r="L3" i="44"/>
  <c r="I33" i="45"/>
  <c r="K30" i="48" l="1"/>
  <c r="L30" i="48"/>
  <c r="J35" i="45"/>
  <c r="I30" i="48"/>
  <c r="I35" i="45"/>
  <c r="D4" i="9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Alessandra</author>
  </authors>
  <commentList>
    <comment ref="D257" authorId="0" shapeId="0" xr:uid="{00000000-0006-0000-0000-000001000000}">
      <text>
        <r>
          <rPr>
            <b/>
            <sz val="9"/>
            <color indexed="81"/>
            <rFont val="Tahoma"/>
            <family val="2"/>
          </rPr>
          <t>Alessandra:</t>
        </r>
        <r>
          <rPr>
            <sz val="9"/>
            <color indexed="81"/>
            <rFont val="Tahoma"/>
            <family val="2"/>
          </rPr>
          <t xml:space="preserve">
falls zu "probabilité" gehörend: weibliche Form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D7" authorId="0" shapeId="0" xr:uid="{89D3BCA7-BA8B-4A66-B1C4-35948F2FE45F}">
      <text>
        <r>
          <rPr>
            <sz val="9"/>
            <color indexed="81"/>
            <rFont val="Calibri Light"/>
            <family val="2"/>
          </rPr>
          <t xml:space="preserve">Epics are large bodies of work that can be broken down into a number of smaller tasks (called stories).
</t>
        </r>
      </text>
    </comment>
    <comment ref="E7" authorId="0" shapeId="0" xr:uid="{0693FC17-D053-4E5A-9E48-523F229525A2}">
      <text>
        <r>
          <rPr>
            <sz val="9"/>
            <color indexed="81"/>
            <rFont val="Calibri Light"/>
            <family val="2"/>
          </rPr>
          <t>Stories, also called “user stories,” are short requirements or requests written from the perspective of an end user.</t>
        </r>
        <r>
          <rPr>
            <sz val="9"/>
            <color indexed="81"/>
            <rFont val="Segoe UI"/>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F24" authorId="0" shapeId="0" xr:uid="{00000000-0006-0000-1900-000001000000}">
      <text>
        <r>
          <rPr>
            <sz val="9"/>
            <color indexed="81"/>
            <rFont val="Tahoma"/>
            <family val="2"/>
          </rPr>
          <t>min. 0
max. 3</t>
        </r>
      </text>
    </comment>
    <comment ref="I69" authorId="0" shapeId="0" xr:uid="{00000000-0006-0000-1900-000002000000}">
      <text>
        <r>
          <rPr>
            <sz val="9"/>
            <color indexed="81"/>
            <rFont val="Tahoma"/>
            <family val="2"/>
          </rPr>
          <t>1=grün
2=orange
3=rot</t>
        </r>
        <r>
          <rPr>
            <b/>
            <sz val="9"/>
            <color indexed="81"/>
            <rFont val="Tahoma"/>
            <family val="2"/>
          </rPr>
          <t xml:space="preserve">
</t>
        </r>
      </text>
    </comment>
  </commentList>
</comments>
</file>

<file path=xl/sharedStrings.xml><?xml version="1.0" encoding="utf-8"?>
<sst xmlns="http://schemas.openxmlformats.org/spreadsheetml/2006/main" count="2051" uniqueCount="1517">
  <si>
    <t>IST</t>
  </si>
  <si>
    <t>Stand</t>
  </si>
  <si>
    <t>Projektnummer:</t>
  </si>
  <si>
    <t>Ende:</t>
  </si>
  <si>
    <t>Abteilung:</t>
  </si>
  <si>
    <t>geändert am:</t>
  </si>
  <si>
    <t>StellvertreterIn:</t>
  </si>
  <si>
    <t>Strategisches Ziel:</t>
  </si>
  <si>
    <t>3.</t>
  </si>
  <si>
    <t>4.</t>
  </si>
  <si>
    <t>5.</t>
  </si>
  <si>
    <t>6.</t>
  </si>
  <si>
    <t>1.</t>
  </si>
  <si>
    <t>2.</t>
  </si>
  <si>
    <t>Budget / Ressourcen / Personen</t>
  </si>
  <si>
    <t>Diverses 1:</t>
  </si>
  <si>
    <t>Diverses 2:</t>
  </si>
  <si>
    <t>Diverses 3:</t>
  </si>
  <si>
    <t>Wann?</t>
  </si>
  <si>
    <t>Was?</t>
  </si>
  <si>
    <t>Wer?</t>
  </si>
  <si>
    <t>Genehmigt?</t>
  </si>
  <si>
    <t>Bemerkungen</t>
  </si>
  <si>
    <t>Datum</t>
  </si>
  <si>
    <t>Unterschrift AuftraggeberIn</t>
  </si>
  <si>
    <t>Unterschrift ProjektleiterIn</t>
  </si>
  <si>
    <t>Detailplanung</t>
  </si>
  <si>
    <t>Gesamtprojekt</t>
  </si>
  <si>
    <t>Budget/Ressourcen</t>
  </si>
  <si>
    <t>Termine/Planung</t>
  </si>
  <si>
    <t>Budget</t>
  </si>
  <si>
    <t>SALDO</t>
  </si>
  <si>
    <t>in %</t>
  </si>
  <si>
    <t>War das Projekt erfolgreich?</t>
  </si>
  <si>
    <t>Begründung:</t>
  </si>
  <si>
    <t>Wurde das Budget eingehalten?</t>
  </si>
  <si>
    <t>Problemanalyse</t>
  </si>
  <si>
    <t>Grobplanung</t>
  </si>
  <si>
    <t>Projektteam</t>
  </si>
  <si>
    <t>Go/NoGo</t>
  </si>
  <si>
    <t>Teilprojekte definieren</t>
  </si>
  <si>
    <t>Verantwortungen klären</t>
  </si>
  <si>
    <t>Definition Schnittstellen</t>
  </si>
  <si>
    <t>Definition Arbeitspakete</t>
  </si>
  <si>
    <t>Detailkonzept umsetzen</t>
  </si>
  <si>
    <t>Projektverfolgung</t>
  </si>
  <si>
    <t>Planung aktualisieren</t>
  </si>
  <si>
    <t>Auftraggeber informieren</t>
  </si>
  <si>
    <t>Schlussbericht</t>
  </si>
  <si>
    <t>Auflösung des Projektes</t>
  </si>
  <si>
    <t>Ergebnisse sicherstellen</t>
  </si>
  <si>
    <t>Teilresultate sichern</t>
  </si>
  <si>
    <t xml:space="preserve">Go/NoGo Grobkonzept </t>
  </si>
  <si>
    <t>Name</t>
  </si>
  <si>
    <t>Vorname</t>
  </si>
  <si>
    <t>Kürzel</t>
  </si>
  <si>
    <t>e-mail</t>
  </si>
  <si>
    <t>Telefon</t>
  </si>
  <si>
    <t>Anz.</t>
  </si>
  <si>
    <t>vgl. Detail Projektteam</t>
  </si>
  <si>
    <t>vgl. Detail Projektbudget (intern)</t>
  </si>
  <si>
    <t>vgl. Detail Projektbudget (extern)</t>
  </si>
  <si>
    <t>Ja</t>
  </si>
  <si>
    <t>Beginn</t>
  </si>
  <si>
    <t>Ende</t>
  </si>
  <si>
    <t>Bemerkungen/Beilagen</t>
  </si>
  <si>
    <t>Projektauftrag</t>
  </si>
  <si>
    <t>Grobkonzept</t>
  </si>
  <si>
    <t>Detailkonzept</t>
  </si>
  <si>
    <t>Fin:</t>
  </si>
  <si>
    <t>Objectif stratégique</t>
  </si>
  <si>
    <t>Budget / Ressources / Personnes</t>
  </si>
  <si>
    <t>Quand?</t>
  </si>
  <si>
    <t>Quoi?</t>
  </si>
  <si>
    <t>Personalaufw.:</t>
  </si>
  <si>
    <t>voir détail "équipe de projet"</t>
  </si>
  <si>
    <t>Divers 1 :</t>
  </si>
  <si>
    <t>voir détail "budget interne"</t>
  </si>
  <si>
    <t>voir détail "budget externe"</t>
  </si>
  <si>
    <t>Qui?</t>
  </si>
  <si>
    <t>Approuvé?</t>
  </si>
  <si>
    <t>Date</t>
  </si>
  <si>
    <t>Analyse du problème</t>
  </si>
  <si>
    <t>Analyse SWOT</t>
  </si>
  <si>
    <t>Planification sommaire</t>
  </si>
  <si>
    <t>Définir les sous-projets</t>
  </si>
  <si>
    <t>Définition des interfaces</t>
  </si>
  <si>
    <t>Définition des travaux</t>
  </si>
  <si>
    <t>Concept sommaire</t>
  </si>
  <si>
    <t>Concept détaillé</t>
  </si>
  <si>
    <t>Ass. résultats partiels</t>
  </si>
  <si>
    <t>Actualiser planification</t>
  </si>
  <si>
    <t>Informer le mandant</t>
  </si>
  <si>
    <t>Assurer les résultats</t>
  </si>
  <si>
    <t>Rapport final</t>
  </si>
  <si>
    <t>Début</t>
  </si>
  <si>
    <t>Fin</t>
  </si>
  <si>
    <t>Planification détaillée</t>
  </si>
  <si>
    <t>Oui</t>
  </si>
  <si>
    <t>Budget/Ressources</t>
  </si>
  <si>
    <t>Délais/Planification</t>
  </si>
  <si>
    <t>Commentaires</t>
  </si>
  <si>
    <t>SOLDE</t>
  </si>
  <si>
    <t>en %</t>
  </si>
  <si>
    <t>Projet couronné de succès ?</t>
  </si>
  <si>
    <t>Le budget a-t-il été respecté ?</t>
  </si>
  <si>
    <t>Justification:</t>
  </si>
  <si>
    <t>Signature mandant</t>
  </si>
  <si>
    <t>Nom</t>
  </si>
  <si>
    <t>Prénom</t>
  </si>
  <si>
    <t>Einheitspreis</t>
  </si>
  <si>
    <t>Remarques</t>
  </si>
  <si>
    <t>Prix unitaire</t>
  </si>
  <si>
    <t>Libellé</t>
  </si>
  <si>
    <t>Projektauftrag besprechen und von AuftraggeberIn unterschreiben</t>
  </si>
  <si>
    <t>Detailplan erstellt und  Go/No Go von AuftraggeberIn</t>
  </si>
  <si>
    <t>Grobkonzept erstellt und Go/No Go von AuftraggeberIn</t>
  </si>
  <si>
    <t>Detailkonzept erstellt und Go/No Go von AuftraggeberIn</t>
  </si>
  <si>
    <t>Monatlicher Zwischenrapport an AuftraggeberIn</t>
  </si>
  <si>
    <t>Schlussrapport an AuftraggeberIn</t>
  </si>
  <si>
    <t>Rapport final à l'attention du mandant</t>
  </si>
  <si>
    <t>Deutsch</t>
  </si>
  <si>
    <t>Aktuelle Sprache</t>
  </si>
  <si>
    <t>Sprache 1</t>
  </si>
  <si>
    <t>Sprache 2</t>
  </si>
  <si>
    <t>Sprache 3</t>
  </si>
  <si>
    <t>Sprache 4</t>
  </si>
  <si>
    <t>Aktuell angezeigte Sprache</t>
  </si>
  <si>
    <t>Français</t>
  </si>
  <si>
    <t>Planung</t>
  </si>
  <si>
    <t>Konzept</t>
  </si>
  <si>
    <t>Realisierung</t>
  </si>
  <si>
    <t>Abschluss</t>
  </si>
  <si>
    <t>Initialisation</t>
  </si>
  <si>
    <t>Planification</t>
  </si>
  <si>
    <t>Réalisation</t>
  </si>
  <si>
    <t>Finalisation</t>
  </si>
  <si>
    <t>Schluss-bericht</t>
  </si>
  <si>
    <t>Concept</t>
  </si>
  <si>
    <t>État</t>
  </si>
  <si>
    <t>Sortieren</t>
  </si>
  <si>
    <t>Trier</t>
  </si>
  <si>
    <t>läuft planmässig</t>
  </si>
  <si>
    <t>comme prévu</t>
  </si>
  <si>
    <t>kritisch</t>
  </si>
  <si>
    <t>critique</t>
  </si>
  <si>
    <t>im Auge behalten</t>
  </si>
  <si>
    <t>à surveiller</t>
  </si>
  <si>
    <t>ja</t>
  </si>
  <si>
    <t>oui</t>
  </si>
  <si>
    <t>teilweise</t>
  </si>
  <si>
    <t>partiellement</t>
  </si>
  <si>
    <t>nein</t>
  </si>
  <si>
    <t>non</t>
  </si>
  <si>
    <t>Beginn:</t>
  </si>
  <si>
    <t>Début:</t>
  </si>
  <si>
    <t>Fehlermeldungen</t>
  </si>
  <si>
    <t>Messages d'erreurs</t>
  </si>
  <si>
    <t>Bitte Datum des Projektbeginns im Auftrag eingeben!!</t>
  </si>
  <si>
    <t>Veuillez s.v.p. saisir la date du début du projet dans le mandat!!</t>
  </si>
  <si>
    <t>Mandat de projet</t>
  </si>
  <si>
    <t>Equipe de projet</t>
  </si>
  <si>
    <t>Définir les responsabilités</t>
  </si>
  <si>
    <t>Suivi du projet</t>
  </si>
  <si>
    <t>Clôture du projet</t>
  </si>
  <si>
    <t>Section :</t>
  </si>
  <si>
    <t>modifié le :</t>
  </si>
  <si>
    <t>Charges de pers. :</t>
  </si>
  <si>
    <t>Commentaires/pièces jointes</t>
  </si>
  <si>
    <t>Discuter du mandat et le faire signer par le mandant</t>
  </si>
  <si>
    <t>Plan détaillé établi et Go/No Go de la part du mandant</t>
  </si>
  <si>
    <t>Concept général établi et Go/No Go de la part du mandant</t>
  </si>
  <si>
    <t>Concept détaillé établi et Go/No Go de la part du mandant</t>
  </si>
  <si>
    <t>Signature chef de projet</t>
  </si>
  <si>
    <t>Projet global</t>
  </si>
  <si>
    <t>Abrév.</t>
  </si>
  <si>
    <t>Projektstand</t>
  </si>
  <si>
    <t>Etat du projet</t>
  </si>
  <si>
    <t>Funktion</t>
  </si>
  <si>
    <t>Resp.</t>
  </si>
  <si>
    <t>Zust.</t>
  </si>
  <si>
    <t>7.</t>
  </si>
  <si>
    <t>8.</t>
  </si>
  <si>
    <t>P1</t>
  </si>
  <si>
    <t>PLAN</t>
  </si>
  <si>
    <t>RÉEL</t>
  </si>
  <si>
    <t>Absenzen/Bemerkungen</t>
  </si>
  <si>
    <t>Absences/Remarques</t>
  </si>
  <si>
    <t>Qualität/Ziele</t>
  </si>
  <si>
    <t>Qualité/Objectifs</t>
  </si>
  <si>
    <t>Coûts (internes)</t>
  </si>
  <si>
    <t>B U D G E T</t>
  </si>
  <si>
    <t>x!A571</t>
  </si>
  <si>
    <t>Plan</t>
  </si>
  <si>
    <t>Réel</t>
  </si>
  <si>
    <t>Ist</t>
  </si>
  <si>
    <t>Saldo</t>
  </si>
  <si>
    <t>Solde</t>
  </si>
  <si>
    <t>Go/NoGo concept sommaire</t>
  </si>
  <si>
    <t>Intitialisierung</t>
  </si>
  <si>
    <t>Filter:</t>
  </si>
  <si>
    <t>Meilensteine</t>
  </si>
  <si>
    <t>P R O J E K T A U F T R A G</t>
  </si>
  <si>
    <t>M A N D A T   D E   P R O J E T</t>
  </si>
  <si>
    <t xml:space="preserve"> P R O J E K T S T A N D</t>
  </si>
  <si>
    <t>E T A T  D U  P R O J E T</t>
  </si>
  <si>
    <t>S C H L U S S B E R I C H T</t>
  </si>
  <si>
    <t>R A P P O R T   F I N A L</t>
  </si>
  <si>
    <t>E Q U I P E  D E  P R O J E T</t>
  </si>
  <si>
    <t>P R O J E K T T E A M</t>
  </si>
  <si>
    <t xml:space="preserve">  Aujourd'hui</t>
  </si>
  <si>
    <t xml:space="preserve">  Heute</t>
  </si>
  <si>
    <t>S W O T - A N A L Y S E</t>
  </si>
  <si>
    <t>A N A L Y S E   S W O T</t>
  </si>
  <si>
    <t>R1</t>
  </si>
  <si>
    <t>R2</t>
  </si>
  <si>
    <t>R3</t>
  </si>
  <si>
    <t>R4</t>
  </si>
  <si>
    <t>R5</t>
  </si>
  <si>
    <t>R6</t>
  </si>
  <si>
    <t>R7</t>
  </si>
  <si>
    <t>R8</t>
  </si>
  <si>
    <t>R9</t>
  </si>
  <si>
    <t>R10</t>
  </si>
  <si>
    <t>R11</t>
  </si>
  <si>
    <t>R12</t>
  </si>
  <si>
    <t>R13</t>
  </si>
  <si>
    <t>R14</t>
  </si>
  <si>
    <t>R15</t>
  </si>
  <si>
    <t>Eintretenswahrscheinlichkeit</t>
  </si>
  <si>
    <t>Probabilité d'occurrence</t>
  </si>
  <si>
    <t>hoch</t>
  </si>
  <si>
    <t>élevée</t>
  </si>
  <si>
    <t>mittel</t>
  </si>
  <si>
    <t>moyenne</t>
  </si>
  <si>
    <t>gering</t>
  </si>
  <si>
    <t>faible</t>
  </si>
  <si>
    <t>Schadensausmass</t>
  </si>
  <si>
    <t>Étendue des dégâts</t>
  </si>
  <si>
    <t>Kein Handlungsbedarf</t>
  </si>
  <si>
    <t>Aucune action nécessaire</t>
  </si>
  <si>
    <t>Handlungsbedarf</t>
  </si>
  <si>
    <t>Action nécessaire</t>
  </si>
  <si>
    <t>Akuter Handlungsbedarf</t>
  </si>
  <si>
    <t>Action urgente</t>
  </si>
  <si>
    <t>Nr.</t>
  </si>
  <si>
    <t>No.</t>
  </si>
  <si>
    <t>Risiko</t>
  </si>
  <si>
    <t>Risque</t>
  </si>
  <si>
    <t>Auswirkungen</t>
  </si>
  <si>
    <t>Impact</t>
  </si>
  <si>
    <t>Eintretens-wahrscheinlich-keit</t>
  </si>
  <si>
    <t>Schadens-ausmass</t>
  </si>
  <si>
    <t>Étendue des dommages</t>
  </si>
  <si>
    <t>Trend</t>
  </si>
  <si>
    <t>Ten-
dance</t>
  </si>
  <si>
    <t>Mögliche Massnahmen</t>
  </si>
  <si>
    <t>Mesures possibles</t>
  </si>
  <si>
    <t>Status</t>
  </si>
  <si>
    <t>Statut</t>
  </si>
  <si>
    <t>Ausmass der Auswirkungen</t>
  </si>
  <si>
    <t>Étendue de l'impact</t>
  </si>
  <si>
    <t>Technische Machbarkeit</t>
  </si>
  <si>
    <t>Wirtschaftliche Machbarkeit</t>
  </si>
  <si>
    <t>Ressourcen und Zeit</t>
  </si>
  <si>
    <t>Organisatorische Machbarkeit</t>
  </si>
  <si>
    <t>Rechtliche Machbarkeit</t>
  </si>
  <si>
    <t>Faisabilité organisationnelle</t>
  </si>
  <si>
    <t>Faisabilité économique</t>
  </si>
  <si>
    <t>Faisabilité technique</t>
  </si>
  <si>
    <t>Ressources et temps</t>
  </si>
  <si>
    <t>Faisabilité juridique</t>
  </si>
  <si>
    <t>Bezeichnung</t>
  </si>
  <si>
    <t>Désignation</t>
  </si>
  <si>
    <t>Gefahren-grad</t>
  </si>
  <si>
    <t>Degré de danger</t>
  </si>
  <si>
    <t>Durchschnitt</t>
  </si>
  <si>
    <t>Moyenne</t>
  </si>
  <si>
    <t>Impact sur le projet</t>
  </si>
  <si>
    <t>Einfluss auf das Projekt</t>
  </si>
  <si>
    <t>A N A L Y S E   D U   R I S Q U E</t>
  </si>
  <si>
    <t>R I S I K O A N A L Y S E</t>
  </si>
  <si>
    <t>Divers</t>
  </si>
  <si>
    <t>P R O J E K T M A N A G E M E N T</t>
  </si>
  <si>
    <t>Italiano</t>
  </si>
  <si>
    <t>English</t>
  </si>
  <si>
    <t>s1</t>
  </si>
  <si>
    <t>w1</t>
  </si>
  <si>
    <t>s2</t>
  </si>
  <si>
    <t>w2</t>
  </si>
  <si>
    <t>s3</t>
  </si>
  <si>
    <t>w3</t>
  </si>
  <si>
    <t>s4</t>
  </si>
  <si>
    <t>w4</t>
  </si>
  <si>
    <t>s5</t>
  </si>
  <si>
    <t>w5</t>
  </si>
  <si>
    <t>s6</t>
  </si>
  <si>
    <t>w6</t>
  </si>
  <si>
    <t>s7</t>
  </si>
  <si>
    <t>w7</t>
  </si>
  <si>
    <t>s8</t>
  </si>
  <si>
    <t>w8</t>
  </si>
  <si>
    <t>s9</t>
  </si>
  <si>
    <t>w9</t>
  </si>
  <si>
    <t>s10</t>
  </si>
  <si>
    <t>w10</t>
  </si>
  <si>
    <t>s11</t>
  </si>
  <si>
    <t>w11</t>
  </si>
  <si>
    <t>s12</t>
  </si>
  <si>
    <t>w12</t>
  </si>
  <si>
    <t>s13</t>
  </si>
  <si>
    <t>w13</t>
  </si>
  <si>
    <t>s14</t>
  </si>
  <si>
    <t>w14</t>
  </si>
  <si>
    <t>s15</t>
  </si>
  <si>
    <t>w15</t>
  </si>
  <si>
    <t>s16</t>
  </si>
  <si>
    <t>w16</t>
  </si>
  <si>
    <t>s17</t>
  </si>
  <si>
    <t>w17</t>
  </si>
  <si>
    <t>s18</t>
  </si>
  <si>
    <t>w18</t>
  </si>
  <si>
    <t>o1</t>
  </si>
  <si>
    <t>t1</t>
  </si>
  <si>
    <t>o2</t>
  </si>
  <si>
    <t>t2</t>
  </si>
  <si>
    <t>o3</t>
  </si>
  <si>
    <t>t3</t>
  </si>
  <si>
    <t>o4</t>
  </si>
  <si>
    <t>t4</t>
  </si>
  <si>
    <t>o5</t>
  </si>
  <si>
    <t>t5</t>
  </si>
  <si>
    <t>o6</t>
  </si>
  <si>
    <t>t6</t>
  </si>
  <si>
    <t>o7</t>
  </si>
  <si>
    <t>t7</t>
  </si>
  <si>
    <t>o8</t>
  </si>
  <si>
    <t>t8</t>
  </si>
  <si>
    <t>o9</t>
  </si>
  <si>
    <t>t9</t>
  </si>
  <si>
    <t>o10</t>
  </si>
  <si>
    <t>t10</t>
  </si>
  <si>
    <t>o11</t>
  </si>
  <si>
    <t>t11</t>
  </si>
  <si>
    <t>o12</t>
  </si>
  <si>
    <t>t12</t>
  </si>
  <si>
    <t>o13</t>
  </si>
  <si>
    <t>t13</t>
  </si>
  <si>
    <t>o14</t>
  </si>
  <si>
    <t>t14</t>
  </si>
  <si>
    <t>o15</t>
  </si>
  <si>
    <t>t15</t>
  </si>
  <si>
    <t>o16</t>
  </si>
  <si>
    <t>t16</t>
  </si>
  <si>
    <t>o17</t>
  </si>
  <si>
    <t>t17</t>
  </si>
  <si>
    <t>o18</t>
  </si>
  <si>
    <t>t18</t>
  </si>
  <si>
    <t>Mettre en œuvre le concept détaillé</t>
  </si>
  <si>
    <t> Messaggi di errore</t>
  </si>
  <si>
    <t>No. de projet :</t>
  </si>
  <si>
    <t>Reale</t>
  </si>
  <si>
    <t>S T A T O   D E L   P R O G E T T O</t>
  </si>
  <si>
    <t>M A N D A T O   D E L   P R O G E T T O</t>
  </si>
  <si>
    <t>G E S T I O N E   D I   P R O G E T T I</t>
  </si>
  <si>
    <t>R A P P O R T O   F I N A LE</t>
  </si>
  <si>
    <t>T E A M   D E L   P R O G E T T O</t>
  </si>
  <si>
    <t>A N A L I S I   S W O T</t>
  </si>
  <si>
    <t>A N A L I S I   D E L   R I S C H I O</t>
  </si>
  <si>
    <t>Probabilità di occorrenza</t>
  </si>
  <si>
    <t>Elevata</t>
  </si>
  <si>
    <t>Media</t>
  </si>
  <si>
    <t>Bassa</t>
  </si>
  <si>
    <t>Opportunità</t>
  </si>
  <si>
    <t>Entità dei danni</t>
  </si>
  <si>
    <t>Nessun intervento necessario</t>
  </si>
  <si>
    <t>Intervento necessario</t>
  </si>
  <si>
    <t>Intervento urgente</t>
  </si>
  <si>
    <t>N°</t>
  </si>
  <si>
    <t>Rischio</t>
  </si>
  <si>
    <t>Effetti</t>
  </si>
  <si>
    <t>Provvedimenti possibili</t>
  </si>
  <si>
    <t>Entità degli effetti</t>
  </si>
  <si>
    <t>Ten-
denza</t>
  </si>
  <si>
    <t>Fattibilità organizzativa</t>
  </si>
  <si>
    <t>Fattibilità economica</t>
  </si>
  <si>
    <t>Fattibilità tecnica</t>
  </si>
  <si>
    <t>Risorse e tempo</t>
  </si>
  <si>
    <t>Fattibilità giuridica</t>
  </si>
  <si>
    <t>Nome</t>
  </si>
  <si>
    <t>Grado di pericolo</t>
  </si>
  <si>
    <t>Impatto sul progetto</t>
  </si>
  <si>
    <t>Inizializzazione</t>
  </si>
  <si>
    <t>Pianificazione</t>
  </si>
  <si>
    <t>Realizzazione</t>
  </si>
  <si>
    <t>Conclusione</t>
  </si>
  <si>
    <t>Analisi del problema</t>
  </si>
  <si>
    <t>Mandato del progetto</t>
  </si>
  <si>
    <t>Team del progetto</t>
  </si>
  <si>
    <t>Pianificazione sommaria</t>
  </si>
  <si>
    <t>Definire i sottoprogetti</t>
  </si>
  <si>
    <t>Definire le responsabilità</t>
  </si>
  <si>
    <t>Definizione delle interfacce</t>
  </si>
  <si>
    <t>Definizione dei lavori</t>
  </si>
  <si>
    <t>Pianificazione dettagliata</t>
  </si>
  <si>
    <t>Progetto sommario</t>
  </si>
  <si>
    <t>Progetto sommario Go/NoGo</t>
  </si>
  <si>
    <t>Progetto dettagliato</t>
  </si>
  <si>
    <t>Attuare il progetto dettagliato</t>
  </si>
  <si>
    <t>Monitoraggio del progetto</t>
  </si>
  <si>
    <t>Assicurare i risultati parziali</t>
  </si>
  <si>
    <t>Aggiornare la pianificazione</t>
  </si>
  <si>
    <t>Informare il committente</t>
  </si>
  <si>
    <t>Stato del progetto</t>
  </si>
  <si>
    <t>Rapporto finale</t>
  </si>
  <si>
    <t>Chiusura del progetto</t>
  </si>
  <si>
    <t>Assicurare i risultati</t>
  </si>
  <si>
    <t>Progetto</t>
  </si>
  <si>
    <t>Stato</t>
  </si>
  <si>
    <t>Numero di progetto:</t>
  </si>
  <si>
    <t>Inizio:</t>
  </si>
  <si>
    <t>Fine:</t>
  </si>
  <si>
    <t>Reparto:</t>
  </si>
  <si>
    <t>modificato il:</t>
  </si>
  <si>
    <t>Sostituto:</t>
  </si>
  <si>
    <t>Obiettivo strategico</t>
  </si>
  <si>
    <t>Budget / Risorse / Persone</t>
  </si>
  <si>
    <t>Spese per il personale</t>
  </si>
  <si>
    <t>v. dettaglio “Team del progetto”</t>
  </si>
  <si>
    <t>Diversi 1:</t>
  </si>
  <si>
    <t>v. dettaglio “Budget del progetto (interno)”</t>
  </si>
  <si>
    <t>Diversi 2:</t>
  </si>
  <si>
    <t>v. dettaglio “Budget del progetto (esterno)”</t>
  </si>
  <si>
    <t>Diversi 3:</t>
  </si>
  <si>
    <t>Quando?</t>
  </si>
  <si>
    <t>Che cosa?</t>
  </si>
  <si>
    <t>Chi?</t>
  </si>
  <si>
    <t>Approvato?</t>
  </si>
  <si>
    <t>Osservazioni/Allegati</t>
  </si>
  <si>
    <t>Discutere il mandato e farlo firmare dal committente</t>
  </si>
  <si>
    <t>Allestita la pianificazione dettagliata e Go/No Go  del committente</t>
  </si>
  <si>
    <t>Allestito il progetto sommario e Go/No Go  del/della committente</t>
  </si>
  <si>
    <t>Allestito il progetto dettagliato e Go/No Go del/della  committente</t>
  </si>
  <si>
    <t>Rapporto intermedio mensile all’attenzione del/della committente</t>
  </si>
  <si>
    <t>Rapporto finale all’attenzione del/della committente</t>
  </si>
  <si>
    <t>Data</t>
  </si>
  <si>
    <t>Firma del/della committente</t>
  </si>
  <si>
    <t>Firma del/della responsabile di progetto</t>
  </si>
  <si>
    <t>Inizio</t>
  </si>
  <si>
    <t>Fine</t>
  </si>
  <si>
    <t>Sì</t>
  </si>
  <si>
    <t>Selezionare</t>
  </si>
  <si>
    <t>Oggi</t>
  </si>
  <si>
    <t>Filtro:</t>
  </si>
  <si>
    <t>In %</t>
  </si>
  <si>
    <t>Valutazione generale (1 = si svolge come previsto; 2 = da tenere sotto controllo; 3 = critico)</t>
  </si>
  <si>
    <t>Progetto globale</t>
  </si>
  <si>
    <t>Budget/Risorse</t>
  </si>
  <si>
    <t>Qualità/Obiettivi</t>
  </si>
  <si>
    <t>Scadenze/Pianificaz.</t>
  </si>
  <si>
    <t>Si svolge come previsto</t>
  </si>
  <si>
    <t>Critico</t>
  </si>
  <si>
    <t>Da tenere sotto controllo</t>
  </si>
  <si>
    <t>Osservazioni</t>
  </si>
  <si>
    <t>PIANIFICAZIONE</t>
  </si>
  <si>
    <t>SITUAZIONE REALE</t>
  </si>
  <si>
    <t>Il progetto ha avuto esito positivo?</t>
  </si>
  <si>
    <t>Motivazione:</t>
  </si>
  <si>
    <t>In parte</t>
  </si>
  <si>
    <t>Il budget è stato rispettato?</t>
  </si>
  <si>
    <t>No</t>
  </si>
  <si>
    <t>Cognome</t>
  </si>
  <si>
    <t>Sigla</t>
  </si>
  <si>
    <t>Mail</t>
  </si>
  <si>
    <t>Telefono</t>
  </si>
  <si>
    <t>Assenze/Osservazioni</t>
  </si>
  <si>
    <t>Funzione</t>
  </si>
  <si>
    <t>Titolo</t>
  </si>
  <si>
    <t>Prezzo unitario</t>
  </si>
  <si>
    <t>Quant.</t>
  </si>
  <si>
    <t>Costi (interni)</t>
  </si>
  <si>
    <t>Si prega di immettere la data dell’inizio del progetto nel mandato!</t>
  </si>
  <si>
    <t>Planning</t>
  </si>
  <si>
    <t>Implementation</t>
  </si>
  <si>
    <t>Conclusion</t>
  </si>
  <si>
    <t>Problem analysis</t>
  </si>
  <si>
    <t>SWOT analysis</t>
  </si>
  <si>
    <t>Project charter</t>
  </si>
  <si>
    <t>Project team</t>
  </si>
  <si>
    <t>Rough planning</t>
  </si>
  <si>
    <t>Define sub-projects</t>
  </si>
  <si>
    <t>Determine responsibilities</t>
  </si>
  <si>
    <t>Determine interfaces</t>
  </si>
  <si>
    <t>Determine working packages</t>
  </si>
  <si>
    <t>Detailed planning</t>
  </si>
  <si>
    <t>Rough concept</t>
  </si>
  <si>
    <t>Go/NoGo rough concept</t>
  </si>
  <si>
    <t>Detailed concept</t>
  </si>
  <si>
    <t>Implement detailed concept</t>
  </si>
  <si>
    <t>Project monitoring</t>
  </si>
  <si>
    <t>Ensure partial results</t>
  </si>
  <si>
    <t>Update planning activities</t>
  </si>
  <si>
    <t>Inform client</t>
  </si>
  <si>
    <t>Project status</t>
  </si>
  <si>
    <t>Final report</t>
  </si>
  <si>
    <t>Project termination</t>
  </si>
  <si>
    <t>Ensure results</t>
  </si>
  <si>
    <t>P R O J E C T   C H A R T E R</t>
  </si>
  <si>
    <t>Project number:</t>
  </si>
  <si>
    <t>Start:</t>
  </si>
  <si>
    <t>Finish:</t>
  </si>
  <si>
    <t>Project title:</t>
  </si>
  <si>
    <t>Department:</t>
  </si>
  <si>
    <t>Modified on:</t>
  </si>
  <si>
    <t>Deputy:</t>
  </si>
  <si>
    <t>Strategic goal:</t>
  </si>
  <si>
    <t>Budget / Resources / Persons</t>
  </si>
  <si>
    <t>Personnel costs</t>
  </si>
  <si>
    <t>Compare detail project team</t>
  </si>
  <si>
    <t>Diverse 1:</t>
  </si>
  <si>
    <t>Compare project budget (internal)</t>
  </si>
  <si>
    <t>Diverse 2:</t>
  </si>
  <si>
    <t>Compare detail project budget (external)</t>
  </si>
  <si>
    <t>Diverse 3:</t>
  </si>
  <si>
    <t>When?</t>
  </si>
  <si>
    <t>What?</t>
  </si>
  <si>
    <t>Who?</t>
  </si>
  <si>
    <t>Approved?</t>
  </si>
  <si>
    <t xml:space="preserve">Discuss project charter and have it signed by client </t>
  </si>
  <si>
    <t>Detailed planning drawn up and Go/NoGo from client</t>
  </si>
  <si>
    <t>Rough concept drawn up and Go/NoGo from client</t>
  </si>
  <si>
    <t>Detailed concept drawn up and Go/NoGo from client</t>
  </si>
  <si>
    <t>Monthly interim report to client</t>
  </si>
  <si>
    <t>Final report to client</t>
  </si>
  <si>
    <t>Client signature</t>
  </si>
  <si>
    <t>Project manager signature</t>
  </si>
  <si>
    <t>Start</t>
  </si>
  <si>
    <t>Finish</t>
  </si>
  <si>
    <t>Yes</t>
  </si>
  <si>
    <t>Diverse</t>
  </si>
  <si>
    <t>Sort</t>
  </si>
  <si>
    <t>Today</t>
  </si>
  <si>
    <t>Responsible</t>
  </si>
  <si>
    <t xml:space="preserve"> P R O J E C T   S T A T U S</t>
  </si>
  <si>
    <t>General Evaluation (1 = proceeding according to plan, 2 = be watchful = 3 critical)</t>
  </si>
  <si>
    <t>Budget/Resources</t>
  </si>
  <si>
    <t>Quality/Goals</t>
  </si>
  <si>
    <t>Deadlines/Planning</t>
  </si>
  <si>
    <t>Proceeding according to plan</t>
  </si>
  <si>
    <t>Critical</t>
  </si>
  <si>
    <t>Be watchful</t>
  </si>
  <si>
    <t>Remarks</t>
  </si>
  <si>
    <t>ACTUAL STATE</t>
  </si>
  <si>
    <t>BALANCE</t>
  </si>
  <si>
    <t xml:space="preserve"> In %</t>
  </si>
  <si>
    <t>F I N A L   R E P O R T</t>
  </si>
  <si>
    <t>Reason:</t>
  </si>
  <si>
    <t>Partially</t>
  </si>
  <si>
    <t>Was the budget observed?</t>
  </si>
  <si>
    <t>P R O J E C T   T E A M</t>
  </si>
  <si>
    <t>First name</t>
  </si>
  <si>
    <t>Initials</t>
  </si>
  <si>
    <t>Email</t>
  </si>
  <si>
    <t>Telephone</t>
  </si>
  <si>
    <t>Absence/Remarks</t>
  </si>
  <si>
    <t xml:space="preserve"> Function</t>
  </si>
  <si>
    <t xml:space="preserve"> B U D G E T</t>
  </si>
  <si>
    <t>Title</t>
  </si>
  <si>
    <t>Standard price</t>
  </si>
  <si>
    <t>Amount</t>
  </si>
  <si>
    <t>Costs (internal)</t>
  </si>
  <si>
    <t>Actual state</t>
  </si>
  <si>
    <t>Balance</t>
  </si>
  <si>
    <t>E R R O R   M E S S A G E S</t>
  </si>
  <si>
    <t>Please fill in date of project start in project charter!!</t>
  </si>
  <si>
    <t xml:space="preserve"> </t>
  </si>
  <si>
    <t>S W O T   A N A L Y S I S</t>
  </si>
  <si>
    <t>Opportunities</t>
  </si>
  <si>
    <t>R I S K   A N A L Y S I S</t>
  </si>
  <si>
    <t>High</t>
  </si>
  <si>
    <t>Medium</t>
  </si>
  <si>
    <t>Low</t>
  </si>
  <si>
    <t>Extent of damage</t>
  </si>
  <si>
    <t>No need for action</t>
  </si>
  <si>
    <t>Need for action</t>
  </si>
  <si>
    <t>Urgent need for action</t>
  </si>
  <si>
    <t>Risk</t>
  </si>
  <si>
    <t>Consequences</t>
  </si>
  <si>
    <t>Possible measures</t>
  </si>
  <si>
    <t>Extent of consequences</t>
  </si>
  <si>
    <t>Economic feasibility</t>
  </si>
  <si>
    <t>Technical feasibility</t>
  </si>
  <si>
    <t>Resources and time</t>
  </si>
  <si>
    <t>Legal feasibility</t>
  </si>
  <si>
    <t>Influence on the project</t>
  </si>
  <si>
    <t>Average</t>
  </si>
  <si>
    <t xml:space="preserve">P R O J E C T   M A N A G E M E N T
</t>
  </si>
  <si>
    <t>Nom du projet :</t>
  </si>
  <si>
    <t>Remplaçant/e :</t>
  </si>
  <si>
    <t>Divers 2 :</t>
  </si>
  <si>
    <t>Divers 3 :</t>
  </si>
  <si>
    <t>Filtre :</t>
  </si>
  <si>
    <t>Rapport intermédiaire mensuel à l'attention du mandant</t>
  </si>
  <si>
    <t>Evaluation générale (1 = se déroule comme prévu ; 2 = à surveiller ; 3 = critique)</t>
  </si>
  <si>
    <t>Allgemeine Beurteilung (1 = läuft planmässig; 2 = im Auge behalten; 3 = kritisch)</t>
  </si>
  <si>
    <t>Overall project</t>
  </si>
  <si>
    <t>Was the project successful?</t>
  </si>
  <si>
    <t>Fonction</t>
  </si>
  <si>
    <t>Nb.</t>
  </si>
  <si>
    <t>Probability of occurrence</t>
  </si>
  <si>
    <t>Organizational feasibility</t>
  </si>
  <si>
    <t>Degree of danger</t>
  </si>
  <si>
    <t>Ten-dency</t>
  </si>
  <si>
    <t>Remarks / attachments</t>
  </si>
  <si>
    <t>According to plan</t>
  </si>
  <si>
    <t>Weitere Bemerkungen</t>
  </si>
  <si>
    <t>Autres remarques</t>
  </si>
  <si>
    <t>Further comments</t>
  </si>
  <si>
    <t>Altri commenti</t>
  </si>
  <si>
    <t>Analisi SWOT</t>
  </si>
  <si>
    <t>Machbarkeit</t>
  </si>
  <si>
    <t>Faisabilité</t>
  </si>
  <si>
    <t>Feasibility</t>
  </si>
  <si>
    <t>Fattibilità</t>
  </si>
  <si>
    <t>Redditività</t>
  </si>
  <si>
    <t>Gantt</t>
  </si>
  <si>
    <t>Risques</t>
  </si>
  <si>
    <t>Rischi</t>
  </si>
  <si>
    <t>Risiken</t>
  </si>
  <si>
    <t>Risks</t>
  </si>
  <si>
    <t>SWOT-Analyse</t>
  </si>
  <si>
    <t>siehe Auftrag</t>
  </si>
  <si>
    <t>Voir mandat</t>
  </si>
  <si>
    <t>see charter</t>
  </si>
  <si>
    <t>vedere mandato</t>
  </si>
  <si>
    <t>Risque 1</t>
  </si>
  <si>
    <t>C O N T R O L L I N G   P R O J E T S</t>
  </si>
  <si>
    <t>Projets</t>
  </si>
  <si>
    <t>Prio</t>
  </si>
  <si>
    <t>p1</t>
  </si>
  <si>
    <t>p2</t>
  </si>
  <si>
    <t>p3</t>
  </si>
  <si>
    <t>p4</t>
  </si>
  <si>
    <t>p5</t>
  </si>
  <si>
    <t>p6</t>
  </si>
  <si>
    <t>p7</t>
  </si>
  <si>
    <t>p8</t>
  </si>
  <si>
    <t>p9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</si>
  <si>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</si>
  <si>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</si>
  <si>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</si>
  <si>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</si>
  <si>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</si>
  <si>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</si>
  <si>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</si>
  <si>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</si>
  <si>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</si>
  <si>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</si>
  <si>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</si>
  <si>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</si>
  <si>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</si>
  <si>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</si>
  <si>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</si>
  <si>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</si>
  <si>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</si>
  <si>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</si>
  <si>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</si>
  <si>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</si>
  <si>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</si>
  <si>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</si>
  <si>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</si>
  <si>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</si>
  <si>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</si>
  <si>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</si>
  <si>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</si>
  <si>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</si>
  <si>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</si>
  <si>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</si>
  <si>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</si>
  <si>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</si>
  <si>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</si>
  <si>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</si>
  <si>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</si>
  <si>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</si>
  <si>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</si>
  <si>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</si>
  <si>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</si>
  <si>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</si>
  <si>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</si>
  <si>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 R O J E K T C O N T R O L L I N G</t>
  </si>
  <si>
    <t>P R O J E C T    C O N T R O L L I N G</t>
  </si>
  <si>
    <t>Projekte</t>
  </si>
  <si>
    <t>Projects</t>
  </si>
  <si>
    <t>Qui ?</t>
  </si>
  <si>
    <t>Progetti</t>
  </si>
  <si>
    <t>C O N T R O L L I N G   P R O G E T T I</t>
  </si>
  <si>
    <t>Project 1</t>
  </si>
  <si>
    <t>Risque 2</t>
  </si>
  <si>
    <t>uvw xyz (xyz)</t>
  </si>
  <si>
    <t>abc</t>
  </si>
  <si>
    <t>Total Stunden</t>
  </si>
  <si>
    <t>Totale heures</t>
  </si>
  <si>
    <t>Total hours</t>
  </si>
  <si>
    <t>Totale ore</t>
  </si>
  <si>
    <t>Mois</t>
  </si>
  <si>
    <t>Jour début</t>
  </si>
  <si>
    <t>(1 = dimanche, 2 = lundi, ...)</t>
  </si>
  <si>
    <t>[42]</t>
  </si>
  <si>
    <t>Kalender</t>
  </si>
  <si>
    <t>Calendario</t>
  </si>
  <si>
    <t>Calendar</t>
  </si>
  <si>
    <t>Jahr</t>
  </si>
  <si>
    <t>Lu</t>
  </si>
  <si>
    <t>Ma</t>
  </si>
  <si>
    <t>Di</t>
  </si>
  <si>
    <t>Me</t>
  </si>
  <si>
    <t>Ve</t>
  </si>
  <si>
    <t>Sa</t>
  </si>
  <si>
    <t>Je</t>
  </si>
  <si>
    <t>So</t>
  </si>
  <si>
    <t>Mo</t>
  </si>
  <si>
    <t>Mi</t>
  </si>
  <si>
    <t>Do</t>
  </si>
  <si>
    <t>Fr</t>
  </si>
  <si>
    <t>Su</t>
  </si>
  <si>
    <t>Tu</t>
  </si>
  <si>
    <t>We</t>
  </si>
  <si>
    <t>Th</t>
  </si>
  <si>
    <t>Gio</t>
  </si>
  <si>
    <t>Calendrier</t>
  </si>
  <si>
    <t>def</t>
  </si>
  <si>
    <t>Charges de personnel (internes)</t>
  </si>
  <si>
    <t>Spese per il personale (interni)</t>
  </si>
  <si>
    <t>Téléphone</t>
  </si>
  <si>
    <t>TOTAL externe Finanzierung</t>
  </si>
  <si>
    <t>TOTAL financement externe</t>
  </si>
  <si>
    <t>TOTAL external finances</t>
  </si>
  <si>
    <t>TOTALE finanzamenti esterni</t>
  </si>
  <si>
    <t xml:space="preserve">Externe Finanzierung </t>
  </si>
  <si>
    <t xml:space="preserve">Financement externe </t>
  </si>
  <si>
    <t xml:space="preserve">External financing </t>
  </si>
  <si>
    <t>Finanziamento esterno</t>
  </si>
  <si>
    <t>Kommunikation</t>
  </si>
  <si>
    <t>Communication</t>
  </si>
  <si>
    <t>Comunication</t>
  </si>
  <si>
    <t>K O M M U N I K A T I O N</t>
  </si>
  <si>
    <t>C O M M U N I C A T I O N</t>
  </si>
  <si>
    <t>Internet</t>
  </si>
  <si>
    <t>Social Medias</t>
  </si>
  <si>
    <t>Social Media</t>
  </si>
  <si>
    <t>Public Relations</t>
  </si>
  <si>
    <t>Relations publiques</t>
  </si>
  <si>
    <t>Public relations</t>
  </si>
  <si>
    <t>Diverses</t>
  </si>
  <si>
    <t>Prioriät</t>
  </si>
  <si>
    <t>Priorité</t>
  </si>
  <si>
    <t>Priority</t>
  </si>
  <si>
    <t>G E S T I O N  D E  P R O J E T S</t>
  </si>
  <si>
    <t>Mon</t>
  </si>
  <si>
    <t>Tue</t>
  </si>
  <si>
    <t>Wed</t>
  </si>
  <si>
    <t>Thu</t>
  </si>
  <si>
    <t>Fri</t>
  </si>
  <si>
    <t>Sat</t>
  </si>
  <si>
    <t>Lun</t>
  </si>
  <si>
    <t>Mar</t>
  </si>
  <si>
    <t>Mer</t>
  </si>
  <si>
    <t>Jeu</t>
  </si>
  <si>
    <t>Ven</t>
  </si>
  <si>
    <t>Sam</t>
  </si>
  <si>
    <t>intern</t>
  </si>
  <si>
    <t>interne</t>
  </si>
  <si>
    <t>interno</t>
  </si>
  <si>
    <t>Charges de personnel (externes)</t>
  </si>
  <si>
    <t>Spese per il personale (esterni)</t>
  </si>
  <si>
    <t>TOTAL</t>
  </si>
  <si>
    <t>TOTALE</t>
  </si>
  <si>
    <t>Total intern</t>
  </si>
  <si>
    <t>Total interne</t>
  </si>
  <si>
    <t>Totale interno</t>
  </si>
  <si>
    <t>Total extern</t>
  </si>
  <si>
    <t>Totale esterno</t>
  </si>
  <si>
    <t xml:space="preserve"> Tage</t>
  </si>
  <si>
    <t xml:space="preserve"> jours</t>
  </si>
  <si>
    <t xml:space="preserve"> days</t>
  </si>
  <si>
    <t xml:space="preserve"> giorni</t>
  </si>
  <si>
    <t xml:space="preserve"> Stunden</t>
  </si>
  <si>
    <t xml:space="preserve"> hours</t>
  </si>
  <si>
    <t xml:space="preserve"> ore</t>
  </si>
  <si>
    <t xml:space="preserve"> heures</t>
  </si>
  <si>
    <t>P L A N U N G   Ü B E R S I C H T</t>
  </si>
  <si>
    <t>P L A N I F I C A T I O N   S O M M A I R E</t>
  </si>
  <si>
    <t>R O U G H   P L A N N I N G</t>
  </si>
  <si>
    <t>P I A N I F I C A Z I O N E    S O M M A R I O</t>
  </si>
  <si>
    <t>erledigt</t>
  </si>
  <si>
    <t>fatto</t>
  </si>
  <si>
    <t>done</t>
  </si>
  <si>
    <t>en cours</t>
  </si>
  <si>
    <t>in progress</t>
  </si>
  <si>
    <t>in Arbeit</t>
  </si>
  <si>
    <t>in corso</t>
  </si>
  <si>
    <t>pietre miliari</t>
  </si>
  <si>
    <t>milestones</t>
  </si>
  <si>
    <t>jalons</t>
  </si>
  <si>
    <t>terminé</t>
  </si>
  <si>
    <t>abc@def</t>
  </si>
  <si>
    <t>Saldo realisierte Tage</t>
  </si>
  <si>
    <t>Solde jours réalisées</t>
  </si>
  <si>
    <t>Balance realized days</t>
  </si>
  <si>
    <t>Saldo giorni realizzati</t>
  </si>
  <si>
    <t>BUDGET</t>
  </si>
  <si>
    <t>Realisiert</t>
  </si>
  <si>
    <t>Réalisées</t>
  </si>
  <si>
    <t>Realized</t>
  </si>
  <si>
    <t>Realizzati</t>
  </si>
  <si>
    <t>Budget [h]</t>
  </si>
  <si>
    <t>realisiert [h]</t>
  </si>
  <si>
    <t>réalisées [h]</t>
  </si>
  <si>
    <t>realized [h]</t>
  </si>
  <si>
    <t>realizzate [h]</t>
  </si>
  <si>
    <t>Projektziele (vgl. Projektauftrag)</t>
  </si>
  <si>
    <t>Project goals (see charter)</t>
  </si>
  <si>
    <t>Obiettivi del progetto (vedere mandato)</t>
  </si>
  <si>
    <t>Objectifs du projet (cf. mandat)</t>
  </si>
  <si>
    <t>Stundenansatz</t>
  </si>
  <si>
    <t>Tarif horaire</t>
  </si>
  <si>
    <t>Hourly rate</t>
  </si>
  <si>
    <t>Tariffa oraria</t>
  </si>
  <si>
    <t>Saldo [%]</t>
  </si>
  <si>
    <t>Solde [%]</t>
  </si>
  <si>
    <t>Balance [%]</t>
  </si>
  <si>
    <t>Total externe</t>
  </si>
  <si>
    <t>Zielpublikum</t>
  </si>
  <si>
    <t>Public cible</t>
  </si>
  <si>
    <t>Target public</t>
  </si>
  <si>
    <t>Kernbotschaft</t>
  </si>
  <si>
    <t>Message clé</t>
  </si>
  <si>
    <t>Key Message</t>
  </si>
  <si>
    <t>Indikatoren</t>
  </si>
  <si>
    <t>Indicateurs</t>
  </si>
  <si>
    <t>Indicators</t>
  </si>
  <si>
    <t>rouge</t>
  </si>
  <si>
    <t>SOLL</t>
  </si>
  <si>
    <t>DOIT</t>
  </si>
  <si>
    <t>Target</t>
  </si>
  <si>
    <t>erreicht</t>
  </si>
  <si>
    <t>atteint</t>
  </si>
  <si>
    <t>achieved</t>
  </si>
  <si>
    <t>Saldo Budget [h]</t>
  </si>
  <si>
    <t>solde budget [h]</t>
  </si>
  <si>
    <t>balance budget [h]</t>
  </si>
  <si>
    <t>saldo budget [h]</t>
  </si>
  <si>
    <t>budget [h]</t>
  </si>
  <si>
    <t>Solde budget [h]</t>
  </si>
  <si>
    <t>Balance budget [h]</t>
  </si>
  <si>
    <t>Saldo budget [h]</t>
  </si>
  <si>
    <t>intern:</t>
  </si>
  <si>
    <t>extern:</t>
  </si>
  <si>
    <t>interne :</t>
  </si>
  <si>
    <t>externe :</t>
  </si>
  <si>
    <t>interno:</t>
  </si>
  <si>
    <t>esterno:</t>
  </si>
  <si>
    <t>Total realisiert [h]</t>
  </si>
  <si>
    <t>Total réalisées [h]</t>
  </si>
  <si>
    <t>Total realized [h]</t>
  </si>
  <si>
    <t>Totale realizzati [h]</t>
  </si>
  <si>
    <t>abc def (abc)</t>
  </si>
  <si>
    <t>Indicatori</t>
  </si>
  <si>
    <t>STATO DESIDERATO</t>
  </si>
  <si>
    <t>raggiunto</t>
  </si>
  <si>
    <t>Erfolge (letzte Periode)</t>
  </si>
  <si>
    <t>Achievements (last period)</t>
  </si>
  <si>
    <t>Successi (ultimo periodo)</t>
  </si>
  <si>
    <t>Besondere Probleme (letzte Periode)</t>
  </si>
  <si>
    <t>Particular problems (last period)</t>
  </si>
  <si>
    <t>Problemi particolari (ultimo periodo)</t>
  </si>
  <si>
    <t>Herausforderungen (nächste Periode)</t>
  </si>
  <si>
    <t>Challenges (next period)</t>
  </si>
  <si>
    <t>Sfide (prossimo periodo)</t>
  </si>
  <si>
    <t>Was kann aus dem Projekt gelernt werden? (Lessons Learned)</t>
  </si>
  <si>
    <t>Quels sont les enseignements tirés du projet ? (Lessons Learned)</t>
  </si>
  <si>
    <t>What can be learnt from the project? (Lessons Learned)</t>
  </si>
  <si>
    <t>Quali insegnamenti  è possibile trarre dal progetto? (Lessons Learned)</t>
  </si>
  <si>
    <t>Termine/Meilensteine (Go/NoGo)</t>
  </si>
  <si>
    <t>Deadlines / Milestones (Go/NoGo)</t>
  </si>
  <si>
    <t>Scadenze / Pietre miliari (Go/NoGo)</t>
  </si>
  <si>
    <t>x.y@hevs.ch</t>
  </si>
  <si>
    <t>xyz xxx</t>
  </si>
  <si>
    <t>Links zu Dokumenten</t>
  </si>
  <si>
    <t>Liens vers les documents</t>
  </si>
  <si>
    <t>Links documents</t>
  </si>
  <si>
    <t>Link a documenti</t>
  </si>
  <si>
    <t>Wichtigsten Entscheide / Bemerkungen</t>
  </si>
  <si>
    <t>Décisions les plus importantes / Remarques</t>
  </si>
  <si>
    <t>Important decisions / Remarks</t>
  </si>
  <si>
    <t>Le decisioni più importanti / Osservazioni</t>
  </si>
  <si>
    <t>Übersicht Sitzungen</t>
  </si>
  <si>
    <t>Aperçu des séances</t>
  </si>
  <si>
    <t>Overview Meetings</t>
  </si>
  <si>
    <t>Panoramica sedute</t>
  </si>
  <si>
    <t>Ihr Logo:</t>
  </si>
  <si>
    <t>Votre logo:</t>
  </si>
  <si>
    <t>Your logo:</t>
  </si>
  <si>
    <t>Vostro logo:</t>
  </si>
  <si>
    <t>Änderungsprotokoll</t>
  </si>
  <si>
    <t>Suivi des modifications</t>
  </si>
  <si>
    <t>Protocol of modifications</t>
  </si>
  <si>
    <t>Änderungen</t>
  </si>
  <si>
    <t>Changement</t>
  </si>
  <si>
    <t>Modifications</t>
  </si>
  <si>
    <t>Modifiche</t>
  </si>
  <si>
    <t>Monitoraggio delle modifiche</t>
  </si>
  <si>
    <t>S T A K E H O L D E R - A N A L Y S E</t>
  </si>
  <si>
    <t>A N A L Y S E   D E S   P A R T I E S   P R E N A N T E S</t>
  </si>
  <si>
    <t>S T A K E H O L D E R   A N A L Y S I S</t>
  </si>
  <si>
    <t>weites Umfeld</t>
  </si>
  <si>
    <t>Contexte large</t>
  </si>
  <si>
    <t>Wider environment</t>
  </si>
  <si>
    <t>Contesto ampio</t>
  </si>
  <si>
    <t>nahes Umfeld</t>
  </si>
  <si>
    <t>Contexte restreint</t>
  </si>
  <si>
    <t>Immediate environment</t>
  </si>
  <si>
    <t>Contesto ristretto</t>
  </si>
  <si>
    <t>Internal</t>
  </si>
  <si>
    <t>Wir</t>
  </si>
  <si>
    <t>Nous</t>
  </si>
  <si>
    <t>Us</t>
  </si>
  <si>
    <t>Noi</t>
  </si>
  <si>
    <t>häufiger Kontakt</t>
  </si>
  <si>
    <t>contacts fréquents</t>
  </si>
  <si>
    <t>Frequent contacts</t>
  </si>
  <si>
    <t>Contatti frequenti</t>
  </si>
  <si>
    <t>regelmässiger Kontakt</t>
  </si>
  <si>
    <t>contacts réguliers</t>
  </si>
  <si>
    <t>Regular contacts</t>
  </si>
  <si>
    <t>Contatti regolari</t>
  </si>
  <si>
    <t>seltener Kontakt</t>
  </si>
  <si>
    <t>contacts rares</t>
  </si>
  <si>
    <t>Rare contacts</t>
  </si>
  <si>
    <t>Contatti rari</t>
  </si>
  <si>
    <t>grande</t>
  </si>
  <si>
    <t>alto</t>
  </si>
  <si>
    <t>gross</t>
  </si>
  <si>
    <t>grand</t>
  </si>
  <si>
    <t>Big</t>
  </si>
  <si>
    <t>Einfluss der Stakeholder</t>
  </si>
  <si>
    <t>Influence des parties prenantes</t>
  </si>
  <si>
    <t>Stakeholder influence</t>
  </si>
  <si>
    <t>Influsso degli stakeholder</t>
  </si>
  <si>
    <t>petite</t>
  </si>
  <si>
    <t>basso</t>
  </si>
  <si>
    <t>klein</t>
  </si>
  <si>
    <t>petit</t>
  </si>
  <si>
    <t>Small</t>
  </si>
  <si>
    <t>piccolo</t>
  </si>
  <si>
    <t>Interesse der Stakeholder</t>
  </si>
  <si>
    <t>Intérêt des parties prenantes</t>
  </si>
  <si>
    <t>Stakeholder interest</t>
  </si>
  <si>
    <t>Interesse degli stakeholder</t>
  </si>
  <si>
    <t>N.</t>
  </si>
  <si>
    <t>Anspruchsgruppe</t>
  </si>
  <si>
    <t>Interessen, Erwartungen</t>
  </si>
  <si>
    <t>Intérêt, attentes</t>
  </si>
  <si>
    <t>Interests, expectations</t>
  </si>
  <si>
    <t>Interessi, attese</t>
  </si>
  <si>
    <t>Stärke der Interessen</t>
  </si>
  <si>
    <t>Etendue de l'intérêt</t>
  </si>
  <si>
    <t>Extent of interests</t>
  </si>
  <si>
    <t>Intensità degli interessi</t>
  </si>
  <si>
    <t>Höhe des Einflusses</t>
  </si>
  <si>
    <t>Etendue de l'influence</t>
  </si>
  <si>
    <t>Degree of influence</t>
  </si>
  <si>
    <t>Intensità dell'influsso</t>
  </si>
  <si>
    <t>Chancen (+) und 
Gefahren (-)</t>
  </si>
  <si>
    <t>Chances (+) et 
Dangers (-)</t>
  </si>
  <si>
    <t>Chances (+) and 
dangers (-)</t>
  </si>
  <si>
    <t>Opportunità (+) e 
pericoli (-)</t>
  </si>
  <si>
    <t>Misure possibili</t>
  </si>
  <si>
    <t>Statuto</t>
  </si>
  <si>
    <t>Grösse der Gruppe</t>
  </si>
  <si>
    <t>Taille du groupe</t>
  </si>
  <si>
    <t>Size of group</t>
  </si>
  <si>
    <t>Dimensioni del gruppo</t>
  </si>
  <si>
    <t xml:space="preserve">A N A L I S I   D E G L I   S T A K E H O L D E R </t>
  </si>
  <si>
    <t>Groupe 2</t>
  </si>
  <si>
    <t>s19</t>
  </si>
  <si>
    <t>s20</t>
  </si>
  <si>
    <t>S T A K E H O L D E R</t>
  </si>
  <si>
    <t>P A R T I E S   P R E N A N T E S</t>
  </si>
  <si>
    <t>Links</t>
  </si>
  <si>
    <t>Liens</t>
  </si>
  <si>
    <t>Voulez-vous télécharger un nouveau fichier ?</t>
  </si>
  <si>
    <t>Would you like to download a new file?</t>
  </si>
  <si>
    <t>Volete scaricare un nuovo file?</t>
  </si>
  <si>
    <t>Assurez-vous, que vous avez une connexion internet!</t>
  </si>
  <si>
    <t>Assicurarsi di avere una connessione internet!</t>
  </si>
  <si>
    <t>Please make sure that you have an internet connection!</t>
  </si>
  <si>
    <t>Bemerkung:</t>
  </si>
  <si>
    <t>Sie können auf iMangement jeweils die neuste Version herunterladen.</t>
  </si>
  <si>
    <t>Remarque :</t>
  </si>
  <si>
    <t>Remark:</t>
  </si>
  <si>
    <t>Osservazione:</t>
  </si>
  <si>
    <t>Sur iMangement vous pouvez télécharger la dernière version.</t>
  </si>
  <si>
    <t>Su iMangement è possibile scaricare la versione più recente.</t>
  </si>
  <si>
    <t>On iMangement you can download the latest version.</t>
  </si>
  <si>
    <t>Möchten Sie eine neue Datei herunterladen?</t>
  </si>
  <si>
    <t>Stellen Sie sicher, dass ein Internetzugang besteht!</t>
  </si>
  <si>
    <t>Strength</t>
  </si>
  <si>
    <t>Weaknesses</t>
  </si>
  <si>
    <t>Threats</t>
  </si>
  <si>
    <t>Minacce</t>
  </si>
  <si>
    <t>Zufrieden halten</t>
  </si>
  <si>
    <t>Maintenir satisfait</t>
  </si>
  <si>
    <t>Keep satisfied</t>
  </si>
  <si>
    <t>mantenere soddisfatto</t>
  </si>
  <si>
    <t>Beobachten</t>
  </si>
  <si>
    <t>Surveiller</t>
  </si>
  <si>
    <t>Monitor</t>
  </si>
  <si>
    <t>monitorare</t>
  </si>
  <si>
    <t>Informiert halten</t>
  </si>
  <si>
    <t>Tenir informé</t>
  </si>
  <si>
    <t>Keep informed</t>
  </si>
  <si>
    <t>tenere informati</t>
  </si>
  <si>
    <t xml:space="preserve">Intensive Betreuung </t>
  </si>
  <si>
    <t>Suivre de près</t>
  </si>
  <si>
    <t>Manage closely</t>
  </si>
  <si>
    <t>gestire strettamente</t>
  </si>
  <si>
    <t>Pfeil kopieren: ctrl und linke Maustaste</t>
  </si>
  <si>
    <t>Copier flèche: ctrl et bouton gauche de la souris</t>
  </si>
  <si>
    <t>Copy arrow: ctrl and left mouse button</t>
  </si>
  <si>
    <t>Copia freccia: ctrl e pulsante sinistro del mouse</t>
  </si>
  <si>
    <t>Parties prenantes</t>
  </si>
  <si>
    <t>Stakeholder</t>
  </si>
  <si>
    <t>Gruppe 3</t>
  </si>
  <si>
    <t>Währung:</t>
  </si>
  <si>
    <t>Currency:</t>
  </si>
  <si>
    <t>Devise:</t>
  </si>
  <si>
    <t>Moneta:</t>
  </si>
  <si>
    <t>w19</t>
  </si>
  <si>
    <t>w20</t>
  </si>
  <si>
    <t>o19</t>
  </si>
  <si>
    <t>o20</t>
  </si>
  <si>
    <t>t19</t>
  </si>
  <si>
    <t>t20</t>
  </si>
  <si>
    <t>no</t>
  </si>
  <si>
    <t>yes</t>
  </si>
  <si>
    <t>si</t>
  </si>
  <si>
    <t>Stärken</t>
  </si>
  <si>
    <t>Forces</t>
  </si>
  <si>
    <t>Faiblesses</t>
  </si>
  <si>
    <t>Schwächen</t>
  </si>
  <si>
    <t>Chancen</t>
  </si>
  <si>
    <t>Forze</t>
  </si>
  <si>
    <t>Lacune</t>
  </si>
  <si>
    <t>Opportunités</t>
  </si>
  <si>
    <t>Menaces</t>
  </si>
  <si>
    <t>Gefahren</t>
  </si>
  <si>
    <t>ghi</t>
  </si>
  <si>
    <t>jkl</t>
  </si>
  <si>
    <t>Ressources internes</t>
  </si>
  <si>
    <t>Interne Ressourcen</t>
  </si>
  <si>
    <t>Internal resources</t>
  </si>
  <si>
    <t>Risorse esterne</t>
  </si>
  <si>
    <t>Risorse interne</t>
  </si>
  <si>
    <t>External resources</t>
  </si>
  <si>
    <t>Ressources externes</t>
  </si>
  <si>
    <t>Externe Ressourcen</t>
  </si>
  <si>
    <t>TOTAL RESSOURCEN</t>
  </si>
  <si>
    <t>TOTAL RESSOURCES</t>
  </si>
  <si>
    <t>TOTAL RESOURCES</t>
  </si>
  <si>
    <t>TOTALE RISORSE</t>
  </si>
  <si>
    <t>Financement externe (p.ex. clients, subventions etc.)</t>
  </si>
  <si>
    <t>External financing (eg customers, subsidies etc.)</t>
  </si>
  <si>
    <t>Finanziamento esterno (a.e.  Clienti, sussidi ecc)</t>
  </si>
  <si>
    <t>Externe Finanzierung (z.B. Kunden, Subventionen etc.)</t>
  </si>
  <si>
    <t>Externe Ress.</t>
  </si>
  <si>
    <t>Ress. externes</t>
  </si>
  <si>
    <t>External res.</t>
  </si>
  <si>
    <t>Interne Ress.</t>
  </si>
  <si>
    <t>Ress. internes</t>
  </si>
  <si>
    <t>Internal res.</t>
  </si>
  <si>
    <t>Ris. interni</t>
  </si>
  <si>
    <t>Risorse interni</t>
  </si>
  <si>
    <t>TOTAL interne Ressourcen</t>
  </si>
  <si>
    <t>Ressourcen (intern)</t>
  </si>
  <si>
    <t>Ressourcen (extern)</t>
  </si>
  <si>
    <t>TOTAL externe Ressourcen</t>
  </si>
  <si>
    <t>TOTAL ressources externes</t>
  </si>
  <si>
    <t>TOTAL ressources internes</t>
  </si>
  <si>
    <t>TOTAL external resources</t>
  </si>
  <si>
    <t>TOTAL internal resources</t>
  </si>
  <si>
    <t>Personnel resources (internal)</t>
  </si>
  <si>
    <t>Personnel resources (external)</t>
  </si>
  <si>
    <t>Ressources (externes)</t>
  </si>
  <si>
    <t>Resources (external)</t>
  </si>
  <si>
    <t>Risorse (esterni)</t>
  </si>
  <si>
    <t>TOTALE risorse esternr</t>
  </si>
  <si>
    <t>TOTALE risorse internr</t>
  </si>
  <si>
    <t>Personalressourcen (intern)</t>
  </si>
  <si>
    <t>Personalressourcen (extern)</t>
  </si>
  <si>
    <t>Ris. esterne</t>
  </si>
  <si>
    <t>Summe</t>
  </si>
  <si>
    <t>Somme</t>
  </si>
  <si>
    <t>Sum</t>
  </si>
  <si>
    <t>Somma</t>
  </si>
  <si>
    <t>Délais / Jalon (Go/NoGo)</t>
  </si>
  <si>
    <t>Nächster Meilenstein:</t>
  </si>
  <si>
    <t>Prochain jalon :</t>
  </si>
  <si>
    <t>Next milestone:</t>
  </si>
  <si>
    <t>Prossima pietra miliar.:</t>
  </si>
  <si>
    <t>Total</t>
  </si>
  <si>
    <t>Succès (dernière période)</t>
  </si>
  <si>
    <t>Problèmes spécifiques (dernière période)</t>
  </si>
  <si>
    <t>Défis (prochaine période)</t>
  </si>
  <si>
    <t>Team</t>
  </si>
  <si>
    <t>realisierte Stunden</t>
  </si>
  <si>
    <t>heures réalisées</t>
  </si>
  <si>
    <t>ore realizzate</t>
  </si>
  <si>
    <t>realized hours</t>
  </si>
  <si>
    <t>Indicator 2</t>
  </si>
  <si>
    <t>x</t>
  </si>
  <si>
    <t>CHF</t>
  </si>
  <si>
    <t>Aperçu des heures</t>
  </si>
  <si>
    <t>Übersicht der Stunden</t>
  </si>
  <si>
    <t>Overview of the hours</t>
  </si>
  <si>
    <t>Panoramica delle ore</t>
  </si>
  <si>
    <t>zugeordnete Stunden</t>
  </si>
  <si>
    <t>heures attribuées</t>
  </si>
  <si>
    <t>allocated hours</t>
  </si>
  <si>
    <t>ore attribuite</t>
  </si>
  <si>
    <t>Budget Stunden</t>
  </si>
  <si>
    <t>heures budget</t>
  </si>
  <si>
    <t>hours budget</t>
  </si>
  <si>
    <t>ore budget</t>
  </si>
  <si>
    <t>Stunden Team realisiert</t>
  </si>
  <si>
    <t>Stunden Team verplant</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</si>
  <si>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dr.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</si>
  <si>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r>
      <rPr>
        <sz val="8"/>
        <color theme="1"/>
        <rFont val="Calibri Light"/>
        <family val="2"/>
      </rP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www.2</t>
    </r>
    <r>
      <rPr>
        <b/>
        <sz val="8"/>
        <color theme="1" tint="0.499984740745262"/>
        <rFont val="Calibri Light"/>
        <family val="2"/>
      </rPr>
      <t>i</t>
    </r>
    <r>
      <rPr>
        <sz val="8"/>
        <color theme="1" tint="0.499984740745262"/>
        <rFont val="Calibri Light"/>
        <family val="2"/>
      </rPr>
      <t>Management.ch</t>
    </r>
  </si>
  <si>
    <t>Entscheidung</t>
  </si>
  <si>
    <t>Décision</t>
  </si>
  <si>
    <t>Decision</t>
  </si>
  <si>
    <t>Decisione</t>
  </si>
  <si>
    <t>Leer</t>
  </si>
  <si>
    <t>grün</t>
  </si>
  <si>
    <t>Breite</t>
  </si>
  <si>
    <t>orange</t>
  </si>
  <si>
    <t>Wert</t>
  </si>
  <si>
    <t>rot</t>
  </si>
  <si>
    <t>vert</t>
  </si>
  <si>
    <t>green</t>
  </si>
  <si>
    <t>red</t>
  </si>
  <si>
    <t>verde</t>
  </si>
  <si>
    <t>arrancio</t>
  </si>
  <si>
    <t>rosso</t>
  </si>
  <si>
    <t>Deliverables</t>
  </si>
  <si>
    <t>Teamleader</t>
  </si>
  <si>
    <t>Projektname:</t>
  </si>
  <si>
    <t>Nome progetto:</t>
  </si>
  <si>
    <t>T1</t>
  </si>
  <si>
    <t>ok</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</si>
  <si>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</si>
  <si>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</si>
  <si>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</si>
  <si>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</si>
  <si>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</si>
  <si>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</si>
  <si>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</si>
  <si>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</si>
  <si>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</si>
  <si>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</si>
  <si>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</si>
  <si>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</si>
  <si>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</si>
  <si>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</si>
  <si>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</si>
  <si>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</si>
  <si>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</si>
  <si>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</si>
  <si>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</si>
  <si>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</si>
  <si>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</si>
  <si>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</si>
  <si>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</si>
  <si>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</si>
  <si>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</si>
  <si>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</si>
  <si>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</si>
  <si>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</si>
  <si>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</si>
  <si>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</si>
  <si>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Informations sur les décisions</t>
  </si>
  <si>
    <t>eMail</t>
  </si>
  <si>
    <t>hebdomadaire</t>
  </si>
  <si>
    <t>Partenaires clé</t>
  </si>
  <si>
    <t>Actualité du mois</t>
  </si>
  <si>
    <t>newslettre</t>
  </si>
  <si>
    <t>mensuel</t>
  </si>
  <si>
    <t> COMUNICAZIONE</t>
  </si>
  <si>
    <t>Ziele</t>
  </si>
  <si>
    <t>Objectifs</t>
  </si>
  <si>
    <t>Goals</t>
  </si>
  <si>
    <t> Obiettivi</t>
  </si>
  <si>
    <t>Periodizität</t>
  </si>
  <si>
    <t>Périodicité</t>
  </si>
  <si>
    <t>Periodicity</t>
  </si>
  <si>
    <t>Periodicità</t>
  </si>
  <si>
    <t> Internet</t>
  </si>
  <si>
    <t> Social media</t>
  </si>
  <si>
    <t> Pubbliche relazioni</t>
  </si>
  <si>
    <t> Varie</t>
  </si>
  <si>
    <t> Impatto</t>
  </si>
  <si>
    <t> N.</t>
  </si>
  <si>
    <t> Pubblico target</t>
  </si>
  <si>
    <t> in %</t>
  </si>
  <si>
    <t> Messaggio chiave</t>
  </si>
  <si>
    <t> Indicatori</t>
  </si>
  <si>
    <t> Priorità</t>
  </si>
  <si>
    <t> Osservazioni</t>
  </si>
  <si>
    <t> Chi?</t>
  </si>
  <si>
    <t>Kanal</t>
  </si>
  <si>
    <t>Canal</t>
  </si>
  <si>
    <t>Channel</t>
  </si>
  <si>
    <t>Canale</t>
  </si>
  <si>
    <t>Durée
(jours)</t>
  </si>
  <si>
    <t>Period
(days)</t>
  </si>
  <si>
    <t>Durata
(giorni)</t>
  </si>
  <si>
    <t>Dauer
(Tage)</t>
  </si>
  <si>
    <t>Groupe 4</t>
  </si>
  <si>
    <t>p81</t>
  </si>
  <si>
    <t>p82</t>
  </si>
  <si>
    <t>p83</t>
  </si>
  <si>
    <t>p84</t>
  </si>
  <si>
    <t>Étapes</t>
  </si>
  <si>
    <t>Phasen</t>
  </si>
  <si>
    <t>Steps</t>
  </si>
  <si>
    <t>Fasi</t>
  </si>
  <si>
    <t>Obiettivi</t>
  </si>
  <si>
    <t>Aktivitäten</t>
  </si>
  <si>
    <t>Activités</t>
  </si>
  <si>
    <t>Activities</t>
  </si>
  <si>
    <t>Attività</t>
  </si>
  <si>
    <t xml:space="preserve">Livrables </t>
  </si>
  <si>
    <t>Ergebnisse</t>
  </si>
  <si>
    <t>Échéance</t>
  </si>
  <si>
    <t>Timeline</t>
  </si>
  <si>
    <t>Fristen</t>
  </si>
  <si>
    <t>Scadenza</t>
  </si>
  <si>
    <t>Totale</t>
  </si>
  <si>
    <t>Frage</t>
  </si>
  <si>
    <t>Question</t>
  </si>
  <si>
    <t>Questione</t>
  </si>
  <si>
    <t>Antwort</t>
  </si>
  <si>
    <t>Réponse</t>
  </si>
  <si>
    <t>Risposta</t>
  </si>
  <si>
    <t>Answer</t>
  </si>
  <si>
    <t>CHF? h?</t>
  </si>
  <si>
    <t>Secteur public</t>
  </si>
  <si>
    <t>Öffentliche Hand</t>
  </si>
  <si>
    <t>Public sector</t>
  </si>
  <si>
    <t>Settore pubblico</t>
  </si>
  <si>
    <t>Roadmap</t>
  </si>
  <si>
    <t>Feuille de route</t>
  </si>
  <si>
    <t>Tabella di marcia</t>
  </si>
  <si>
    <t>Grob</t>
  </si>
  <si>
    <t>Detail</t>
  </si>
  <si>
    <t>Sommaire</t>
  </si>
  <si>
    <t>Détail</t>
  </si>
  <si>
    <t>Rough</t>
  </si>
  <si>
    <t>Sommario</t>
  </si>
  <si>
    <t>Dettaglio</t>
  </si>
  <si>
    <t>M A C H B A R K E I T</t>
  </si>
  <si>
    <t>F A I S A B I L I T É</t>
  </si>
  <si>
    <t>F E A S I B I L I T Y</t>
  </si>
  <si>
    <t>F A T T I B I L I T À</t>
  </si>
  <si>
    <t>Projet Agile 1</t>
  </si>
  <si>
    <t>Procuct Owner:</t>
  </si>
  <si>
    <t>Product Owner:</t>
  </si>
  <si>
    <t>Product Owner :</t>
  </si>
  <si>
    <t>Scrum Master:</t>
  </si>
  <si>
    <t>Scrum Master :</t>
  </si>
  <si>
    <t>Vision/Story</t>
  </si>
  <si>
    <t>Product Owner</t>
  </si>
  <si>
    <t>Scrum Master</t>
  </si>
  <si>
    <t>Vision Ziele</t>
  </si>
  <si>
    <t>Vision Scope</t>
  </si>
  <si>
    <t>Vision Objectifs</t>
  </si>
  <si>
    <t>Visione Obiettivi</t>
  </si>
  <si>
    <t>Product Backlog</t>
  </si>
  <si>
    <t>Backlog produit</t>
  </si>
  <si>
    <t>Backlog prodotto</t>
  </si>
  <si>
    <t>Sprint Planning</t>
  </si>
  <si>
    <t>Sprint-Planung</t>
  </si>
  <si>
    <t>Produkt-Backlog</t>
  </si>
  <si>
    <t>Planif sprint</t>
  </si>
  <si>
    <t>Pianif sprint</t>
  </si>
  <si>
    <t>ITERATION</t>
  </si>
  <si>
    <t>ITERAZIONE</t>
  </si>
  <si>
    <t>Sprint Review</t>
  </si>
  <si>
    <t>Revue Sprint</t>
  </si>
  <si>
    <t>Revisione Sprint</t>
  </si>
  <si>
    <t>1-4 Weeks</t>
  </si>
  <si>
    <t>1-4 Wochen</t>
  </si>
  <si>
    <t>1-4 settimane</t>
  </si>
  <si>
    <t>1-4 semaines</t>
  </si>
  <si>
    <t>SCRUM QUOTIDIEN</t>
  </si>
  <si>
    <t>DAILY SCRUM</t>
  </si>
  <si>
    <t>Sprint Retrospective</t>
  </si>
  <si>
    <t>Retrospettiva sprint</t>
  </si>
  <si>
    <t>Rétrospective sprint</t>
  </si>
  <si>
    <t>Product Increment</t>
  </si>
  <si>
    <t>Produkt-Inkrement</t>
  </si>
  <si>
    <t>Incrément du produit</t>
  </si>
  <si>
    <t>Incremento del prodotto</t>
  </si>
  <si>
    <t>Prémisses / Condition</t>
  </si>
  <si>
    <t>Prämissen / Bedingung</t>
  </si>
  <si>
    <t>Premise / Condition</t>
  </si>
  <si>
    <t>Premesse / Condizione</t>
  </si>
  <si>
    <t>Bildung einer Community</t>
  </si>
  <si>
    <t>Stärkung der eigenen Marke</t>
  </si>
  <si>
    <t>Kontaktpunkt von Weiterbildungsmaterial</t>
  </si>
  <si>
    <t>Teambuiling</t>
  </si>
  <si>
    <t>Die Dauer eines Podcass beträgt max. 30 Minuten</t>
  </si>
  <si>
    <t>Der Podcast soll auch ohne Video wirken, sodass es auch nur "nebenbei" z.B. im Auto konsumiert werden kann</t>
  </si>
  <si>
    <t>Das Firmenlogo oder allgemeiner das Corporate Design soll klar im Video zu sehn sein</t>
  </si>
  <si>
    <t>Drehort des Podcasts ist immer das Office</t>
  </si>
  <si>
    <t>Der Poscast erscheint jeden Donnerstag</t>
  </si>
  <si>
    <t xml:space="preserve">Projektziele </t>
  </si>
  <si>
    <t>Objectifs du projet</t>
  </si>
  <si>
    <t xml:space="preserve">Project goals </t>
  </si>
  <si>
    <t xml:space="preserve">Obiettivi del progetto </t>
  </si>
  <si>
    <t>Sprint</t>
  </si>
  <si>
    <t>Etappe</t>
  </si>
  <si>
    <t>Stage</t>
  </si>
  <si>
    <t>Étape</t>
  </si>
  <si>
    <t>Fase</t>
  </si>
  <si>
    <t>Nicht gestartet</t>
  </si>
  <si>
    <t>In Arbeit</t>
  </si>
  <si>
    <t>Abgeschlossen</t>
  </si>
  <si>
    <t>Gestoppt</t>
  </si>
  <si>
    <t>Im Test</t>
  </si>
  <si>
    <t>Not started</t>
  </si>
  <si>
    <t>In progress</t>
  </si>
  <si>
    <t>Stopped</t>
  </si>
  <si>
    <t>Testing</t>
  </si>
  <si>
    <t>Completed</t>
  </si>
  <si>
    <t>Pas commencé</t>
  </si>
  <si>
    <t>En cours</t>
  </si>
  <si>
    <t>Suspendu</t>
  </si>
  <si>
    <t>En test</t>
  </si>
  <si>
    <t>Terminé</t>
  </si>
  <si>
    <t>Non iniziato</t>
  </si>
  <si>
    <t>In corso</t>
  </si>
  <si>
    <t>Sospeso</t>
  </si>
  <si>
    <t>In test</t>
  </si>
  <si>
    <t>Completato</t>
  </si>
  <si>
    <t>Angenommen</t>
  </si>
  <si>
    <t>Accépté</t>
  </si>
  <si>
    <t>Accepted</t>
  </si>
  <si>
    <t>Accettato</t>
  </si>
  <si>
    <t>What is the vision? What is the story behind this project? Customer Experience?</t>
  </si>
  <si>
    <t>Quelle est la vision ? Quelle est l'histoire derrière ce projet ? Expérience client ?</t>
  </si>
  <si>
    <t>Was ist die Vision? Welche Story steht hinter diesem Projekt? Kundenerlebnis?</t>
  </si>
  <si>
    <t>Qual è la visione? Qual è la storia dietro questo progetto? Esperienza del cliente?</t>
  </si>
  <si>
    <t>Sprint Backlog</t>
  </si>
  <si>
    <t>Backlog sprint</t>
  </si>
  <si>
    <t>Sprint-Backlog</t>
  </si>
  <si>
    <t>Sprint-Retrospektive</t>
  </si>
  <si>
    <t>Im Sinne eines aktiven Content Marketings und zur Bildung einer Community, möchte ich als Kunde eine Podcast Reihe erstellen. Die Marke des Unternehmens soll noch bekannter und stärker werden, was die Firma als ganzes voranbringt. Direkt im Kontakt mit Kunden oder allgemeiner Community zu stehen, schafft eine ander Bindung als lediglich nur im geschäftlichen Umfeld miteinander zu kommunizieren. durch hochwertigen Inhalt soll jeder Zuhörer sich fortbilden können ohne dafür Geld auszugeben. Als ein Nebeneffekt soll durch die gemeinschaftliche Arbeit an dem Podcast das Team gestärkt werden.</t>
  </si>
  <si>
    <t>Story</t>
  </si>
  <si>
    <t>Als (Kunde) möchte ich (Ziel/Wunsch) um (Nutzen)</t>
  </si>
  <si>
    <t>Priorität</t>
  </si>
  <si>
    <t>Priorità</t>
  </si>
  <si>
    <t>Fortschritt</t>
  </si>
  <si>
    <t>Progress</t>
  </si>
  <si>
    <t>Progression</t>
  </si>
  <si>
    <t>Progresso</t>
  </si>
  <si>
    <t>Attività sprint</t>
  </si>
  <si>
    <t>Sprint Aktivitäten</t>
  </si>
  <si>
    <t>Sprint activities</t>
  </si>
  <si>
    <t>Activités sprint</t>
  </si>
  <si>
    <t>Release</t>
  </si>
  <si>
    <t>1 As an employee I want so search for other employees using their last name so that I can easliy contact any colleague.</t>
  </si>
  <si>
    <t>Overall sprint</t>
  </si>
  <si>
    <t>Sprint insgesamt</t>
  </si>
  <si>
    <t>Sprint général</t>
  </si>
  <si>
    <t>Sprint generale</t>
  </si>
  <si>
    <t>Sprint goals</t>
  </si>
  <si>
    <t>Sprint-Ziele</t>
  </si>
  <si>
    <t>Objectifs du sprint</t>
  </si>
  <si>
    <t>Obiettivi dello sprint</t>
  </si>
  <si>
    <t>Erledigt</t>
  </si>
  <si>
    <t>To Do</t>
  </si>
  <si>
    <t>Fatto</t>
  </si>
  <si>
    <t>Accomplished</t>
  </si>
  <si>
    <t>Objettivi</t>
  </si>
  <si>
    <t>Target 3</t>
  </si>
  <si>
    <t>ghi jkl (ghi)</t>
  </si>
  <si>
    <t>Is the (partial) product successful?</t>
  </si>
  <si>
    <t>Ist das (Teil-)Produkt erfolgreich?</t>
  </si>
  <si>
    <t>Le produit (partiel) est-il un succès ?</t>
  </si>
  <si>
    <t>Il prodotto (parziale) ha successo?</t>
  </si>
  <si>
    <t>[h]</t>
  </si>
  <si>
    <t>EPIC</t>
  </si>
  <si>
    <t>Improve Streaming Service for a live feed</t>
  </si>
  <si>
    <t>iPhone users need access to a vertical view of the live feed when using the mobile app in order to see the whole picture.</t>
  </si>
  <si>
    <t>Desktop users need a “view fullscreen” button in the lower right-hand corner of the video player in order to see the whole picture.</t>
  </si>
  <si>
    <t>Android users need to be linked to apple store to find an appropriate app.</t>
  </si>
  <si>
    <t>1 iPhone users need access to a vertical view of the live feed when using the mobile app in order to see the whole picture.</t>
  </si>
  <si>
    <t>ScrumTeam 1</t>
  </si>
  <si>
    <t>Scrum Team</t>
  </si>
  <si>
    <t>Punkte</t>
  </si>
  <si>
    <t>Points</t>
  </si>
  <si>
    <t>Punti</t>
  </si>
  <si>
    <t>Sind alle Kundenbedürfnisse befriedigt?</t>
  </si>
  <si>
    <t>Are all customer needs satisfied?</t>
  </si>
  <si>
    <t>Tous les besoins des clients sont-ils satisfaits ?</t>
  </si>
  <si>
    <t>Tutte le esigenze dei clienti sono soddisfatte?</t>
  </si>
  <si>
    <t>Agile Manifesto</t>
  </si>
  <si>
    <t>We are uncovering better ways of developing software by doing it and helping others do it. Through this work we have come to value:</t>
  </si>
  <si>
    <t>Our highest priority is to satisfy the customer through early and continuous delivery of valuable software.</t>
  </si>
  <si>
    <t>Working software is the primary measure of progress.</t>
  </si>
  <si>
    <t>Welcome changing requirements, even late in development. Agile processes harness change for the customer’s competitive advantage.</t>
  </si>
  <si>
    <t>Deliver working software frequently, from a couple of weeks to a couple of months, with a preference to the shorter timescale.</t>
  </si>
  <si>
    <t>Business people and developers must work together daily throughout the project.</t>
  </si>
  <si>
    <t>Build projects around motivated individuals. Give them the environment and support they need, and trust them to get the job done.</t>
  </si>
  <si>
    <t>The most efficient and effective method of conveying information to and within a development team is face-to-face conversation.</t>
  </si>
  <si>
    <t>Agile processes promote sustainable development. The sponsors, developers, and users should be able to maintain a constant pace indefinitely.</t>
  </si>
  <si>
    <t>Continuous attention to technical excellence and good design enhances agility.</t>
  </si>
  <si>
    <t>Simplicity–the art of maximizing the amount of work not done–is essential.</t>
  </si>
  <si>
    <t>The best architectures, requirements, and designs emerge from self-organizing teams.</t>
  </si>
  <si>
    <t>At regular intervals, the team reflects on how to become more effective, then tunes and adjusts its behavior accordingly.</t>
  </si>
  <si>
    <t>1.1 Desktop users need a “view fullscreen” button in the lower right-hand corner of the video player in order to see the whole picture.</t>
  </si>
  <si>
    <t>Bemerkungen/Lessons Learned</t>
  </si>
  <si>
    <t>Commentaires/Lessons Learned</t>
  </si>
  <si>
    <t>Remarks/Lessons Learned</t>
  </si>
  <si>
    <t>Osservazioni/Lessons Learned</t>
  </si>
  <si>
    <t>Manifeste agile</t>
  </si>
  <si>
    <t>That is, while there is value in the items on the right, we value the items on the left more.</t>
  </si>
  <si>
    <t>Nous découvrons de meilleures approches du développement logiciel en le pratiquant et en aidant les autres à le pratiquer. Ce travail nous a amené à accorder de l'importance :</t>
  </si>
  <si>
    <t>Cela signifie que, bien qu'il y ait de la valeur dans les éléments situés à la fin, notre préférence se porte sur les éléments qui se trouvent en première partie de phrase.</t>
  </si>
  <si>
    <t>Notre plus haute priorité est de satisfaire le client en livrant rapidement et régulièrement des fonctionnalités à grande valeur ajoutée.</t>
  </si>
  <si>
    <t>Accueillez positivement les changements de besoins, même tard dans le projet. Les processus Agiles exploitent le changement pour donner un avantage compétitif au client.</t>
  </si>
  <si>
    <t>Livrez fréquemment un logiciel fonctionnel, dans des cycles de quelques semaines à quelques mois, avec une préférence pour les plus courts.</t>
  </si>
  <si>
    <t>Les utilisateurs ou leurs représentants et les développeurs doivent travailler ensemble quotidiennement tout au long du projet.</t>
  </si>
  <si>
    <t>Réalisez les projets avec des personnes motivées. Fournissez-leur l’environnement et le soutien dont elles ont besoin et faites-leur confiance pour atteindre les objectifs fixés.</t>
  </si>
  <si>
    <t>La méthode la plus simple et la plus efficace pour transmettre de l’information à l'équipe de développement et à l’intérieur de celle-ci est le dialogue en face à face.</t>
  </si>
  <si>
    <t>Un logiciel fonctionnel est la principale mesure de progression d'un projet.</t>
  </si>
  <si>
    <t>Les processus agiles encouragent un rythme de développement soutenable. Ensemble, les commanditaires, les développeurs et les utilisateurs devraient être capables de maintenir indéfiniment un rythme constant.</t>
  </si>
  <si>
    <t>Une attention continue à l'excellence technique et à un bon design.</t>
  </si>
  <si>
    <t>La simplicité – c’est-à-dire l’art de minimiser la quantité de travail inutile – est essentielle.</t>
  </si>
  <si>
    <t>Les meilleures architectures, spécifications et conceptions émergent d'équipes auto-organisées.</t>
  </si>
  <si>
    <t>À intervalles réguliers, l'équipe réfléchit aux moyens possibles de devenir plus efficace. Puis elle s'adapte et modifie son fonctionnement en conséquence.</t>
  </si>
  <si>
    <t xml:space="preserve">2001 :  Kent Beck, Ward Cunningham, Dave Thomas, Jeff Sutherland, Ken Schwaber, Jim Highsmith, Alistair Cockburn, Robert C. Martin, Mike Beedle, Arie van Bennekum, Martin Fowler, James Grenning, Andrew Hunt , Ron Jeffries, Jon Kern, Brian Marick, Steve Mellor. </t>
  </si>
  <si>
    <t>Wir erschließen bessere Wege, Software zu entwickeln, indem wir es selbst tun und anderen dabei helfen. Durch diese Tätigkeit haben wir diese Werte zu schätzen gelernt:</t>
  </si>
  <si>
    <t>Agiles Manifest</t>
  </si>
  <si>
    <t>Individuals and interactions</t>
  </si>
  <si>
    <t>Working software</t>
  </si>
  <si>
    <t>over processes and tools</t>
  </si>
  <si>
    <t>Customer collaboration</t>
  </si>
  <si>
    <t>over contract negotiation</t>
  </si>
  <si>
    <t>Responding to change</t>
  </si>
  <si>
    <t>over following a plan</t>
  </si>
  <si>
    <t>over comprehensive documentation</t>
  </si>
  <si>
    <t>plutôt qu'aux processus et aux outils</t>
  </si>
  <si>
    <t>aux individus et leurs interactions</t>
  </si>
  <si>
    <t>plutôt qu’à une documentation exhaustive</t>
  </si>
  <si>
    <t>à un logiciel fonctionnel</t>
  </si>
  <si>
    <t>à la collaboration avec les clients</t>
  </si>
  <si>
    <t>plutôt qu'à la négociation contractuelle</t>
  </si>
  <si>
    <t>à l’adaptation au changement</t>
  </si>
  <si>
    <t>plutôt qu'à l'exécution d’un plan</t>
  </si>
  <si>
    <t>sind wichtiger als Prozesse und Werkzeuge</t>
  </si>
  <si>
    <t>Individuen und Interaktionen</t>
  </si>
  <si>
    <t>Funktionierende Software</t>
  </si>
  <si>
    <t>ist wichtiger als umfassende Dokumentationen</t>
  </si>
  <si>
    <t>Zusammenarbeit mit dem Kunden</t>
  </si>
  <si>
    <t>ist wichtiger als Vertragsverhandlungen</t>
  </si>
  <si>
    <t>Reagieren auf Veränderung</t>
  </si>
  <si>
    <t>ist wichtiger als das Befolgen eines Plans</t>
  </si>
  <si>
    <t>Das heißt, obwohl wir die Werte auf der rechten Seite wichtig finden, schätzen wir die Werte auf der linken Seite höher ein.</t>
  </si>
  <si>
    <t>Unsere höchste Priorität ist es, den Kunden durch frühe und kontinuierliche Auslieferung wertvoller Software zufrieden zu stellen.</t>
  </si>
  <si>
    <t>Heiße Anforderungsänderungen selbst spät in der Entwicklung willkommen. Agile Prozesse nutzen Veränderungen zum Wettbewerbsvorteil des Kunden.</t>
  </si>
  <si>
    <t>Liefere funktionierende Software regelmäßig innerhalb weniger Wochen oder Monate und bevorzuge dabei die kürzere Zeitspanne.</t>
  </si>
  <si>
    <t>Fachexperten und Entwickler müssen während des Projektes täglich zusammenarbeiten.</t>
  </si>
  <si>
    <t>Errichte Projekte rund um motivierte Individuen. Gib ihnen das Umfeld und die Unterstützung, die sie benötigen und vertraue darauf, dass sie die Aufgabe erledigen.</t>
  </si>
  <si>
    <t>Die effizienteste und effektivste Methode, Informationen an und innerhalb eines Entwicklungsteams zu übermitteln, ist im Gespräch von Angesicht zu Angesicht.</t>
  </si>
  <si>
    <t>Funktionierende Software ist das wichtigste Fortschrittsmaß.</t>
  </si>
  <si>
    <t>Agile Prozesse fördern nachhaltige Entwicklung. Die Auftraggeber, Entwickler und Benutzer sollten ein gleichmäßiges Tempo auf unbegrenzte Zeit halten können.</t>
  </si>
  <si>
    <t>Ständiges Augenmerk auf technische Exzellenz und gutes Design fördert Agilität.</t>
  </si>
  <si>
    <t>Einfachheit -- die Kunst, die Menge nicht getaner Arbeit zu maximieren -- ist essenziell.</t>
  </si>
  <si>
    <t>Die besten Architekturen, Anforderungen und Entwürfe entstehen durch selbstorganisierte Teams.</t>
  </si>
  <si>
    <t>In regelmäßigen Abständen reflektiert das Team, wie es effektiver werden kann und passt sein Verhalten entsprechend an.</t>
  </si>
  <si>
    <t>Manifesto Agile</t>
  </si>
  <si>
    <t>Gli individui e le interazioni</t>
  </si>
  <si>
    <t>più che i processi e gli strumenti</t>
  </si>
  <si>
    <t>Il software funzionante</t>
  </si>
  <si>
    <t>più che la documentazione esaustiva</t>
  </si>
  <si>
    <t>La collaborazione col cliente</t>
  </si>
  <si>
    <t>più che la negoziazione dei contratti</t>
  </si>
  <si>
    <t>Rispondere al cambiamento</t>
  </si>
  <si>
    <t>più che seguire un piano</t>
  </si>
  <si>
    <t>Ovvero, fermo restando il valore delle voci a destra, si considerano più importanti le voci a sinistra.</t>
  </si>
  <si>
    <t>Stiamo scoprendo modi migliori di sviluppare software facendolo e aiutando gli altri a farlo. Attraverso questo lavoro siamo arrivati ad apprezzare:</t>
  </si>
  <si>
    <t>La nostra massima priorità è soddisfare il cliente attraverso la consegna rapida e continua di software di valore.</t>
  </si>
  <si>
    <t>Accogliere i requisiti che cambiano, anche in ritardo nello sviluppo. I processi agili sfruttano il cambiamento per il vantaggio competitivo del cliente.</t>
  </si>
  <si>
    <t>Consegnare software funzionante frequentemente, da un paio di settimane a un paio di mesi, con una preferenza per i tempi più brevi.</t>
  </si>
  <si>
    <t>Gli uomini d'affari e gli sviluppatori devono lavorare insieme ogni giorno durante il progetto.</t>
  </si>
  <si>
    <t>Costruire i progetti intorno ad individui motivati. Date loro l'ambiente e il supporto di cui hanno bisogno, e fidatevi di loro per portare a termine il lavoro.</t>
  </si>
  <si>
    <t>Il metodo più efficiente ed efficace per trasmettere informazioni a e all'interno di un team di sviluppo è la conversazione faccia a faccia.</t>
  </si>
  <si>
    <t>Il software funzionante è la misura primaria del progresso.</t>
  </si>
  <si>
    <t>I processi agili promuovono lo sviluppo sostenibile. Gli sponsor, gli sviluppatori e gli utenti dovrebbero essere in grado di mantenere un ritmo costante indefinitamente.</t>
  </si>
  <si>
    <t>L'attenzione continua all'eccellenza tecnica e al buon design migliora l'agilità.</t>
  </si>
  <si>
    <t>La semplicità - l'arte di massimizzare la quantità di lavoro non fatto - è essenziale.</t>
  </si>
  <si>
    <t>Le migliori architetture, requisiti e design emergono da team auto-organizzati.</t>
  </si>
  <si>
    <t>A intervalli regolari, il team riflette su come diventare più efficace, poi sintonizza e regola il suo comportamento di conseguenza.</t>
  </si>
  <si>
    <t>Story
points</t>
  </si>
  <si>
    <t>V. 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</si>
</sst>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 #,##0.00_ ;_ * \-#,##0.00_ ;_ * &quot;-&quot;??_ ;_ @_ "/>
    <numFmt numFmtId="164" formatCode="_ [$SFr.-807]\ * #,##0_ ;_ [$SFr.-807]\ * \-#,##0_ ;_ [$SFr.-807]\ * &quot;-&quot;??_ ;_ @_ "/>
    <numFmt numFmtId="165" formatCode="d/m/yy;@"/>
    <numFmt numFmtId="166" formatCode="_ [$Fr.-807]\ * #,##0.00_ ;_ [$Fr.-807]\ * \-#,##0.00_ ;_ [$Fr.-807]\ * &quot;-&quot;??_ ;_ @_ "/>
    <numFmt numFmtId="167" formatCode="_ * #,##0.0_ ;_ * \-#,##0.0_ ;_ * &quot;-&quot;??_ ;_ @_ "/>
    <numFmt numFmtId="168" formatCode="_-* #,##0.00\ [$€-1]_-;\-* #,##0.00\ [$€-1]_-;_-* &quot;-&quot;??\ [$€-1]_-"/>
    <numFmt numFmtId="169" formatCode="_-* #,##0.00\ &quot;DM&quot;_-;\-* #,##0.00\ &quot;DM&quot;_-;_-* &quot;-&quot;??\ &quot;DM&quot;_-;_-@_-"/>
    <numFmt numFmtId="170" formatCode="0.0"/>
    <numFmt numFmtId="171" formatCode=";;;"/>
    <numFmt numFmtId="172" formatCode="mmmm\ \'yy"/>
    <numFmt numFmtId="173" formatCode="d"/>
    <numFmt numFmtId="174" formatCode="_ [$fr.-100C]\ * #,##0.00_ ;_ [$fr.-100C]\ * \-#,##0.00_ ;_ [$fr.-100C]\ * &quot;-&quot;??_ ;_ @_ "/>
    <numFmt numFmtId="175" formatCode="#,##0.00_ ;\-#,##0.00\ "/>
    <numFmt numFmtId="176" formatCode="0_ ;\-0\ "/>
    <numFmt numFmtId="177" formatCode="_ * #,##0.0_ ;_ * \-#,##0.0_ ;_ * &quot;-&quot;?_ ;_ @_ "/>
  </numFmts>
  <fonts count="166" x14ac:knownFonts="1">
    <font>
      <sz val="11"/>
      <color theme="1"/>
      <name val="Calibri"/>
      <family val="2"/>
      <scheme val="minor"/>
    </font>
    <font>
      <sz val="11"/>
      <color theme="1"/>
      <name val="Calibri"/>
      <family val="2"/>
      <scheme val="minor"/>
    </font>
    <font>
      <b/>
      <sz val="10"/>
      <color theme="1"/>
      <name val="Calibri"/>
      <family val="2"/>
      <scheme val="minor"/>
    </font>
    <font>
      <sz val="10"/>
      <name val="Arial"/>
      <family val="2"/>
    </font>
    <font>
      <sz val="10"/>
      <color theme="1"/>
      <name val="Calibri"/>
      <family val="2"/>
      <scheme val="minor"/>
    </font>
    <font>
      <sz val="10"/>
      <color theme="0"/>
      <name val="Calibri"/>
      <family val="2"/>
      <scheme val="minor"/>
    </font>
    <font>
      <u/>
      <sz val="11"/>
      <color theme="10"/>
      <name val="Calibri"/>
      <family val="2"/>
      <scheme val="minor"/>
    </font>
    <font>
      <sz val="11"/>
      <name val="Arial"/>
      <family val="2"/>
    </font>
    <font>
      <sz val="10"/>
      <color theme="1"/>
      <name val="Arial"/>
      <family val="2"/>
    </font>
    <font>
      <sz val="11"/>
      <color theme="0"/>
      <name val="Calibri"/>
      <family val="2"/>
      <scheme val="minor"/>
    </font>
    <font>
      <u/>
      <sz val="10"/>
      <color indexed="12"/>
      <name val="Arial"/>
      <family val="2"/>
    </font>
    <font>
      <sz val="10"/>
      <color rgb="FFFF0000"/>
      <name val="Calibri"/>
      <family val="2"/>
      <scheme val="minor"/>
    </font>
    <font>
      <sz val="9"/>
      <color theme="0"/>
      <name val="Arial"/>
      <family val="2"/>
    </font>
    <font>
      <u/>
      <sz val="10"/>
      <color indexed="12"/>
      <name val="Verdana"/>
      <family val="2"/>
    </font>
    <font>
      <sz val="10"/>
      <name val="Verdana"/>
      <family val="2"/>
    </font>
    <font>
      <sz val="9"/>
      <color indexed="81"/>
      <name val="Tahoma"/>
      <family val="2"/>
    </font>
    <font>
      <b/>
      <sz val="9"/>
      <color indexed="81"/>
      <name val="Tahoma"/>
      <family val="2"/>
    </font>
    <font>
      <u/>
      <sz val="10"/>
      <color indexed="12"/>
      <name val="Tahoma"/>
      <family val="2"/>
    </font>
    <font>
      <sz val="10"/>
      <color theme="0"/>
      <name val="Arial"/>
      <family val="2"/>
    </font>
    <font>
      <b/>
      <sz val="10"/>
      <color theme="5" tint="-0.249977111117893"/>
      <name val="Calibri"/>
      <family val="2"/>
      <scheme val="minor"/>
    </font>
    <font>
      <sz val="10"/>
      <color theme="6" tint="0.39997558519241921"/>
      <name val="Calibri"/>
      <family val="2"/>
      <scheme val="minor"/>
    </font>
    <font>
      <u/>
      <sz val="10"/>
      <color theme="3"/>
      <name val="Calibri"/>
      <family val="2"/>
    </font>
    <font>
      <sz val="4"/>
      <color theme="0"/>
      <name val="Calibri"/>
      <family val="2"/>
      <scheme val="minor"/>
    </font>
    <font>
      <sz val="4"/>
      <color theme="1"/>
      <name val="Calibri"/>
      <family val="2"/>
      <scheme val="minor"/>
    </font>
    <font>
      <u/>
      <sz val="7.7"/>
      <color theme="10"/>
      <name val="Calibri"/>
      <family val="2"/>
    </font>
    <font>
      <sz val="10"/>
      <color theme="1"/>
      <name val="Calibri Light"/>
      <family val="2"/>
    </font>
    <font>
      <sz val="24"/>
      <color theme="3"/>
      <name val="Calibri Light"/>
      <family val="2"/>
    </font>
    <font>
      <sz val="14"/>
      <color theme="0" tint="-0.499984740745262"/>
      <name val="Calibri Light"/>
      <family val="2"/>
    </font>
    <font>
      <b/>
      <sz val="24"/>
      <color theme="3"/>
      <name val="Calibri Light"/>
      <family val="2"/>
    </font>
    <font>
      <sz val="24"/>
      <color rgb="FFFF0000"/>
      <name val="Calibri Light"/>
      <family val="2"/>
    </font>
    <font>
      <sz val="18"/>
      <color theme="1"/>
      <name val="Calibri Light"/>
      <family val="2"/>
    </font>
    <font>
      <sz val="11"/>
      <color theme="1"/>
      <name val="Calibri Light"/>
      <family val="2"/>
    </font>
    <font>
      <sz val="10"/>
      <color theme="1" tint="0.499984740745262"/>
      <name val="Calibri Light"/>
      <family val="2"/>
    </font>
    <font>
      <sz val="10"/>
      <color theme="3"/>
      <name val="Calibri Light"/>
      <family val="2"/>
    </font>
    <font>
      <sz val="9"/>
      <color rgb="FFFF0000"/>
      <name val="Calibri Light"/>
      <family val="2"/>
    </font>
    <font>
      <sz val="8"/>
      <color theme="0"/>
      <name val="Calibri Light"/>
      <family val="2"/>
    </font>
    <font>
      <sz val="11"/>
      <color theme="1" tint="0.499984740745262"/>
      <name val="Calibri Light"/>
      <family val="2"/>
    </font>
    <font>
      <sz val="11"/>
      <color theme="3"/>
      <name val="Calibri Light"/>
      <family val="2"/>
    </font>
    <font>
      <u/>
      <sz val="7.7"/>
      <color theme="0"/>
      <name val="Calibri Light"/>
      <family val="2"/>
    </font>
    <font>
      <sz val="14"/>
      <color theme="1"/>
      <name val="Calibri Light"/>
      <family val="2"/>
    </font>
    <font>
      <sz val="9"/>
      <color theme="1"/>
      <name val="Calibri Light"/>
      <family val="2"/>
    </font>
    <font>
      <b/>
      <sz val="11"/>
      <color theme="1"/>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11"/>
      <color theme="0" tint="-0.499984740745262"/>
      <name val="Calibri Light"/>
      <family val="2"/>
    </font>
    <font>
      <sz val="14"/>
      <color theme="3"/>
      <name val="Calibri Light"/>
      <family val="2"/>
    </font>
    <font>
      <b/>
      <sz val="12"/>
      <name val="Calibri Light"/>
      <family val="2"/>
    </font>
    <font>
      <sz val="11"/>
      <name val="Calibri Light"/>
      <family val="2"/>
    </font>
    <font>
      <sz val="10"/>
      <color rgb="FFFF0000"/>
      <name val="Calibri Light"/>
      <family val="2"/>
    </font>
    <font>
      <sz val="11"/>
      <color rgb="FFFF0000"/>
      <name val="Calibri Light"/>
      <family val="2"/>
    </font>
    <font>
      <sz val="12"/>
      <color theme="0" tint="-0.499984740745262"/>
      <name val="Calibri Light"/>
      <family val="2"/>
    </font>
    <font>
      <sz val="11"/>
      <color theme="0" tint="-0.34998626667073579"/>
      <name val="Calibri Light"/>
      <family val="2"/>
    </font>
    <font>
      <b/>
      <sz val="10"/>
      <color theme="4" tint="-0.249977111117893"/>
      <name val="Calibri Light"/>
      <family val="2"/>
    </font>
    <font>
      <b/>
      <sz val="10"/>
      <color theme="3" tint="0.39997558519241921"/>
      <name val="Calibri Light"/>
      <family val="2"/>
    </font>
    <font>
      <sz val="10"/>
      <color rgb="FFC00000"/>
      <name val="Calibri Light"/>
      <family val="2"/>
    </font>
    <font>
      <b/>
      <sz val="9"/>
      <color theme="1"/>
      <name val="Calibri Light"/>
      <family val="2"/>
    </font>
    <font>
      <b/>
      <sz val="10"/>
      <color theme="1"/>
      <name val="Calibri Light"/>
      <family val="2"/>
    </font>
    <font>
      <i/>
      <sz val="9"/>
      <name val="Calibri Light"/>
      <family val="2"/>
    </font>
    <font>
      <sz val="12"/>
      <name val="Calibri Light"/>
      <family val="2"/>
    </font>
    <font>
      <u/>
      <sz val="9"/>
      <color theme="10"/>
      <name val="Calibri Light"/>
      <family val="2"/>
    </font>
    <font>
      <sz val="10"/>
      <name val="Calibri Light"/>
      <family val="2"/>
    </font>
    <font>
      <sz val="9"/>
      <name val="Calibri Light"/>
      <family val="2"/>
    </font>
    <font>
      <b/>
      <sz val="10"/>
      <name val="Calibri Light"/>
      <family val="2"/>
    </font>
    <font>
      <b/>
      <sz val="24"/>
      <color theme="0"/>
      <name val="Calibri Light"/>
      <family val="2"/>
    </font>
    <font>
      <b/>
      <sz val="24"/>
      <color rgb="FFC00000"/>
      <name val="Calibri Light"/>
      <family val="2"/>
    </font>
    <font>
      <b/>
      <sz val="9"/>
      <color rgb="FFC00000"/>
      <name val="Calibri Light"/>
      <family val="2"/>
    </font>
    <font>
      <sz val="11"/>
      <color theme="0"/>
      <name val="Calibri Light"/>
      <family val="2"/>
    </font>
    <font>
      <sz val="7"/>
      <color theme="1"/>
      <name val="Calibri Light"/>
      <family val="2"/>
    </font>
    <font>
      <sz val="7"/>
      <name val="Calibri Light"/>
      <family val="2"/>
    </font>
    <font>
      <sz val="8"/>
      <name val="Calibri Light"/>
      <family val="2"/>
    </font>
    <font>
      <sz val="9"/>
      <color theme="0"/>
      <name val="Calibri Light"/>
      <family val="2"/>
    </font>
    <font>
      <b/>
      <sz val="9"/>
      <color theme="0"/>
      <name val="Calibri Light"/>
      <family val="2"/>
    </font>
    <font>
      <b/>
      <sz val="11"/>
      <color rgb="FFFF0000"/>
      <name val="Calibri Light"/>
      <family val="2"/>
    </font>
    <font>
      <sz val="12"/>
      <color rgb="FFFF0000"/>
      <name val="Calibri Light"/>
      <family val="2"/>
    </font>
    <font>
      <sz val="12"/>
      <color theme="0"/>
      <name val="Calibri Light"/>
      <family val="2"/>
    </font>
    <font>
      <sz val="7"/>
      <color theme="0"/>
      <name val="Calibri Light"/>
      <family val="2"/>
    </font>
    <font>
      <b/>
      <sz val="8"/>
      <color theme="0" tint="-0.499984740745262"/>
      <name val="Calibri Light"/>
      <family val="2"/>
    </font>
    <font>
      <sz val="8"/>
      <color theme="1" tint="0.34998626667073579"/>
      <name val="Calibri Light"/>
      <family val="2"/>
    </font>
    <font>
      <sz val="10"/>
      <color theme="1" tint="0.34998626667073579"/>
      <name val="Calibri Light"/>
      <family val="2"/>
    </font>
    <font>
      <sz val="6"/>
      <name val="Calibri Light"/>
      <family val="2"/>
    </font>
    <font>
      <b/>
      <sz val="11"/>
      <color theme="0"/>
      <name val="Calibri Light"/>
      <family val="2"/>
    </font>
    <font>
      <b/>
      <sz val="14"/>
      <color theme="3"/>
      <name val="Calibri Light"/>
      <family val="2"/>
    </font>
    <font>
      <sz val="10"/>
      <color theme="0"/>
      <name val="Calibri Light"/>
      <family val="2"/>
    </font>
    <font>
      <sz val="9"/>
      <color theme="0" tint="-0.249977111117893"/>
      <name val="Calibri Light"/>
      <family val="2"/>
    </font>
    <font>
      <sz val="12"/>
      <color theme="1"/>
      <name val="Calibri Light"/>
      <family val="2"/>
    </font>
    <font>
      <sz val="22"/>
      <color theme="4" tint="-0.249977111117893"/>
      <name val="Calibri Light"/>
      <family val="2"/>
    </font>
    <font>
      <b/>
      <sz val="22"/>
      <color rgb="FF2F5597"/>
      <name val="Calibri Light"/>
      <family val="2"/>
    </font>
    <font>
      <sz val="11"/>
      <color theme="5"/>
      <name val="Calibri Light"/>
      <family val="2"/>
    </font>
    <font>
      <u/>
      <sz val="8"/>
      <color theme="5"/>
      <name val="Calibri Light"/>
      <family val="2"/>
    </font>
    <font>
      <sz val="8"/>
      <color theme="5"/>
      <name val="Calibri Light"/>
      <family val="2"/>
    </font>
    <font>
      <b/>
      <sz val="20"/>
      <color theme="4" tint="-0.249977111117893"/>
      <name val="Calibri Light"/>
      <family val="2"/>
    </font>
    <font>
      <b/>
      <sz val="9"/>
      <color theme="5"/>
      <name val="Calibri Light"/>
      <family val="2"/>
    </font>
    <font>
      <sz val="10"/>
      <color theme="5"/>
      <name val="Calibri Light"/>
      <family val="2"/>
    </font>
    <font>
      <b/>
      <sz val="12"/>
      <color indexed="9"/>
      <name val="Calibri Light"/>
      <family val="2"/>
    </font>
    <font>
      <sz val="12"/>
      <color theme="5"/>
      <name val="Calibri Light"/>
      <family val="2"/>
    </font>
    <font>
      <i/>
      <sz val="8"/>
      <color theme="5"/>
      <name val="Calibri Light"/>
      <family val="2"/>
    </font>
    <font>
      <sz val="6"/>
      <color indexed="9"/>
      <name val="Calibri Light"/>
      <family val="2"/>
    </font>
    <font>
      <u/>
      <sz val="8"/>
      <color indexed="12"/>
      <name val="Calibri Light"/>
      <family val="2"/>
    </font>
    <font>
      <sz val="20"/>
      <name val="Calibri Light"/>
      <family val="2"/>
    </font>
    <font>
      <b/>
      <sz val="16"/>
      <color theme="0"/>
      <name val="Calibri Light"/>
      <family val="2"/>
    </font>
    <font>
      <sz val="18"/>
      <color theme="0" tint="-0.499984740745262"/>
      <name val="Calibri Light"/>
      <family val="2"/>
    </font>
    <font>
      <u/>
      <sz val="10"/>
      <color theme="3"/>
      <name val="Calibri Light"/>
      <family val="2"/>
    </font>
    <font>
      <sz val="20"/>
      <color theme="0"/>
      <name val="Calibri Light"/>
      <family val="2"/>
    </font>
    <font>
      <b/>
      <sz val="14"/>
      <color theme="0"/>
      <name val="Calibri Light"/>
      <family val="2"/>
    </font>
    <font>
      <b/>
      <sz val="12"/>
      <color theme="1"/>
      <name val="Calibri Light"/>
      <family val="2"/>
    </font>
    <font>
      <sz val="18"/>
      <color theme="0"/>
      <name val="Calibri Light"/>
      <family val="2"/>
    </font>
    <font>
      <b/>
      <sz val="11"/>
      <color theme="3"/>
      <name val="Calibri Light"/>
      <family val="2"/>
    </font>
    <font>
      <sz val="24"/>
      <color theme="3" tint="0.39997558519241921"/>
      <name val="Calibri Light"/>
      <family val="2"/>
    </font>
    <font>
      <sz val="24"/>
      <color theme="9" tint="-0.249977111117893"/>
      <name val="Calibri Light"/>
      <family val="2"/>
    </font>
    <font>
      <sz val="11"/>
      <color theme="3" tint="0.39997558519241921"/>
      <name val="Calibri Light"/>
      <family val="2"/>
    </font>
    <font>
      <sz val="11"/>
      <color theme="9" tint="-0.249977111117893"/>
      <name val="Calibri Light"/>
      <family val="2"/>
    </font>
    <font>
      <b/>
      <sz val="12"/>
      <color theme="4" tint="0.39997558519241921"/>
      <name val="Calibri Light"/>
      <family val="2"/>
    </font>
    <font>
      <b/>
      <sz val="12"/>
      <color theme="9" tint="0.39997558519241921"/>
      <name val="Calibri Light"/>
      <family val="2"/>
    </font>
    <font>
      <sz val="24"/>
      <color theme="4" tint="0.39997558519241921"/>
      <name val="Calibri Light"/>
      <family val="2"/>
    </font>
    <font>
      <sz val="10"/>
      <color theme="3" tint="0.39997558519241921"/>
      <name val="Calibri Light"/>
      <family val="2"/>
    </font>
    <font>
      <sz val="10"/>
      <color theme="9" tint="-0.249977111117893"/>
      <name val="Calibri Light"/>
      <family val="2"/>
    </font>
    <font>
      <b/>
      <sz val="14"/>
      <color theme="3" tint="-0.249977111117893"/>
      <name val="Calibri Light"/>
      <family val="2"/>
    </font>
    <font>
      <sz val="16"/>
      <color theme="4" tint="0.39997558519241921"/>
      <name val="Calibri Light"/>
      <family val="2"/>
    </font>
    <font>
      <sz val="16"/>
      <color theme="9" tint="0.39997558519241921"/>
      <name val="Calibri Light"/>
      <family val="2"/>
    </font>
    <font>
      <sz val="11"/>
      <color theme="4" tint="-0.499984740745262"/>
      <name val="Calibri Light"/>
      <family val="2"/>
    </font>
    <font>
      <sz val="11"/>
      <color theme="9" tint="-0.499984740745262"/>
      <name val="Calibri Light"/>
      <family val="2"/>
    </font>
    <font>
      <b/>
      <sz val="12"/>
      <color theme="5" tint="0.39997558519241921"/>
      <name val="Calibri Light"/>
      <family val="2"/>
    </font>
    <font>
      <sz val="24"/>
      <color theme="5" tint="-0.249977111117893"/>
      <name val="Calibri Light"/>
      <family val="2"/>
    </font>
    <font>
      <sz val="10"/>
      <color theme="5" tint="-0.249977111117893"/>
      <name val="Calibri Light"/>
      <family val="2"/>
    </font>
    <font>
      <sz val="10"/>
      <color theme="7" tint="-0.249977111117893"/>
      <name val="Calibri Light"/>
      <family val="2"/>
    </font>
    <font>
      <b/>
      <sz val="12"/>
      <color theme="7" tint="0.39997558519241921"/>
      <name val="Calibri Light"/>
      <family val="2"/>
    </font>
    <font>
      <sz val="24"/>
      <color theme="7" tint="-0.249977111117893"/>
      <name val="Calibri Light"/>
      <family val="2"/>
    </font>
    <font>
      <sz val="11"/>
      <color theme="7" tint="-0.499984740745262"/>
      <name val="Calibri Light"/>
      <family val="2"/>
    </font>
    <font>
      <sz val="8"/>
      <color rgb="FF000000"/>
      <name val="Calibri Light"/>
      <family val="2"/>
    </font>
    <font>
      <sz val="8"/>
      <color theme="3"/>
      <name val="Calibri Light"/>
      <family val="2"/>
    </font>
    <font>
      <sz val="10"/>
      <color theme="6" tint="0.79998168889431442"/>
      <name val="Calibri Light"/>
      <family val="2"/>
    </font>
    <font>
      <b/>
      <sz val="11"/>
      <color indexed="9"/>
      <name val="Calibri Light"/>
      <family val="2"/>
    </font>
    <font>
      <sz val="11"/>
      <color indexed="9"/>
      <name val="Calibri Light"/>
      <family val="2"/>
    </font>
    <font>
      <b/>
      <sz val="11"/>
      <name val="Calibri Light"/>
      <family val="2"/>
    </font>
    <font>
      <sz val="24"/>
      <name val="Calibri Light"/>
      <family val="2"/>
    </font>
    <font>
      <sz val="14"/>
      <color theme="1" tint="0.499984740745262"/>
      <name val="Calibri Light"/>
      <family val="2"/>
    </font>
    <font>
      <i/>
      <sz val="11"/>
      <color theme="1"/>
      <name val="Calibri Light"/>
      <family val="2"/>
    </font>
    <font>
      <b/>
      <sz val="8"/>
      <name val="Calibri"/>
      <family val="2"/>
      <scheme val="minor"/>
    </font>
    <font>
      <sz val="8"/>
      <color theme="0"/>
      <name val="Calibri"/>
      <family val="2"/>
      <scheme val="minor"/>
    </font>
    <font>
      <sz val="8"/>
      <name val="Calibri"/>
      <family val="2"/>
      <scheme val="minor"/>
    </font>
    <font>
      <sz val="8"/>
      <color rgb="FFFF0000"/>
      <name val="Calibri"/>
      <family val="2"/>
      <scheme val="minor"/>
    </font>
    <font>
      <b/>
      <sz val="10"/>
      <color theme="0"/>
      <name val="Calibri"/>
      <family val="2"/>
      <scheme val="minor"/>
    </font>
    <font>
      <b/>
      <sz val="10"/>
      <color theme="0"/>
      <name val="Calibri Light"/>
      <family val="2"/>
    </font>
    <font>
      <sz val="14"/>
      <color theme="0"/>
      <name val="Calibri Light"/>
      <family val="2"/>
    </font>
    <font>
      <sz val="10"/>
      <color theme="0" tint="-0.499984740745262"/>
      <name val="Calibri Light"/>
      <family val="2"/>
    </font>
    <font>
      <sz val="12"/>
      <color theme="1" tint="0.34998626667073579"/>
      <name val="Calibri Light"/>
      <family val="2"/>
    </font>
    <font>
      <sz val="10"/>
      <name val="Arial"/>
      <family val="2"/>
    </font>
    <font>
      <b/>
      <sz val="10"/>
      <color rgb="FFFF0000"/>
      <name val="Calibri"/>
      <family val="2"/>
      <scheme val="minor"/>
    </font>
    <font>
      <b/>
      <sz val="10.5"/>
      <color theme="1"/>
      <name val="Calibri Light"/>
      <family val="2"/>
    </font>
    <font>
      <sz val="9"/>
      <color rgb="FFC1DEE9"/>
      <name val="Calibri Light"/>
      <family val="2"/>
    </font>
    <font>
      <sz val="12"/>
      <color rgb="FFFF0000"/>
      <name val="Calibri"/>
      <family val="2"/>
      <scheme val="minor"/>
    </font>
    <font>
      <b/>
      <sz val="24"/>
      <color rgb="FF3984A3"/>
      <name val="Calibri Light"/>
      <family val="2"/>
    </font>
    <font>
      <sz val="24"/>
      <color rgb="FF2C666A"/>
      <name val="Calibri Light"/>
      <family val="2"/>
    </font>
    <font>
      <sz val="12"/>
      <color theme="0" tint="-0.34998626667073579"/>
      <name val="Calibri"/>
      <family val="2"/>
      <scheme val="minor"/>
    </font>
    <font>
      <sz val="24"/>
      <color rgb="FF3D8D93"/>
      <name val="Calibri Light"/>
      <family val="2"/>
    </font>
    <font>
      <b/>
      <sz val="8"/>
      <color theme="0"/>
      <name val="Calibri"/>
      <family val="2"/>
      <scheme val="minor"/>
    </font>
    <font>
      <sz val="6"/>
      <color theme="0"/>
      <name val="Calibri Light"/>
      <family val="2"/>
    </font>
    <font>
      <sz val="9"/>
      <color indexed="81"/>
      <name val="Segoe UI"/>
      <family val="2"/>
    </font>
    <font>
      <sz val="9"/>
      <color indexed="81"/>
      <name val="Calibri Light"/>
      <family val="2"/>
    </font>
    <font>
      <b/>
      <sz val="22"/>
      <color theme="0"/>
      <name val="Calibri"/>
      <family val="2"/>
      <scheme val="minor"/>
    </font>
    <font>
      <sz val="11"/>
      <color theme="1"/>
      <name val="Calibri"/>
      <family val="2"/>
    </font>
    <font>
      <i/>
      <sz val="10"/>
      <color theme="1"/>
      <name val="Calibri Light"/>
      <family val="2"/>
    </font>
  </fonts>
  <fills count="63">
    <fill>
      <patternFill patternType="none"/>
    </fill>
    <fill>
      <patternFill patternType="gray125"/>
    </fill>
    <fill>
      <patternFill patternType="solid">
        <fgColor rgb="FFFFFFCC"/>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FF0000"/>
        <bgColor indexed="64"/>
      </patternFill>
    </fill>
    <fill>
      <patternFill patternType="solid">
        <fgColor theme="7" tint="0.79998168889431442"/>
        <bgColor indexed="64"/>
      </patternFill>
    </fill>
    <fill>
      <patternFill patternType="solid">
        <fgColor indexed="9"/>
        <bgColor indexed="64"/>
      </patternFill>
    </fill>
    <fill>
      <patternFill patternType="lightGray">
        <fgColor indexed="26"/>
      </patternFill>
    </fill>
    <fill>
      <patternFill patternType="solid">
        <fgColor indexed="26"/>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7" tint="0.39997558519241921"/>
        <bgColor indexed="64"/>
      </patternFill>
    </fill>
    <fill>
      <patternFill patternType="lightGray">
        <fgColor indexed="26"/>
        <bgColor theme="0"/>
      </patternFill>
    </fill>
    <fill>
      <patternFill patternType="solid">
        <fgColor theme="6" tint="0.59999389629810485"/>
        <bgColor indexed="65"/>
      </patternFill>
    </fill>
    <fill>
      <patternFill patternType="solid">
        <fgColor theme="7" tint="0.59999389629810485"/>
        <bgColor indexed="65"/>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rgb="FFFFEB9C"/>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tint="0.39997558519241921"/>
        <bgColor indexed="64"/>
      </patternFill>
    </fill>
    <fill>
      <patternFill patternType="solid">
        <fgColor theme="6" tint="0.79998168889431442"/>
        <bgColor indexed="65"/>
      </patternFill>
    </fill>
    <fill>
      <patternFill patternType="solid">
        <fgColor theme="3"/>
        <bgColor indexed="64"/>
      </patternFill>
    </fill>
    <fill>
      <patternFill patternType="solid">
        <fgColor theme="5" tint="-0.499984740745262"/>
        <bgColor indexed="64"/>
      </patternFill>
    </fill>
    <fill>
      <patternFill patternType="solid">
        <fgColor theme="5" tint="0.39997558519241921"/>
        <bgColor indexed="64"/>
      </patternFill>
    </fill>
    <fill>
      <patternFill patternType="solid">
        <fgColor theme="9" tint="-0.499984740745262"/>
        <bgColor indexed="64"/>
      </patternFill>
    </fill>
    <fill>
      <patternFill patternType="solid">
        <fgColor theme="9" tint="0.39997558519241921"/>
        <bgColor indexed="64"/>
      </patternFill>
    </fill>
    <fill>
      <patternFill patternType="solid">
        <fgColor theme="4" tint="-0.499984740745262"/>
        <bgColor indexed="64"/>
      </patternFill>
    </fill>
    <fill>
      <patternFill patternType="solid">
        <fgColor theme="6" tint="-0.499984740745262"/>
        <bgColor indexed="64"/>
      </patternFill>
    </fill>
    <fill>
      <patternFill patternType="solid">
        <fgColor theme="7" tint="-0.499984740745262"/>
        <bgColor indexed="64"/>
      </patternFill>
    </fill>
    <fill>
      <patternFill patternType="solid">
        <fgColor indexed="22"/>
        <bgColor indexed="64"/>
      </patternFill>
    </fill>
    <fill>
      <patternFill patternType="solid">
        <fgColor rgb="FFFFFF99"/>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rgb="FFFFFF00"/>
        <bgColor indexed="64"/>
      </patternFill>
    </fill>
    <fill>
      <patternFill patternType="solid">
        <fgColor theme="2"/>
        <bgColor indexed="64"/>
      </patternFill>
    </fill>
    <fill>
      <patternFill patternType="solid">
        <fgColor theme="6" tint="-0.249977111117893"/>
        <bgColor indexed="64"/>
      </patternFill>
    </fill>
    <fill>
      <patternFill patternType="solid">
        <fgColor rgb="FFA8C36B"/>
        <bgColor indexed="64"/>
      </patternFill>
    </fill>
    <fill>
      <patternFill patternType="solid">
        <fgColor rgb="FFB3DCDF"/>
        <bgColor indexed="64"/>
      </patternFill>
    </fill>
    <fill>
      <patternFill patternType="solid">
        <fgColor rgb="FFDEF1F2"/>
        <bgColor indexed="64"/>
      </patternFill>
    </fill>
    <fill>
      <patternFill patternType="solid">
        <fgColor rgb="FF3984A3"/>
        <bgColor indexed="64"/>
      </patternFill>
    </fill>
    <fill>
      <patternFill patternType="solid">
        <fgColor rgb="FFC1DEE9"/>
        <bgColor indexed="64"/>
      </patternFill>
    </fill>
    <fill>
      <patternFill patternType="solid">
        <fgColor rgb="FF98D0D4"/>
        <bgColor indexed="64"/>
      </patternFill>
    </fill>
    <fill>
      <patternFill patternType="solid">
        <fgColor rgb="FFBBE0E3"/>
        <bgColor indexed="64"/>
      </patternFill>
    </fill>
    <fill>
      <patternFill patternType="solid">
        <fgColor rgb="FF54B1B8"/>
        <bgColor indexed="64"/>
      </patternFill>
    </fill>
    <fill>
      <patternFill patternType="solid">
        <fgColor rgb="FFC7D1E3"/>
        <bgColor indexed="64"/>
      </patternFill>
    </fill>
    <fill>
      <patternFill patternType="solid">
        <fgColor rgb="FF6C88B7"/>
        <bgColor indexed="64"/>
      </patternFill>
    </fill>
    <fill>
      <patternFill patternType="solid">
        <fgColor rgb="FF486492"/>
        <bgColor indexed="64"/>
      </patternFill>
    </fill>
    <fill>
      <patternFill patternType="solid">
        <fgColor rgb="FFB4C2DA"/>
        <bgColor indexed="64"/>
      </patternFill>
    </fill>
  </fills>
  <borders count="119">
    <border>
      <left/>
      <right/>
      <top/>
      <bottom/>
      <diagonal/>
    </border>
    <border>
      <left/>
      <right/>
      <top/>
      <bottom style="thin">
        <color indexed="64"/>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hair">
        <color rgb="FF002060"/>
      </top>
      <bottom style="hair">
        <color rgb="FF002060"/>
      </bottom>
      <diagonal/>
    </border>
    <border>
      <left/>
      <right/>
      <top style="thin">
        <color rgb="FF002060"/>
      </top>
      <bottom/>
      <diagonal/>
    </border>
    <border>
      <left/>
      <right/>
      <top/>
      <bottom style="thin">
        <color rgb="FF006600"/>
      </bottom>
      <diagonal/>
    </border>
    <border>
      <left/>
      <right/>
      <top style="thin">
        <color theme="3"/>
      </top>
      <bottom/>
      <diagonal/>
    </border>
    <border>
      <left/>
      <right/>
      <top style="hair">
        <color theme="7" tint="-0.24994659260841701"/>
      </top>
      <bottom style="hair">
        <color theme="7" tint="-0.24994659260841701"/>
      </bottom>
      <diagonal/>
    </border>
    <border>
      <left/>
      <right style="hair">
        <color auto="1"/>
      </right>
      <top style="hair">
        <color auto="1"/>
      </top>
      <bottom style="hair">
        <color auto="1"/>
      </bottom>
      <diagonal/>
    </border>
    <border>
      <left/>
      <right/>
      <top/>
      <bottom style="medium">
        <color indexed="53"/>
      </bottom>
      <diagonal/>
    </border>
    <border>
      <left style="thin">
        <color indexed="23"/>
      </left>
      <right/>
      <top style="thin">
        <color indexed="23"/>
      </top>
      <bottom/>
      <diagonal/>
    </border>
    <border>
      <left/>
      <right/>
      <top style="thin">
        <color indexed="23"/>
      </top>
      <bottom/>
      <diagonal/>
    </border>
    <border>
      <left style="thin">
        <color indexed="23"/>
      </left>
      <right/>
      <top/>
      <bottom/>
      <diagonal/>
    </border>
    <border>
      <left/>
      <right/>
      <top/>
      <bottom style="hair">
        <color indexed="23"/>
      </bottom>
      <diagonal/>
    </border>
    <border>
      <left/>
      <right style="thin">
        <color indexed="22"/>
      </right>
      <top/>
      <bottom/>
      <diagonal/>
    </border>
    <border>
      <left/>
      <right/>
      <top/>
      <bottom style="double">
        <color indexed="22"/>
      </bottom>
      <diagonal/>
    </border>
    <border>
      <left/>
      <right/>
      <top style="hair">
        <color indexed="23"/>
      </top>
      <bottom style="hair">
        <color indexed="23"/>
      </bottom>
      <diagonal/>
    </border>
    <border>
      <left style="thin">
        <color indexed="23"/>
      </left>
      <right/>
      <top/>
      <bottom style="thin">
        <color indexed="23"/>
      </bottom>
      <diagonal/>
    </border>
    <border>
      <left/>
      <right/>
      <top/>
      <bottom style="thin">
        <color indexed="23"/>
      </bottom>
      <diagonal/>
    </border>
    <border>
      <left/>
      <right/>
      <top style="thin">
        <color auto="1"/>
      </top>
      <bottom style="double">
        <color auto="1"/>
      </bottom>
      <diagonal/>
    </border>
    <border>
      <left/>
      <right style="thin">
        <color indexed="22"/>
      </right>
      <top style="thin">
        <color auto="1"/>
      </top>
      <bottom style="double">
        <color auto="1"/>
      </bottom>
      <diagonal/>
    </border>
    <border>
      <left/>
      <right/>
      <top style="hair">
        <color indexed="23"/>
      </top>
      <bottom/>
      <diagonal/>
    </border>
    <border>
      <left/>
      <right/>
      <top style="double">
        <color indexed="22"/>
      </top>
      <bottom style="thin">
        <color auto="1"/>
      </bottom>
      <diagonal/>
    </border>
    <border>
      <left/>
      <right/>
      <top style="thin">
        <color theme="7" tint="-0.24994659260841701"/>
      </top>
      <bottom/>
      <diagonal/>
    </border>
    <border>
      <left/>
      <right/>
      <top/>
      <bottom style="hair">
        <color rgb="FF002060"/>
      </bottom>
      <diagonal/>
    </border>
    <border>
      <left style="thin">
        <color theme="1" tint="0.499984740745262"/>
      </left>
      <right/>
      <top style="thin">
        <color indexed="23"/>
      </top>
      <bottom/>
      <diagonal/>
    </border>
    <border>
      <left style="thin">
        <color auto="1"/>
      </left>
      <right style="thin">
        <color auto="1"/>
      </right>
      <top/>
      <bottom style="thin">
        <color auto="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top/>
      <bottom/>
      <diagonal/>
    </border>
    <border>
      <left/>
      <right style="thin">
        <color indexed="55"/>
      </right>
      <top/>
      <bottom/>
      <diagonal/>
    </border>
    <border>
      <left style="thin">
        <color indexed="55"/>
      </left>
      <right style="thin">
        <color indexed="55"/>
      </right>
      <top style="thin">
        <color indexed="55"/>
      </top>
      <bottom style="thin">
        <color indexed="55"/>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indexed="64"/>
      </top>
      <bottom/>
      <diagonal/>
    </border>
    <border>
      <left/>
      <right/>
      <top/>
      <bottom style="thin">
        <color theme="6" tint="-0.499984740745262"/>
      </bottom>
      <diagonal/>
    </border>
    <border>
      <left/>
      <right/>
      <top/>
      <bottom style="thin">
        <color theme="7" tint="-0.499984740745262"/>
      </bottom>
      <diagonal/>
    </border>
    <border>
      <left/>
      <right/>
      <top/>
      <bottom style="thin">
        <color theme="1" tint="0.34998626667073579"/>
      </bottom>
      <diagonal/>
    </border>
    <border>
      <left/>
      <right/>
      <top style="hair">
        <color auto="1"/>
      </top>
      <bottom style="hair">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auto="1"/>
      </left>
      <right/>
      <top style="thin">
        <color auto="1"/>
      </top>
      <bottom style="thin">
        <color auto="1"/>
      </bottom>
      <diagonal/>
    </border>
    <border>
      <left style="hair">
        <color auto="1"/>
      </left>
      <right/>
      <top style="hair">
        <color auto="1"/>
      </top>
      <bottom style="hair">
        <color auto="1"/>
      </bottom>
      <diagonal/>
    </border>
    <border>
      <left/>
      <right style="hair">
        <color theme="0"/>
      </right>
      <top/>
      <bottom/>
      <diagonal/>
    </border>
    <border>
      <left/>
      <right style="hair">
        <color theme="0" tint="-4.9989318521683403E-2"/>
      </right>
      <top/>
      <bottom/>
      <diagonal/>
    </border>
    <border>
      <left style="hair">
        <color theme="0"/>
      </left>
      <right/>
      <top/>
      <bottom/>
      <diagonal/>
    </border>
    <border>
      <left style="thin">
        <color theme="0" tint="-0.14996795556505021"/>
      </left>
      <right style="thin">
        <color theme="0" tint="-0.14996795556505021"/>
      </right>
      <top/>
      <bottom/>
      <diagonal/>
    </border>
    <border>
      <left/>
      <right style="thin">
        <color theme="0" tint="-0.14996795556505021"/>
      </right>
      <top/>
      <bottom/>
      <diagonal/>
    </border>
    <border>
      <left style="thin">
        <color theme="0" tint="-0.14996795556505021"/>
      </left>
      <right style="medium">
        <color theme="1" tint="0.499984740745262"/>
      </right>
      <top/>
      <bottom/>
      <diagonal/>
    </border>
    <border>
      <left/>
      <right/>
      <top/>
      <bottom style="hair">
        <color theme="7" tint="-0.499984740745262"/>
      </bottom>
      <diagonal/>
    </border>
    <border>
      <left style="hair">
        <color theme="0" tint="-4.9989318521683403E-2"/>
      </left>
      <right/>
      <top/>
      <bottom/>
      <diagonal/>
    </border>
    <border>
      <left/>
      <right style="thin">
        <color theme="4" tint="0.79998168889431442"/>
      </right>
      <top/>
      <bottom style="thin">
        <color theme="4" tint="0.79998168889431442"/>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top/>
      <bottom style="thin">
        <color theme="4" tint="0.79998168889431442"/>
      </bottom>
      <diagonal/>
    </border>
    <border>
      <left/>
      <right style="thin">
        <color theme="4" tint="0.79998168889431442"/>
      </right>
      <top style="thin">
        <color theme="4" tint="0.79998168889431442"/>
      </top>
      <bottom style="thin">
        <color theme="4" tint="0.79998168889431442"/>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tint="0.79998168889431442"/>
      </left>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ck">
        <color theme="0"/>
      </left>
      <right style="thin">
        <color theme="0"/>
      </right>
      <top style="thin">
        <color theme="0"/>
      </top>
      <bottom style="thin">
        <color theme="0"/>
      </bottom>
      <diagonal/>
    </border>
    <border>
      <left/>
      <right/>
      <top/>
      <bottom style="medium">
        <color theme="0"/>
      </bottom>
      <diagonal/>
    </border>
    <border>
      <left/>
      <right/>
      <top style="thick">
        <color theme="0"/>
      </top>
      <bottom/>
      <diagonal/>
    </border>
    <border>
      <left/>
      <right style="thin">
        <color theme="0"/>
      </right>
      <top style="thick">
        <color theme="0"/>
      </top>
      <bottom/>
      <diagonal/>
    </border>
    <border>
      <left/>
      <right style="thin">
        <color theme="0"/>
      </right>
      <top/>
      <bottom style="medium">
        <color theme="0"/>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style="thin">
        <color theme="1"/>
      </left>
      <right/>
      <top style="thin">
        <color theme="1"/>
      </top>
      <bottom style="thin">
        <color theme="1"/>
      </bottom>
      <diagonal/>
    </border>
    <border>
      <left/>
      <right/>
      <top style="thin">
        <color theme="3"/>
      </top>
      <bottom style="thin">
        <color theme="3"/>
      </bottom>
      <diagonal/>
    </border>
    <border>
      <left style="thin">
        <color rgb="FF486492"/>
      </left>
      <right/>
      <top style="thin">
        <color rgb="FF486492"/>
      </top>
      <bottom/>
      <diagonal/>
    </border>
    <border>
      <left/>
      <right/>
      <top style="thin">
        <color rgb="FF486492"/>
      </top>
      <bottom/>
      <diagonal/>
    </border>
    <border>
      <left/>
      <right style="thin">
        <color rgb="FF486492"/>
      </right>
      <top style="thin">
        <color rgb="FF486492"/>
      </top>
      <bottom/>
      <diagonal/>
    </border>
    <border>
      <left style="thin">
        <color rgb="FF486492"/>
      </left>
      <right/>
      <top/>
      <bottom/>
      <diagonal/>
    </border>
    <border>
      <left/>
      <right style="thin">
        <color rgb="FF486492"/>
      </right>
      <top/>
      <bottom/>
      <diagonal/>
    </border>
    <border>
      <left style="thin">
        <color rgb="FF486492"/>
      </left>
      <right/>
      <top/>
      <bottom style="thin">
        <color rgb="FF486492"/>
      </bottom>
      <diagonal/>
    </border>
    <border>
      <left/>
      <right/>
      <top/>
      <bottom style="thin">
        <color rgb="FF486492"/>
      </bottom>
      <diagonal/>
    </border>
    <border>
      <left/>
      <right style="thin">
        <color rgb="FF486492"/>
      </right>
      <top/>
      <bottom style="thin">
        <color rgb="FF486492"/>
      </bottom>
      <diagonal/>
    </border>
    <border>
      <left style="thin">
        <color rgb="FFD0D9E8"/>
      </left>
      <right style="thin">
        <color rgb="FFD0D9E8"/>
      </right>
      <top style="thin">
        <color rgb="FFD0D9E8"/>
      </top>
      <bottom style="thin">
        <color rgb="FFD0D9E8"/>
      </bottom>
      <diagonal/>
    </border>
    <border>
      <left style="hair">
        <color theme="0" tint="-0.499984740745262"/>
      </left>
      <right style="hair">
        <color theme="0" tint="-0.499984740745262"/>
      </right>
      <top style="hair">
        <color theme="0" tint="-0.499984740745262"/>
      </top>
      <bottom style="hair">
        <color theme="0" tint="-0.499984740745262"/>
      </bottom>
      <diagonal/>
    </border>
    <border>
      <left/>
      <right/>
      <top/>
      <bottom style="thin">
        <color rgb="FF3984A3"/>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hair">
        <color theme="0" tint="-0.499984740745262"/>
      </left>
      <right/>
      <top style="hair">
        <color theme="0" tint="-0.499984740745262"/>
      </top>
      <bottom style="hair">
        <color theme="0" tint="-0.499984740745262"/>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right style="thin">
        <color theme="0" tint="-0.34998626667073579"/>
      </right>
      <top/>
      <bottom style="thin">
        <color theme="0" tint="-0.34998626667073579"/>
      </bottom>
      <diagonal/>
    </border>
    <border>
      <left style="thin">
        <color rgb="FF3984A3"/>
      </left>
      <right/>
      <top style="thin">
        <color rgb="FF3984A3"/>
      </top>
      <bottom/>
      <diagonal/>
    </border>
    <border>
      <left/>
      <right/>
      <top style="thin">
        <color rgb="FF3984A3"/>
      </top>
      <bottom/>
      <diagonal/>
    </border>
    <border>
      <left style="thin">
        <color rgb="FF3984A3"/>
      </left>
      <right/>
      <top/>
      <bottom/>
      <diagonal/>
    </border>
    <border>
      <left/>
      <right style="thin">
        <color rgb="FF3984A3"/>
      </right>
      <top/>
      <bottom/>
      <diagonal/>
    </border>
    <border>
      <left style="thin">
        <color rgb="FF3984A3"/>
      </left>
      <right/>
      <top/>
      <bottom style="thin">
        <color rgb="FF3984A3"/>
      </bottom>
      <diagonal/>
    </border>
    <border>
      <left/>
      <right style="thin">
        <color rgb="FF3984A3"/>
      </right>
      <top/>
      <bottom style="thin">
        <color rgb="FF3984A3"/>
      </bottom>
      <diagonal/>
    </border>
    <border>
      <left style="thin">
        <color theme="0"/>
      </left>
      <right style="thin">
        <color theme="0"/>
      </right>
      <top/>
      <bottom style="hair">
        <color theme="0" tint="-0.499984740745262"/>
      </bottom>
      <diagonal/>
    </border>
  </borders>
  <cellStyleXfs count="30">
    <xf numFmtId="0" fontId="0" fillId="0" borderId="0"/>
    <xf numFmtId="0" fontId="21" fillId="0" borderId="0" applyNumberFormat="0" applyFill="0" applyBorder="0" applyProtection="0">
      <alignment vertical="center"/>
      <protection locked="0"/>
    </xf>
    <xf numFmtId="0" fontId="3" fillId="0" borderId="0"/>
    <xf numFmtId="0" fontId="6" fillId="0" borderId="0" applyNumberForma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0" fontId="3" fillId="0" borderId="0"/>
    <xf numFmtId="0" fontId="10" fillId="0" borderId="0" applyNumberFormat="0" applyFill="0" applyBorder="0" applyAlignment="0" applyProtection="0">
      <alignment vertical="top"/>
      <protection locked="0"/>
    </xf>
    <xf numFmtId="0" fontId="7" fillId="0" borderId="0"/>
    <xf numFmtId="0" fontId="1" fillId="0" borderId="0"/>
    <xf numFmtId="0" fontId="13" fillId="0" borderId="0" applyNumberFormat="0" applyFill="0" applyBorder="0" applyAlignment="0" applyProtection="0">
      <alignment vertical="top"/>
      <protection locked="0"/>
    </xf>
    <xf numFmtId="0" fontId="14" fillId="0" borderId="0"/>
    <xf numFmtId="168" fontId="14"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35" borderId="0" applyNumberFormat="0" applyBorder="0" applyAlignment="0" applyProtection="0"/>
    <xf numFmtId="0" fontId="17" fillId="0" borderId="0" applyNumberFormat="0" applyFill="0" applyBorder="0" applyAlignment="0" applyProtection="0">
      <alignment vertical="top"/>
      <protection locked="0"/>
    </xf>
    <xf numFmtId="0" fontId="3" fillId="0" borderId="0"/>
    <xf numFmtId="0" fontId="24" fillId="0" borderId="0" applyNumberFormat="0" applyFill="0" applyBorder="0" applyAlignment="0" applyProtection="0">
      <alignment vertical="top"/>
      <protection locked="0"/>
    </xf>
    <xf numFmtId="0" fontId="1" fillId="0" borderId="0"/>
    <xf numFmtId="0" fontId="1" fillId="0" borderId="0"/>
    <xf numFmtId="43" fontId="1" fillId="0" borderId="0" applyFont="0" applyFill="0" applyBorder="0" applyAlignment="0" applyProtection="0"/>
    <xf numFmtId="0" fontId="150" fillId="0" borderId="0"/>
    <xf numFmtId="0" fontId="1" fillId="0" borderId="0"/>
    <xf numFmtId="0" fontId="1" fillId="0" borderId="0"/>
    <xf numFmtId="0" fontId="1" fillId="0" borderId="0"/>
    <xf numFmtId="9" fontId="1" fillId="0" borderId="0" applyFont="0" applyFill="0" applyBorder="0" applyAlignment="0" applyProtection="0"/>
  </cellStyleXfs>
  <cellXfs count="1257">
    <xf numFmtId="0" fontId="0" fillId="0" borderId="0" xfId="0"/>
    <xf numFmtId="0" fontId="20" fillId="9" borderId="28" xfId="9" applyFont="1" applyFill="1" applyBorder="1" applyAlignment="1" applyProtection="1">
      <alignment horizontal="center" vertical="center" wrapText="1"/>
      <protection locked="0"/>
    </xf>
    <xf numFmtId="0" fontId="11" fillId="0" borderId="0" xfId="9" applyFont="1" applyAlignment="1" applyProtection="1">
      <alignment vertical="center" wrapText="1"/>
      <protection hidden="1"/>
    </xf>
    <xf numFmtId="0" fontId="4" fillId="2" borderId="3" xfId="9" applyFont="1" applyFill="1" applyBorder="1" applyAlignment="1" applyProtection="1">
      <alignment vertical="center" wrapText="1"/>
      <protection hidden="1"/>
    </xf>
    <xf numFmtId="0" fontId="11" fillId="0" borderId="3" xfId="9" applyFont="1" applyBorder="1" applyAlignment="1" applyProtection="1">
      <alignment vertical="center" wrapText="1"/>
      <protection hidden="1"/>
    </xf>
    <xf numFmtId="0" fontId="4" fillId="0" borderId="3" xfId="9" applyFont="1" applyBorder="1" applyAlignment="1" applyProtection="1">
      <alignment horizontal="left" vertical="top" wrapText="1"/>
      <protection hidden="1"/>
    </xf>
    <xf numFmtId="0" fontId="4" fillId="0" borderId="0" xfId="9" applyFont="1" applyAlignment="1" applyProtection="1">
      <alignment vertical="center" wrapText="1"/>
      <protection hidden="1"/>
    </xf>
    <xf numFmtId="0" fontId="2" fillId="2" borderId="4" xfId="9" applyFont="1" applyFill="1" applyBorder="1" applyAlignment="1" applyProtection="1">
      <alignment vertical="center" wrapText="1"/>
      <protection hidden="1"/>
    </xf>
    <xf numFmtId="0" fontId="11" fillId="9" borderId="3" xfId="9" applyFont="1" applyFill="1" applyBorder="1" applyAlignment="1" applyProtection="1">
      <alignment horizontal="center" vertical="center" wrapText="1"/>
      <protection hidden="1"/>
    </xf>
    <xf numFmtId="0" fontId="19" fillId="9" borderId="3" xfId="9" applyFont="1" applyFill="1" applyBorder="1" applyAlignment="1" applyProtection="1">
      <alignment horizontal="left" vertical="top" wrapText="1"/>
      <protection hidden="1"/>
    </xf>
    <xf numFmtId="0" fontId="2" fillId="9" borderId="4" xfId="9" applyFont="1" applyFill="1" applyBorder="1" applyAlignment="1" applyProtection="1">
      <alignment horizontal="left" vertical="top" wrapText="1"/>
      <protection hidden="1"/>
    </xf>
    <xf numFmtId="0" fontId="2" fillId="9" borderId="54" xfId="9" applyFont="1" applyFill="1" applyBorder="1" applyAlignment="1" applyProtection="1">
      <alignment horizontal="left" vertical="top" wrapText="1"/>
      <protection hidden="1"/>
    </xf>
    <xf numFmtId="0" fontId="5" fillId="12" borderId="33" xfId="0" applyFont="1" applyFill="1" applyBorder="1" applyAlignment="1" applyProtection="1">
      <alignment vertical="top"/>
      <protection hidden="1"/>
    </xf>
    <xf numFmtId="0" fontId="5" fillId="12" borderId="53" xfId="9" applyFont="1" applyFill="1" applyBorder="1" applyAlignment="1" applyProtection="1">
      <alignment vertical="top" wrapText="1"/>
      <protection hidden="1"/>
    </xf>
    <xf numFmtId="0" fontId="18" fillId="12" borderId="33" xfId="8" applyFont="1" applyFill="1" applyBorder="1" applyAlignment="1" applyProtection="1">
      <alignment horizontal="left" vertical="top" wrapText="1"/>
      <protection hidden="1"/>
    </xf>
    <xf numFmtId="0" fontId="11" fillId="6" borderId="0" xfId="9" applyFont="1" applyFill="1" applyAlignment="1" applyProtection="1">
      <alignment vertical="top" wrapText="1"/>
      <protection hidden="1"/>
    </xf>
    <xf numFmtId="0" fontId="5" fillId="6" borderId="0" xfId="9" applyFont="1" applyFill="1" applyAlignment="1" applyProtection="1">
      <alignment vertical="top" wrapText="1"/>
      <protection hidden="1"/>
    </xf>
    <xf numFmtId="0" fontId="4" fillId="2" borderId="28" xfId="9" applyFont="1" applyFill="1" applyBorder="1" applyAlignment="1" applyProtection="1">
      <alignment vertical="center" wrapText="1"/>
      <protection hidden="1"/>
    </xf>
    <xf numFmtId="0" fontId="4" fillId="0" borderId="52" xfId="9" applyFont="1" applyBorder="1" applyAlignment="1" applyProtection="1">
      <alignment vertical="center" wrapText="1"/>
      <protection hidden="1"/>
    </xf>
    <xf numFmtId="0" fontId="4" fillId="0" borderId="28" xfId="9" applyFont="1" applyBorder="1" applyAlignment="1" applyProtection="1">
      <alignment horizontal="left" vertical="top" wrapText="1"/>
      <protection hidden="1"/>
    </xf>
    <xf numFmtId="0" fontId="4" fillId="0" borderId="28" xfId="9" applyFont="1" applyBorder="1" applyAlignment="1" applyProtection="1">
      <alignment vertical="center" wrapText="1"/>
      <protection hidden="1"/>
    </xf>
    <xf numFmtId="0" fontId="4" fillId="2" borderId="55" xfId="9" applyFont="1" applyFill="1" applyBorder="1" applyAlignment="1" applyProtection="1">
      <alignment vertical="center" wrapText="1"/>
      <protection hidden="1"/>
    </xf>
    <xf numFmtId="0" fontId="4" fillId="0" borderId="55" xfId="9" applyFont="1" applyBorder="1" applyAlignment="1" applyProtection="1">
      <alignment horizontal="left" vertical="top" wrapText="1"/>
      <protection hidden="1"/>
    </xf>
    <xf numFmtId="0" fontId="4" fillId="0" borderId="55" xfId="9" applyFont="1" applyBorder="1" applyAlignment="1" applyProtection="1">
      <alignment vertical="center" wrapText="1"/>
      <protection hidden="1"/>
    </xf>
    <xf numFmtId="0" fontId="4" fillId="2" borderId="4" xfId="9" applyFont="1" applyFill="1" applyBorder="1" applyAlignment="1" applyProtection="1">
      <alignment vertical="center" wrapText="1"/>
      <protection hidden="1"/>
    </xf>
    <xf numFmtId="0" fontId="4" fillId="0" borderId="4" xfId="9" applyFont="1" applyBorder="1" applyAlignment="1" applyProtection="1">
      <alignment horizontal="left" vertical="top" wrapText="1"/>
      <protection hidden="1"/>
    </xf>
    <xf numFmtId="0" fontId="5" fillId="12" borderId="33" xfId="0" applyFont="1" applyFill="1" applyBorder="1" applyProtection="1">
      <protection hidden="1"/>
    </xf>
    <xf numFmtId="0" fontId="5" fillId="12" borderId="53" xfId="9" applyFont="1" applyFill="1" applyBorder="1" applyAlignment="1" applyProtection="1">
      <alignment vertical="center" wrapText="1"/>
      <protection hidden="1"/>
    </xf>
    <xf numFmtId="0" fontId="5" fillId="12" borderId="33" xfId="9" applyFont="1" applyFill="1" applyBorder="1" applyAlignment="1" applyProtection="1">
      <alignment vertical="center" wrapText="1"/>
      <protection hidden="1"/>
    </xf>
    <xf numFmtId="0" fontId="4" fillId="6" borderId="0" xfId="9" applyFont="1" applyFill="1" applyAlignment="1" applyProtection="1">
      <alignment vertical="center" wrapText="1"/>
      <protection hidden="1"/>
    </xf>
    <xf numFmtId="0" fontId="5" fillId="6" borderId="0" xfId="9" applyFont="1" applyFill="1" applyAlignment="1" applyProtection="1">
      <alignment vertical="center" wrapText="1"/>
      <protection hidden="1"/>
    </xf>
    <xf numFmtId="0" fontId="4" fillId="0" borderId="4" xfId="9" applyFont="1" applyBorder="1" applyAlignment="1" applyProtection="1">
      <alignment vertical="center" wrapText="1"/>
      <protection hidden="1"/>
    </xf>
    <xf numFmtId="0" fontId="4" fillId="0" borderId="68" xfId="9" applyFont="1" applyBorder="1" applyAlignment="1" applyProtection="1">
      <alignment vertical="center" wrapText="1"/>
      <protection hidden="1"/>
    </xf>
    <xf numFmtId="0" fontId="4" fillId="0" borderId="57" xfId="9" applyFont="1" applyBorder="1" applyAlignment="1" applyProtection="1">
      <alignment horizontal="left" vertical="top" wrapText="1"/>
      <protection hidden="1"/>
    </xf>
    <xf numFmtId="0" fontId="4" fillId="0" borderId="58" xfId="9" applyFont="1" applyBorder="1" applyAlignment="1" applyProtection="1">
      <alignment vertical="center" wrapText="1"/>
      <protection hidden="1"/>
    </xf>
    <xf numFmtId="0" fontId="4" fillId="0" borderId="56" xfId="9" applyFont="1" applyBorder="1" applyAlignment="1" applyProtection="1">
      <alignment vertical="center" wrapText="1"/>
      <protection hidden="1"/>
    </xf>
    <xf numFmtId="0" fontId="18" fillId="12" borderId="33" xfId="8" applyFont="1" applyFill="1" applyBorder="1" applyAlignment="1" applyProtection="1">
      <alignment horizontal="left" vertical="center" wrapText="1"/>
      <protection hidden="1"/>
    </xf>
    <xf numFmtId="0" fontId="4" fillId="2" borderId="28" xfId="9" applyFont="1" applyFill="1" applyBorder="1" applyAlignment="1" applyProtection="1">
      <alignment vertical="top" wrapText="1"/>
      <protection hidden="1"/>
    </xf>
    <xf numFmtId="0" fontId="4" fillId="0" borderId="52" xfId="9" applyFont="1" applyBorder="1" applyAlignment="1" applyProtection="1">
      <alignment vertical="top" wrapText="1"/>
      <protection hidden="1"/>
    </xf>
    <xf numFmtId="0" fontId="4" fillId="2" borderId="55" xfId="9" applyFont="1" applyFill="1" applyBorder="1" applyAlignment="1" applyProtection="1">
      <alignment vertical="top" wrapText="1"/>
      <protection hidden="1"/>
    </xf>
    <xf numFmtId="0" fontId="4" fillId="2" borderId="4" xfId="9" applyFont="1" applyFill="1" applyBorder="1" applyAlignment="1" applyProtection="1">
      <alignment vertical="top" wrapText="1"/>
      <protection hidden="1"/>
    </xf>
    <xf numFmtId="0" fontId="4" fillId="0" borderId="28" xfId="0" applyFont="1" applyBorder="1" applyProtection="1">
      <protection hidden="1"/>
    </xf>
    <xf numFmtId="0" fontId="4" fillId="0" borderId="4" xfId="9" applyFont="1" applyBorder="1" applyAlignment="1" applyProtection="1">
      <alignment horizontal="left" vertical="center" wrapText="1"/>
      <protection hidden="1"/>
    </xf>
    <xf numFmtId="0" fontId="4" fillId="0" borderId="53" xfId="9" applyFont="1" applyBorder="1" applyAlignment="1" applyProtection="1">
      <alignment horizontal="left" vertical="center" wrapText="1"/>
      <protection hidden="1"/>
    </xf>
    <xf numFmtId="0" fontId="5" fillId="12" borderId="33" xfId="2" applyFont="1" applyFill="1" applyBorder="1" applyAlignment="1" applyProtection="1">
      <alignment vertical="top" wrapText="1"/>
      <protection hidden="1"/>
    </xf>
    <xf numFmtId="0" fontId="5" fillId="12" borderId="33" xfId="2" applyFont="1" applyFill="1" applyBorder="1" applyAlignment="1" applyProtection="1">
      <alignment horizontal="left" vertical="top" wrapText="1"/>
      <protection hidden="1"/>
    </xf>
    <xf numFmtId="0" fontId="4" fillId="0" borderId="3" xfId="9" applyFont="1" applyBorder="1" applyAlignment="1" applyProtection="1">
      <alignment vertical="top" wrapText="1"/>
      <protection hidden="1"/>
    </xf>
    <xf numFmtId="0" fontId="4" fillId="2" borderId="3" xfId="9" applyFont="1" applyFill="1" applyBorder="1" applyAlignment="1" applyProtection="1">
      <alignment vertical="top" wrapText="1"/>
      <protection hidden="1"/>
    </xf>
    <xf numFmtId="0" fontId="18" fillId="12" borderId="0" xfId="8" applyFont="1" applyFill="1" applyAlignment="1" applyProtection="1">
      <alignment horizontal="left" vertical="top" wrapText="1"/>
      <protection hidden="1"/>
    </xf>
    <xf numFmtId="0" fontId="8" fillId="0" borderId="65" xfId="9" applyFont="1" applyBorder="1" applyAlignment="1" applyProtection="1">
      <alignment horizontal="left" vertical="top" wrapText="1"/>
      <protection hidden="1"/>
    </xf>
    <xf numFmtId="0" fontId="18" fillId="12" borderId="43" xfId="8" applyFont="1" applyFill="1" applyBorder="1" applyAlignment="1" applyProtection="1">
      <alignment horizontal="left" vertical="top" wrapText="1"/>
      <protection hidden="1"/>
    </xf>
    <xf numFmtId="0" fontId="18" fillId="12" borderId="44" xfId="8" applyFont="1" applyFill="1" applyBorder="1" applyAlignment="1" applyProtection="1">
      <alignment horizontal="left" vertical="top" wrapText="1"/>
      <protection hidden="1"/>
    </xf>
    <xf numFmtId="0" fontId="8" fillId="2" borderId="66" xfId="9" applyFont="1" applyFill="1" applyBorder="1" applyAlignment="1" applyProtection="1">
      <alignment horizontal="left" vertical="top" wrapText="1"/>
      <protection hidden="1"/>
    </xf>
    <xf numFmtId="0" fontId="8" fillId="0" borderId="3" xfId="9" applyFont="1" applyBorder="1" applyAlignment="1" applyProtection="1">
      <alignment horizontal="left" vertical="top" wrapText="1"/>
      <protection hidden="1"/>
    </xf>
    <xf numFmtId="0" fontId="8" fillId="2" borderId="3" xfId="9" applyFont="1" applyFill="1" applyBorder="1" applyAlignment="1" applyProtection="1">
      <alignment horizontal="left" vertical="top" wrapText="1"/>
      <protection hidden="1"/>
    </xf>
    <xf numFmtId="0" fontId="3" fillId="0" borderId="3" xfId="9" applyFont="1" applyBorder="1" applyAlignment="1" applyProtection="1">
      <alignment horizontal="left" vertical="top" wrapText="1"/>
      <protection hidden="1"/>
    </xf>
    <xf numFmtId="0" fontId="4" fillId="0" borderId="67" xfId="9" applyFont="1" applyBorder="1" applyAlignment="1" applyProtection="1">
      <alignment vertical="center" wrapText="1"/>
      <protection hidden="1"/>
    </xf>
    <xf numFmtId="0" fontId="4" fillId="2" borderId="0" xfId="9" applyFont="1" applyFill="1" applyAlignment="1" applyProtection="1">
      <alignment vertical="center" wrapText="1"/>
      <protection hidden="1"/>
    </xf>
    <xf numFmtId="0" fontId="4" fillId="0" borderId="0" xfId="9" applyFont="1" applyAlignment="1" applyProtection="1">
      <alignment horizontal="left" vertical="top" wrapText="1"/>
      <protection hidden="1"/>
    </xf>
    <xf numFmtId="0" fontId="12" fillId="12" borderId="44" xfId="8" applyFont="1" applyFill="1" applyBorder="1" applyAlignment="1" applyProtection="1">
      <alignment horizontal="left" vertical="center" wrapText="1"/>
      <protection hidden="1"/>
    </xf>
    <xf numFmtId="0" fontId="22" fillId="12" borderId="65" xfId="9" applyFont="1" applyFill="1" applyBorder="1" applyAlignment="1" applyProtection="1">
      <alignment horizontal="left" vertical="center" wrapText="1"/>
      <protection hidden="1"/>
    </xf>
    <xf numFmtId="0" fontId="9" fillId="0" borderId="0" xfId="9" applyFont="1" applyAlignment="1" applyProtection="1">
      <alignment horizontal="left" vertical="center" wrapText="1"/>
      <protection hidden="1"/>
    </xf>
    <xf numFmtId="0" fontId="1" fillId="2" borderId="3" xfId="9" applyFill="1" applyBorder="1" applyAlignment="1" applyProtection="1">
      <alignment horizontal="left" vertical="center" wrapText="1"/>
      <protection hidden="1"/>
    </xf>
    <xf numFmtId="0" fontId="23" fillId="0" borderId="68" xfId="9" applyFont="1" applyBorder="1" applyAlignment="1" applyProtection="1">
      <alignment horizontal="left" vertical="center" wrapText="1"/>
      <protection hidden="1"/>
    </xf>
    <xf numFmtId="0" fontId="1" fillId="0" borderId="3" xfId="9" applyBorder="1" applyAlignment="1" applyProtection="1">
      <alignment horizontal="left" vertical="center" wrapText="1"/>
      <protection hidden="1"/>
    </xf>
    <xf numFmtId="0" fontId="1" fillId="0" borderId="0" xfId="9" applyAlignment="1" applyProtection="1">
      <alignment horizontal="left" vertical="center" wrapText="1"/>
      <protection hidden="1"/>
    </xf>
    <xf numFmtId="0" fontId="0" fillId="0" borderId="3" xfId="9" applyFont="1" applyBorder="1" applyAlignment="1" applyProtection="1">
      <alignment horizontal="left" vertical="center" wrapText="1"/>
      <protection hidden="1"/>
    </xf>
    <xf numFmtId="0" fontId="23" fillId="0" borderId="3" xfId="9" applyFont="1" applyBorder="1" applyAlignment="1" applyProtection="1">
      <alignment vertical="top" wrapText="1"/>
      <protection hidden="1"/>
    </xf>
    <xf numFmtId="0" fontId="1" fillId="0" borderId="0" xfId="9" applyAlignment="1" applyProtection="1">
      <alignment vertical="top" wrapText="1"/>
      <protection hidden="1"/>
    </xf>
    <xf numFmtId="0" fontId="26" fillId="0" borderId="0" xfId="0" applyFont="1" applyAlignment="1" applyProtection="1">
      <alignment vertical="center"/>
      <protection hidden="1"/>
    </xf>
    <xf numFmtId="0" fontId="25" fillId="0" borderId="0" xfId="0" applyFont="1" applyProtection="1">
      <protection hidden="1"/>
    </xf>
    <xf numFmtId="0" fontId="26" fillId="0" borderId="2" xfId="0" applyFont="1" applyBorder="1" applyAlignment="1" applyProtection="1">
      <alignment vertical="center"/>
      <protection hidden="1"/>
    </xf>
    <xf numFmtId="0" fontId="28" fillId="0" borderId="2" xfId="0" applyFont="1" applyBorder="1" applyAlignment="1" applyProtection="1">
      <alignment horizontal="left" vertical="center"/>
      <protection hidden="1"/>
    </xf>
    <xf numFmtId="0" fontId="29" fillId="0" borderId="2" xfId="0" applyFont="1" applyBorder="1" applyAlignment="1" applyProtection="1">
      <alignment vertical="center"/>
      <protection hidden="1"/>
    </xf>
    <xf numFmtId="0" fontId="30" fillId="0" borderId="2" xfId="0" applyFont="1" applyBorder="1" applyAlignment="1" applyProtection="1">
      <alignment horizontal="right" vertical="center"/>
      <protection hidden="1"/>
    </xf>
    <xf numFmtId="0" fontId="31" fillId="0" borderId="0" xfId="0" applyFont="1" applyProtection="1">
      <protection hidden="1"/>
    </xf>
    <xf numFmtId="0" fontId="25" fillId="0" borderId="0" xfId="0" applyFont="1" applyAlignment="1">
      <alignment vertical="top"/>
    </xf>
    <xf numFmtId="14" fontId="32" fillId="0" borderId="8" xfId="0" applyNumberFormat="1" applyFont="1" applyBorder="1" applyAlignment="1">
      <alignment vertical="top"/>
    </xf>
    <xf numFmtId="0" fontId="31" fillId="0" borderId="0" xfId="0" applyFont="1"/>
    <xf numFmtId="0" fontId="33" fillId="0" borderId="8" xfId="0" applyFont="1" applyBorder="1" applyAlignment="1">
      <alignment vertical="top"/>
    </xf>
    <xf numFmtId="3" fontId="32" fillId="0" borderId="0" xfId="0" applyNumberFormat="1" applyFont="1" applyAlignment="1">
      <alignment horizontal="left" vertical="top"/>
    </xf>
    <xf numFmtId="14" fontId="32" fillId="0" borderId="8" xfId="0" applyNumberFormat="1" applyFont="1" applyBorder="1" applyAlignment="1">
      <alignment horizontal="left" vertical="top"/>
    </xf>
    <xf numFmtId="0" fontId="32" fillId="0" borderId="0" xfId="0" applyFont="1" applyAlignment="1">
      <alignment horizontal="center" vertical="top"/>
    </xf>
    <xf numFmtId="174" fontId="32" fillId="0" borderId="0" xfId="0" applyNumberFormat="1" applyFont="1" applyAlignment="1">
      <alignment horizontal="left" vertical="top"/>
    </xf>
    <xf numFmtId="1" fontId="34" fillId="0" borderId="0" xfId="0" applyNumberFormat="1" applyFont="1" applyAlignment="1" applyProtection="1">
      <alignment horizontal="center" vertical="center"/>
      <protection hidden="1"/>
    </xf>
    <xf numFmtId="0" fontId="33" fillId="0" borderId="0" xfId="0" applyFont="1" applyAlignment="1" applyProtection="1">
      <alignment horizontal="right"/>
      <protection hidden="1"/>
    </xf>
    <xf numFmtId="0" fontId="36" fillId="0" borderId="0" xfId="0" applyFont="1" applyAlignment="1" applyProtection="1">
      <alignment vertical="top"/>
      <protection hidden="1"/>
    </xf>
    <xf numFmtId="0" fontId="37" fillId="0" borderId="0" xfId="0" applyFont="1" applyAlignment="1" applyProtection="1">
      <alignment vertical="top"/>
      <protection hidden="1"/>
    </xf>
    <xf numFmtId="14" fontId="36" fillId="0" borderId="0" xfId="0" applyNumberFormat="1" applyFont="1" applyAlignment="1" applyProtection="1">
      <alignment vertical="top"/>
      <protection hidden="1"/>
    </xf>
    <xf numFmtId="0" fontId="36" fillId="0" borderId="0" xfId="0" applyFont="1" applyAlignment="1" applyProtection="1">
      <alignment horizontal="center" vertical="top"/>
      <protection hidden="1"/>
    </xf>
    <xf numFmtId="14" fontId="36" fillId="0" borderId="0" xfId="0" applyNumberFormat="1" applyFont="1" applyAlignment="1" applyProtection="1">
      <alignment horizontal="left" vertical="top"/>
      <protection hidden="1"/>
    </xf>
    <xf numFmtId="174" fontId="36" fillId="0" borderId="0" xfId="0" applyNumberFormat="1" applyFont="1" applyAlignment="1" applyProtection="1">
      <alignment horizontal="left" vertical="top"/>
      <protection hidden="1"/>
    </xf>
    <xf numFmtId="0" fontId="32" fillId="0" borderId="0" xfId="0" applyFont="1" applyAlignment="1" applyProtection="1">
      <alignment horizontal="left" vertical="top"/>
      <protection hidden="1"/>
    </xf>
    <xf numFmtId="14" fontId="36" fillId="0" borderId="0" xfId="0" applyNumberFormat="1" applyFont="1" applyProtection="1">
      <protection hidden="1"/>
    </xf>
    <xf numFmtId="0" fontId="39" fillId="0" borderId="0" xfId="0" applyFont="1" applyProtection="1">
      <protection hidden="1"/>
    </xf>
    <xf numFmtId="0" fontId="41" fillId="0" borderId="0" xfId="0" applyFont="1" applyProtection="1">
      <protection hidden="1"/>
    </xf>
    <xf numFmtId="0" fontId="31" fillId="0" borderId="0" xfId="0" applyFont="1" applyAlignment="1" applyProtection="1">
      <alignment horizontal="left" vertical="center"/>
      <protection hidden="1"/>
    </xf>
    <xf numFmtId="0" fontId="42" fillId="0" borderId="0" xfId="0" applyFont="1" applyAlignment="1" applyProtection="1">
      <alignment horizontal="left" vertical="center" indent="2"/>
      <protection hidden="1"/>
    </xf>
    <xf numFmtId="0" fontId="48" fillId="0" borderId="0" xfId="0" applyFont="1" applyAlignment="1" applyProtection="1">
      <alignment horizontal="left" vertical="center"/>
      <protection hidden="1"/>
    </xf>
    <xf numFmtId="0" fontId="46" fillId="0" borderId="0" xfId="0" applyFont="1" applyAlignment="1">
      <alignment horizontal="right"/>
    </xf>
    <xf numFmtId="0" fontId="49" fillId="0" borderId="0" xfId="0" applyFont="1" applyProtection="1">
      <protection hidden="1"/>
    </xf>
    <xf numFmtId="0" fontId="46" fillId="0" borderId="0" xfId="0" applyFont="1" applyProtection="1">
      <protection hidden="1"/>
    </xf>
    <xf numFmtId="0" fontId="28" fillId="0" borderId="0" xfId="0" applyFont="1" applyAlignment="1" applyProtection="1">
      <alignment horizontal="right" vertical="center"/>
      <protection hidden="1"/>
    </xf>
    <xf numFmtId="0" fontId="52" fillId="0" borderId="2" xfId="0" applyFont="1" applyBorder="1" applyAlignment="1" applyProtection="1">
      <alignment horizontal="left"/>
      <protection hidden="1"/>
    </xf>
    <xf numFmtId="0" fontId="54" fillId="0" borderId="0" xfId="0" applyFont="1" applyAlignment="1">
      <alignment horizontal="right" vertical="center"/>
    </xf>
    <xf numFmtId="0" fontId="31" fillId="0" borderId="0" xfId="0" applyFont="1" applyAlignment="1" applyProtection="1">
      <alignment horizontal="right"/>
      <protection hidden="1"/>
    </xf>
    <xf numFmtId="0" fontId="29" fillId="0" borderId="0" xfId="0" applyFont="1" applyAlignment="1" applyProtection="1">
      <alignment vertical="center"/>
      <protection hidden="1"/>
    </xf>
    <xf numFmtId="0" fontId="56" fillId="0" borderId="8" xfId="0" applyFont="1" applyBorder="1" applyAlignment="1" applyProtection="1">
      <alignment horizontal="right"/>
      <protection hidden="1"/>
    </xf>
    <xf numFmtId="0" fontId="52" fillId="0" borderId="8" xfId="0" applyFont="1" applyBorder="1" applyAlignment="1" applyProtection="1">
      <alignment horizontal="left"/>
      <protection hidden="1"/>
    </xf>
    <xf numFmtId="0" fontId="57" fillId="0" borderId="8" xfId="0" applyFont="1" applyBorder="1" applyAlignment="1" applyProtection="1">
      <alignment horizontal="left"/>
      <protection hidden="1"/>
    </xf>
    <xf numFmtId="0" fontId="58" fillId="0" borderId="0" xfId="0" applyFont="1" applyProtection="1">
      <protection hidden="1"/>
    </xf>
    <xf numFmtId="0" fontId="31" fillId="0" borderId="0" xfId="0" applyFont="1" applyAlignment="1">
      <alignment horizontal="right"/>
    </xf>
    <xf numFmtId="0" fontId="31" fillId="0" borderId="0" xfId="0" applyFont="1" applyAlignment="1" applyProtection="1">
      <alignment vertical="center"/>
      <protection hidden="1"/>
    </xf>
    <xf numFmtId="49" fontId="40" fillId="5" borderId="39" xfId="0" applyNumberFormat="1" applyFont="1" applyFill="1" applyBorder="1" applyAlignment="1" applyProtection="1">
      <alignment horizontal="left" vertical="center" wrapText="1"/>
      <protection locked="0"/>
    </xf>
    <xf numFmtId="0" fontId="59" fillId="0" borderId="0" xfId="0" applyFont="1" applyAlignment="1" applyProtection="1">
      <alignment vertical="center" wrapText="1"/>
      <protection hidden="1"/>
    </xf>
    <xf numFmtId="0" fontId="40" fillId="0" borderId="0" xfId="0" applyFont="1" applyAlignment="1" applyProtection="1">
      <alignment vertical="center" wrapText="1"/>
      <protection hidden="1"/>
    </xf>
    <xf numFmtId="0" fontId="31" fillId="0" borderId="0" xfId="0" applyFont="1" applyAlignment="1" applyProtection="1">
      <alignment horizontal="center"/>
      <protection hidden="1"/>
    </xf>
    <xf numFmtId="0" fontId="25" fillId="0" borderId="0" xfId="0" applyFont="1" applyAlignment="1" applyProtection="1">
      <alignment vertical="center"/>
      <protection hidden="1"/>
    </xf>
    <xf numFmtId="0" fontId="25" fillId="0" borderId="0" xfId="0" applyFont="1" applyAlignment="1" applyProtection="1">
      <alignment horizontal="left" vertical="center"/>
      <protection hidden="1"/>
    </xf>
    <xf numFmtId="0" fontId="31" fillId="0" borderId="0" xfId="0" applyFont="1" applyAlignment="1">
      <alignment horizontal="right" vertical="top"/>
    </xf>
    <xf numFmtId="0" fontId="61" fillId="6" borderId="0" xfId="0" applyFont="1" applyFill="1" applyAlignment="1" applyProtection="1">
      <alignment horizontal="left" vertical="center"/>
      <protection hidden="1"/>
    </xf>
    <xf numFmtId="164" fontId="50" fillId="6" borderId="0" xfId="0" applyNumberFormat="1" applyFont="1" applyFill="1" applyAlignment="1" applyProtection="1">
      <alignment horizontal="right" vertical="center"/>
      <protection hidden="1"/>
    </xf>
    <xf numFmtId="1" fontId="64" fillId="6" borderId="0" xfId="11" applyNumberFormat="1" applyFont="1" applyFill="1" applyAlignment="1" applyProtection="1">
      <alignment horizontal="right" vertical="center"/>
      <protection hidden="1"/>
    </xf>
    <xf numFmtId="175" fontId="64" fillId="0" borderId="44" xfId="11" applyNumberFormat="1" applyFont="1" applyBorder="1" applyAlignment="1" applyProtection="1">
      <alignment horizontal="right" vertical="center"/>
      <protection hidden="1"/>
    </xf>
    <xf numFmtId="175" fontId="64" fillId="0" borderId="45" xfId="11" applyNumberFormat="1" applyFont="1" applyBorder="1" applyAlignment="1" applyProtection="1">
      <alignment horizontal="right" vertical="center"/>
      <protection hidden="1"/>
    </xf>
    <xf numFmtId="1" fontId="64" fillId="6" borderId="0" xfId="11" applyNumberFormat="1" applyFont="1" applyFill="1" applyAlignment="1" applyProtection="1">
      <alignment vertical="center"/>
      <protection hidden="1"/>
    </xf>
    <xf numFmtId="175" fontId="64" fillId="0" borderId="0" xfId="11" applyNumberFormat="1" applyFont="1" applyAlignment="1" applyProtection="1">
      <alignment horizontal="right" vertical="center"/>
      <protection hidden="1"/>
    </xf>
    <xf numFmtId="166" fontId="64" fillId="0" borderId="0" xfId="11" applyNumberFormat="1" applyFont="1" applyAlignment="1" applyProtection="1">
      <alignment vertical="center"/>
      <protection hidden="1"/>
    </xf>
    <xf numFmtId="0" fontId="31" fillId="0" borderId="0" xfId="0" applyFont="1" applyAlignment="1" applyProtection="1">
      <alignment horizontal="right"/>
      <protection locked="0" hidden="1"/>
    </xf>
    <xf numFmtId="0" fontId="42" fillId="0" borderId="0" xfId="0" applyFont="1" applyAlignment="1" applyProtection="1">
      <alignment horizontal="left" vertical="center"/>
      <protection hidden="1"/>
    </xf>
    <xf numFmtId="0" fontId="67" fillId="0" borderId="0" xfId="0" applyFont="1" applyAlignment="1" applyProtection="1">
      <alignment horizontal="right" vertical="center"/>
      <protection hidden="1"/>
    </xf>
    <xf numFmtId="0" fontId="68" fillId="0" borderId="0" xfId="0" applyFont="1" applyAlignment="1" applyProtection="1">
      <alignment vertical="center"/>
      <protection hidden="1"/>
    </xf>
    <xf numFmtId="0" fontId="54" fillId="0" borderId="2" xfId="0" applyFont="1" applyBorder="1" applyAlignment="1">
      <alignment horizontal="right" vertical="center"/>
    </xf>
    <xf numFmtId="0" fontId="70" fillId="0" borderId="0" xfId="0" applyFont="1" applyAlignment="1" applyProtection="1">
      <alignment horizontal="right"/>
      <protection hidden="1"/>
    </xf>
    <xf numFmtId="14" fontId="71" fillId="0" borderId="0" xfId="0" applyNumberFormat="1" applyFont="1" applyProtection="1">
      <protection hidden="1"/>
    </xf>
    <xf numFmtId="0" fontId="54" fillId="0" borderId="0" xfId="0" applyFont="1" applyAlignment="1">
      <alignment vertical="top"/>
    </xf>
    <xf numFmtId="14" fontId="31" fillId="0" borderId="0" xfId="0" applyNumberFormat="1" applyFont="1" applyProtection="1">
      <protection hidden="1"/>
    </xf>
    <xf numFmtId="14" fontId="40" fillId="0" borderId="0" xfId="0" applyNumberFormat="1" applyFont="1" applyProtection="1">
      <protection hidden="1"/>
    </xf>
    <xf numFmtId="0" fontId="70" fillId="0" borderId="0" xfId="0" applyFont="1"/>
    <xf numFmtId="0" fontId="70" fillId="0" borderId="0" xfId="0" applyFont="1" applyAlignment="1">
      <alignment horizontal="right"/>
    </xf>
    <xf numFmtId="0" fontId="31" fillId="0" borderId="0" xfId="0" applyFont="1" applyAlignment="1" applyProtection="1">
      <alignment vertical="top"/>
      <protection hidden="1"/>
    </xf>
    <xf numFmtId="0" fontId="72" fillId="0" borderId="0" xfId="2" applyFont="1" applyProtection="1">
      <protection hidden="1"/>
    </xf>
    <xf numFmtId="0" fontId="73" fillId="0" borderId="0" xfId="2" applyFont="1" applyProtection="1">
      <protection hidden="1"/>
    </xf>
    <xf numFmtId="0" fontId="73" fillId="0" borderId="0" xfId="2" applyFont="1" applyAlignment="1" applyProtection="1">
      <alignment horizontal="center"/>
      <protection hidden="1"/>
    </xf>
    <xf numFmtId="0" fontId="79" fillId="0" borderId="0" xfId="2" applyFont="1" applyAlignment="1" applyProtection="1">
      <alignment horizontal="right"/>
      <protection hidden="1"/>
    </xf>
    <xf numFmtId="0" fontId="83" fillId="0" borderId="0" xfId="2" applyFont="1" applyAlignment="1" applyProtection="1">
      <alignment horizontal="center"/>
      <protection hidden="1"/>
    </xf>
    <xf numFmtId="0" fontId="83" fillId="0" borderId="1" xfId="2" applyFont="1" applyBorder="1" applyAlignment="1" applyProtection="1">
      <alignment horizontal="center"/>
      <protection hidden="1"/>
    </xf>
    <xf numFmtId="0" fontId="73" fillId="0" borderId="0" xfId="2" applyFont="1" applyAlignment="1" applyProtection="1">
      <alignment vertical="top"/>
      <protection hidden="1"/>
    </xf>
    <xf numFmtId="0" fontId="65" fillId="0" borderId="0" xfId="2" applyFont="1" applyProtection="1">
      <protection hidden="1"/>
    </xf>
    <xf numFmtId="0" fontId="73" fillId="0" borderId="0" xfId="2" applyFont="1" applyProtection="1">
      <protection locked="0"/>
    </xf>
    <xf numFmtId="0" fontId="40" fillId="0" borderId="0" xfId="0" applyFont="1"/>
    <xf numFmtId="0" fontId="26" fillId="0" borderId="7" xfId="0" applyFont="1" applyBorder="1" applyAlignment="1" applyProtection="1">
      <alignment vertical="center"/>
      <protection hidden="1"/>
    </xf>
    <xf numFmtId="0" fontId="29" fillId="0" borderId="7" xfId="0" applyFont="1" applyBorder="1" applyAlignment="1" applyProtection="1">
      <alignment vertical="center"/>
      <protection hidden="1"/>
    </xf>
    <xf numFmtId="0" fontId="54" fillId="0" borderId="60" xfId="0" applyFont="1" applyBorder="1" applyAlignment="1">
      <alignment horizontal="right" vertical="center"/>
    </xf>
    <xf numFmtId="0" fontId="40" fillId="0" borderId="0" xfId="0" applyFont="1" applyAlignment="1" applyProtection="1">
      <alignment vertical="center"/>
      <protection hidden="1"/>
    </xf>
    <xf numFmtId="0" fontId="70" fillId="0" borderId="0" xfId="0" applyFont="1" applyProtection="1">
      <protection hidden="1"/>
    </xf>
    <xf numFmtId="0" fontId="86" fillId="0" borderId="0" xfId="0" applyFont="1" applyAlignment="1" applyProtection="1">
      <alignment vertical="center"/>
      <protection hidden="1"/>
    </xf>
    <xf numFmtId="0" fontId="40" fillId="0" borderId="0" xfId="0" applyFont="1" applyAlignment="1">
      <alignment horizontal="left" vertical="top" wrapText="1"/>
    </xf>
    <xf numFmtId="9" fontId="25" fillId="6" borderId="0" xfId="0" quotePrefix="1" applyNumberFormat="1" applyFont="1" applyFill="1" applyAlignment="1" applyProtection="1">
      <alignment horizontal="left" vertical="center" wrapText="1"/>
      <protection locked="0"/>
    </xf>
    <xf numFmtId="14" fontId="25" fillId="0" borderId="71" xfId="0" applyNumberFormat="1" applyFont="1" applyBorder="1" applyAlignment="1" applyProtection="1">
      <alignment horizontal="right" vertical="center"/>
      <protection hidden="1"/>
    </xf>
    <xf numFmtId="14" fontId="25" fillId="0" borderId="0" xfId="0" applyNumberFormat="1" applyFont="1" applyAlignment="1" applyProtection="1">
      <alignment horizontal="right" vertical="center"/>
      <protection hidden="1"/>
    </xf>
    <xf numFmtId="0" fontId="25" fillId="0" borderId="0" xfId="0" applyFont="1" applyAlignment="1">
      <alignment vertical="top" wrapText="1"/>
    </xf>
    <xf numFmtId="0" fontId="25" fillId="0" borderId="0" xfId="0" applyFont="1" applyAlignment="1" applyProtection="1">
      <alignment vertical="top" wrapText="1"/>
      <protection locked="0"/>
    </xf>
    <xf numFmtId="164" fontId="62" fillId="6" borderId="0" xfId="0" applyNumberFormat="1" applyFont="1" applyFill="1" applyAlignment="1" applyProtection="1">
      <alignment horizontal="right" vertical="center"/>
      <protection hidden="1"/>
    </xf>
    <xf numFmtId="4" fontId="25" fillId="0" borderId="72" xfId="0" applyNumberFormat="1" applyFont="1" applyBorder="1" applyAlignment="1" applyProtection="1">
      <alignment horizontal="right" vertical="center"/>
      <protection hidden="1"/>
    </xf>
    <xf numFmtId="4" fontId="64" fillId="0" borderId="70" xfId="11" applyNumberFormat="1" applyFont="1" applyBorder="1" applyAlignment="1" applyProtection="1">
      <alignment horizontal="right" vertical="center"/>
      <protection hidden="1"/>
    </xf>
    <xf numFmtId="4" fontId="64" fillId="0" borderId="0" xfId="11" applyNumberFormat="1" applyFont="1" applyAlignment="1" applyProtection="1">
      <alignment horizontal="right" vertical="center"/>
      <protection hidden="1"/>
    </xf>
    <xf numFmtId="4" fontId="66" fillId="0" borderId="0" xfId="11" applyNumberFormat="1" applyFont="1" applyAlignment="1" applyProtection="1">
      <alignment horizontal="right" vertical="center"/>
      <protection hidden="1"/>
    </xf>
    <xf numFmtId="166" fontId="66" fillId="0" borderId="0" xfId="11" applyNumberFormat="1" applyFont="1" applyAlignment="1" applyProtection="1">
      <alignment vertical="center"/>
      <protection hidden="1"/>
    </xf>
    <xf numFmtId="0" fontId="40" fillId="0" borderId="0" xfId="0" quotePrefix="1" applyFont="1" applyAlignment="1" applyProtection="1">
      <alignment horizontal="left" vertical="center" wrapText="1"/>
      <protection hidden="1"/>
    </xf>
    <xf numFmtId="0" fontId="31" fillId="46" borderId="0" xfId="0" applyFont="1" applyFill="1"/>
    <xf numFmtId="0" fontId="70" fillId="46" borderId="0" xfId="0" applyFont="1" applyFill="1" applyAlignment="1">
      <alignment vertical="top"/>
    </xf>
    <xf numFmtId="0" fontId="39" fillId="0" borderId="0" xfId="0" applyFont="1" applyAlignment="1" applyProtection="1">
      <alignment horizontal="left" vertical="center"/>
      <protection locked="0"/>
    </xf>
    <xf numFmtId="0" fontId="70" fillId="46" borderId="0" xfId="0" applyFont="1" applyFill="1"/>
    <xf numFmtId="0" fontId="31" fillId="11" borderId="0" xfId="0" applyFont="1" applyFill="1" applyProtection="1">
      <protection locked="0"/>
    </xf>
    <xf numFmtId="0" fontId="31" fillId="11" borderId="0" xfId="0" applyFont="1" applyFill="1"/>
    <xf numFmtId="0" fontId="90" fillId="0" borderId="2" xfId="0" applyFont="1" applyBorder="1" applyAlignment="1" applyProtection="1">
      <alignment horizontal="left" vertical="center"/>
      <protection hidden="1"/>
    </xf>
    <xf numFmtId="0" fontId="91" fillId="0" borderId="2" xfId="0" applyFont="1" applyBorder="1" applyProtection="1">
      <protection hidden="1"/>
    </xf>
    <xf numFmtId="0" fontId="39" fillId="0" borderId="2" xfId="0" applyFont="1" applyBorder="1" applyAlignment="1" applyProtection="1">
      <alignment horizontal="right" vertical="center"/>
      <protection hidden="1"/>
    </xf>
    <xf numFmtId="14" fontId="89" fillId="0" borderId="2" xfId="0" applyNumberFormat="1" applyFont="1" applyBorder="1" applyAlignment="1" applyProtection="1">
      <alignment horizontal="left" vertical="center"/>
      <protection hidden="1"/>
    </xf>
    <xf numFmtId="14" fontId="90" fillId="0" borderId="2" xfId="0" applyNumberFormat="1" applyFont="1" applyBorder="1" applyAlignment="1" applyProtection="1">
      <alignment horizontal="left" vertical="center"/>
      <protection hidden="1"/>
    </xf>
    <xf numFmtId="14" fontId="91" fillId="0" borderId="2" xfId="0" applyNumberFormat="1" applyFont="1" applyBorder="1" applyProtection="1">
      <protection hidden="1"/>
    </xf>
    <xf numFmtId="14" fontId="54" fillId="0" borderId="2" xfId="0" applyNumberFormat="1" applyFont="1" applyBorder="1" applyAlignment="1">
      <alignment horizontal="right" vertical="center"/>
    </xf>
    <xf numFmtId="0" fontId="91" fillId="0" borderId="0" xfId="0" applyFont="1" applyProtection="1">
      <protection hidden="1"/>
    </xf>
    <xf numFmtId="0" fontId="93" fillId="0" borderId="0" xfId="0" applyFont="1" applyProtection="1">
      <protection hidden="1"/>
    </xf>
    <xf numFmtId="14" fontId="91" fillId="0" borderId="0" xfId="0" applyNumberFormat="1" applyFont="1" applyProtection="1">
      <protection hidden="1"/>
    </xf>
    <xf numFmtId="14" fontId="93" fillId="0" borderId="0" xfId="0" applyNumberFormat="1" applyFont="1" applyProtection="1">
      <protection hidden="1"/>
    </xf>
    <xf numFmtId="0" fontId="95" fillId="0" borderId="0" xfId="0" applyFont="1" applyAlignment="1" applyProtection="1">
      <alignment vertical="top"/>
      <protection hidden="1"/>
    </xf>
    <xf numFmtId="0" fontId="96" fillId="0" borderId="0" xfId="0" applyFont="1" applyProtection="1">
      <protection hidden="1"/>
    </xf>
    <xf numFmtId="0" fontId="31" fillId="0" borderId="49" xfId="0" applyFont="1" applyBorder="1" applyProtection="1">
      <protection hidden="1"/>
    </xf>
    <xf numFmtId="0" fontId="98" fillId="0" borderId="0" xfId="0" applyFont="1" applyAlignment="1" applyProtection="1">
      <alignment vertical="center"/>
      <protection hidden="1"/>
    </xf>
    <xf numFmtId="0" fontId="65" fillId="44" borderId="49" xfId="0" applyFont="1" applyFill="1" applyBorder="1" applyAlignment="1" applyProtection="1">
      <alignment horizontal="center"/>
      <protection hidden="1"/>
    </xf>
    <xf numFmtId="0" fontId="65" fillId="44" borderId="0" xfId="0" applyFont="1" applyFill="1" applyAlignment="1" applyProtection="1">
      <alignment horizontal="center"/>
      <protection hidden="1"/>
    </xf>
    <xf numFmtId="0" fontId="65" fillId="44" borderId="50" xfId="0" applyFont="1" applyFill="1" applyBorder="1" applyAlignment="1" applyProtection="1">
      <alignment horizontal="center"/>
      <protection hidden="1"/>
    </xf>
    <xf numFmtId="0" fontId="95" fillId="0" borderId="49" xfId="0" applyFont="1" applyBorder="1" applyAlignment="1" applyProtection="1">
      <alignment vertical="top"/>
      <protection hidden="1"/>
    </xf>
    <xf numFmtId="0" fontId="99" fillId="0" borderId="0" xfId="0" applyFont="1" applyAlignment="1" applyProtection="1">
      <alignment vertical="top"/>
      <protection hidden="1"/>
    </xf>
    <xf numFmtId="14" fontId="65" fillId="44" borderId="49" xfId="0" applyNumberFormat="1" applyFont="1" applyFill="1" applyBorder="1" applyAlignment="1" applyProtection="1">
      <alignment horizontal="center"/>
      <protection hidden="1"/>
    </xf>
    <xf numFmtId="14" fontId="65" fillId="44" borderId="0" xfId="0" applyNumberFormat="1" applyFont="1" applyFill="1" applyAlignment="1" applyProtection="1">
      <alignment horizontal="center"/>
      <protection hidden="1"/>
    </xf>
    <xf numFmtId="14" fontId="65" fillId="44" borderId="50" xfId="0" applyNumberFormat="1" applyFont="1" applyFill="1" applyBorder="1" applyAlignment="1" applyProtection="1">
      <alignment horizontal="center"/>
      <protection hidden="1"/>
    </xf>
    <xf numFmtId="173" fontId="65" fillId="0" borderId="51" xfId="0" applyNumberFormat="1" applyFont="1" applyBorder="1" applyAlignment="1" applyProtection="1">
      <alignment horizontal="center"/>
      <protection hidden="1"/>
    </xf>
    <xf numFmtId="14" fontId="65" fillId="0" borderId="51" xfId="0" applyNumberFormat="1" applyFont="1" applyBorder="1" applyAlignment="1" applyProtection="1">
      <alignment horizontal="center"/>
      <protection hidden="1"/>
    </xf>
    <xf numFmtId="0" fontId="100" fillId="0" borderId="0" xfId="0" applyFont="1" applyProtection="1">
      <protection hidden="1"/>
    </xf>
    <xf numFmtId="0" fontId="73" fillId="0" borderId="0" xfId="0" applyFont="1" applyAlignment="1" applyProtection="1">
      <alignment horizontal="right"/>
      <protection hidden="1"/>
    </xf>
    <xf numFmtId="14" fontId="101" fillId="0" borderId="0" xfId="19" applyNumberFormat="1" applyFont="1" applyAlignment="1" applyProtection="1">
      <protection hidden="1"/>
    </xf>
    <xf numFmtId="14" fontId="73" fillId="0" borderId="0" xfId="0" applyNumberFormat="1" applyFont="1" applyAlignment="1" applyProtection="1">
      <alignment horizontal="right"/>
      <protection hidden="1"/>
    </xf>
    <xf numFmtId="0" fontId="28" fillId="0" borderId="0" xfId="0" applyFont="1" applyAlignment="1" applyProtection="1">
      <alignment vertical="center"/>
      <protection hidden="1"/>
    </xf>
    <xf numFmtId="0" fontId="28" fillId="0" borderId="2" xfId="0" applyFont="1" applyBorder="1" applyAlignment="1" applyProtection="1">
      <alignment vertical="center"/>
      <protection hidden="1"/>
    </xf>
    <xf numFmtId="0" fontId="102" fillId="0" borderId="0" xfId="0" applyFont="1" applyAlignment="1" applyProtection="1">
      <alignment vertical="center"/>
      <protection hidden="1"/>
    </xf>
    <xf numFmtId="0" fontId="28" fillId="0" borderId="0" xfId="0" applyFont="1" applyAlignment="1" applyProtection="1">
      <alignment vertical="center"/>
      <protection locked="0" hidden="1"/>
    </xf>
    <xf numFmtId="0" fontId="26" fillId="0" borderId="0" xfId="0" applyFont="1" applyAlignment="1" applyProtection="1">
      <alignment horizontal="center" vertical="center"/>
      <protection hidden="1"/>
    </xf>
    <xf numFmtId="0" fontId="31" fillId="0" borderId="0" xfId="0" applyFont="1" applyAlignment="1">
      <alignment horizontal="center" vertical="center"/>
    </xf>
    <xf numFmtId="0" fontId="38" fillId="0" borderId="0" xfId="1" applyFont="1" applyAlignment="1" applyProtection="1">
      <protection hidden="1"/>
    </xf>
    <xf numFmtId="0" fontId="85" fillId="0" borderId="0" xfId="0" applyFont="1" applyAlignment="1" applyProtection="1">
      <alignment vertical="top" textRotation="90" shrinkToFit="1"/>
      <protection hidden="1"/>
    </xf>
    <xf numFmtId="0" fontId="51" fillId="0" borderId="0" xfId="0" applyFont="1"/>
    <xf numFmtId="0" fontId="85" fillId="0" borderId="0" xfId="0" applyFont="1" applyAlignment="1" applyProtection="1">
      <alignment horizontal="center" vertical="top" textRotation="90" shrinkToFit="1"/>
      <protection hidden="1"/>
    </xf>
    <xf numFmtId="0" fontId="103" fillId="37" borderId="0" xfId="0" applyFont="1" applyFill="1" applyProtection="1">
      <protection hidden="1"/>
    </xf>
    <xf numFmtId="0" fontId="103" fillId="37" borderId="0" xfId="0" applyFont="1" applyFill="1"/>
    <xf numFmtId="0" fontId="70" fillId="37" borderId="0" xfId="0" applyFont="1" applyFill="1"/>
    <xf numFmtId="0" fontId="103" fillId="37" borderId="0" xfId="0" applyFont="1" applyFill="1" applyAlignment="1" applyProtection="1">
      <alignment horizontal="center" vertical="center"/>
      <protection hidden="1"/>
    </xf>
    <xf numFmtId="0" fontId="41" fillId="38" borderId="30" xfId="0" applyFont="1" applyFill="1" applyBorder="1" applyAlignment="1">
      <alignment vertical="top" wrapText="1"/>
    </xf>
    <xf numFmtId="0" fontId="60" fillId="38" borderId="30" xfId="0" applyFont="1" applyFill="1" applyBorder="1" applyAlignment="1">
      <alignment vertical="top" wrapText="1"/>
    </xf>
    <xf numFmtId="0" fontId="31" fillId="0" borderId="0" xfId="0" applyFont="1" applyAlignment="1">
      <alignment vertical="top"/>
    </xf>
    <xf numFmtId="0" fontId="31" fillId="23" borderId="33" xfId="0" applyFont="1" applyFill="1" applyBorder="1" applyAlignment="1" applyProtection="1">
      <alignment horizontal="center" vertical="top"/>
      <protection hidden="1"/>
    </xf>
    <xf numFmtId="0" fontId="31" fillId="23" borderId="33" xfId="0" applyFont="1" applyFill="1" applyBorder="1" applyAlignment="1" applyProtection="1">
      <alignment horizontal="left" vertical="top" wrapText="1"/>
      <protection locked="0"/>
    </xf>
    <xf numFmtId="1" fontId="104" fillId="23" borderId="33" xfId="0" applyNumberFormat="1" applyFont="1" applyFill="1" applyBorder="1" applyAlignment="1" applyProtection="1">
      <alignment horizontal="center" vertical="top" wrapText="1"/>
      <protection locked="0"/>
    </xf>
    <xf numFmtId="1" fontId="30" fillId="23" borderId="33" xfId="0" applyNumberFormat="1" applyFont="1" applyFill="1" applyBorder="1" applyAlignment="1" applyProtection="1">
      <alignment horizontal="center" vertical="top" wrapText="1"/>
      <protection locked="0"/>
    </xf>
    <xf numFmtId="0" fontId="30" fillId="23" borderId="33" xfId="0" applyFont="1" applyFill="1" applyBorder="1" applyAlignment="1" applyProtection="1">
      <alignment horizontal="center" vertical="center" wrapText="1"/>
      <protection locked="0"/>
    </xf>
    <xf numFmtId="0" fontId="88" fillId="23" borderId="33" xfId="0" applyFont="1" applyFill="1" applyBorder="1" applyAlignment="1" applyProtection="1">
      <alignment horizontal="center" vertical="top" wrapText="1"/>
      <protection locked="0"/>
    </xf>
    <xf numFmtId="0" fontId="88" fillId="25" borderId="34" xfId="0" applyFont="1" applyFill="1" applyBorder="1" applyAlignment="1" applyProtection="1">
      <alignment horizontal="center" vertical="center" wrapText="1"/>
      <protection locked="0"/>
    </xf>
    <xf numFmtId="0" fontId="31" fillId="29" borderId="33" xfId="0" applyFont="1" applyFill="1" applyBorder="1" applyAlignment="1" applyProtection="1">
      <alignment horizontal="center" vertical="top"/>
      <protection locked="0"/>
    </xf>
    <xf numFmtId="0" fontId="31" fillId="29" borderId="33" xfId="0" applyFont="1" applyFill="1" applyBorder="1" applyAlignment="1" applyProtection="1">
      <alignment horizontal="left" vertical="top" wrapText="1"/>
      <protection locked="0"/>
    </xf>
    <xf numFmtId="1" fontId="104" fillId="29" borderId="33" xfId="0" applyNumberFormat="1" applyFont="1" applyFill="1" applyBorder="1" applyAlignment="1" applyProtection="1">
      <alignment horizontal="center" vertical="top" wrapText="1"/>
      <protection locked="0"/>
    </xf>
    <xf numFmtId="1" fontId="30" fillId="29" borderId="33" xfId="0" applyNumberFormat="1" applyFont="1" applyFill="1" applyBorder="1" applyAlignment="1" applyProtection="1">
      <alignment horizontal="center" vertical="top" wrapText="1"/>
      <protection locked="0"/>
    </xf>
    <xf numFmtId="0" fontId="30" fillId="29" borderId="33" xfId="0" applyFont="1" applyFill="1" applyBorder="1" applyAlignment="1" applyProtection="1">
      <alignment horizontal="center" vertical="center" wrapText="1"/>
      <protection locked="0"/>
    </xf>
    <xf numFmtId="0" fontId="88" fillId="29" borderId="33" xfId="0" applyFont="1" applyFill="1" applyBorder="1" applyAlignment="1" applyProtection="1">
      <alignment horizontal="center" vertical="top" wrapText="1"/>
      <protection locked="0"/>
    </xf>
    <xf numFmtId="0" fontId="31" fillId="23" borderId="33" xfId="0" applyFont="1" applyFill="1" applyBorder="1" applyAlignment="1" applyProtection="1">
      <alignment horizontal="center" vertical="top"/>
      <protection locked="0"/>
    </xf>
    <xf numFmtId="0" fontId="31" fillId="0" borderId="41" xfId="0" applyFont="1" applyBorder="1" applyAlignment="1">
      <alignment horizontal="right" vertical="top"/>
    </xf>
    <xf numFmtId="2" fontId="31" fillId="0" borderId="42" xfId="0" applyNumberFormat="1" applyFont="1" applyBorder="1" applyAlignment="1">
      <alignment horizontal="center" vertical="top"/>
    </xf>
    <xf numFmtId="2" fontId="31" fillId="0" borderId="0" xfId="0" applyNumberFormat="1" applyFont="1" applyAlignment="1">
      <alignment vertical="top"/>
    </xf>
    <xf numFmtId="0" fontId="31" fillId="0" borderId="0" xfId="0" applyFont="1" applyAlignment="1" applyProtection="1">
      <alignment horizontal="center" vertical="center"/>
      <protection hidden="1"/>
    </xf>
    <xf numFmtId="0" fontId="51" fillId="0" borderId="0" xfId="0" applyFont="1" applyAlignment="1">
      <alignment vertical="top"/>
    </xf>
    <xf numFmtId="0" fontId="103" fillId="39" borderId="0" xfId="0" applyFont="1" applyFill="1" applyAlignment="1" applyProtection="1">
      <alignment vertical="top"/>
      <protection locked="0"/>
    </xf>
    <xf numFmtId="0" fontId="103" fillId="39" borderId="0" xfId="0" applyFont="1" applyFill="1" applyAlignment="1">
      <alignment vertical="top"/>
    </xf>
    <xf numFmtId="0" fontId="70" fillId="39" borderId="0" xfId="0" applyFont="1" applyFill="1" applyAlignment="1">
      <alignment vertical="top"/>
    </xf>
    <xf numFmtId="0" fontId="103" fillId="39" borderId="0" xfId="0" applyFont="1" applyFill="1" applyAlignment="1" applyProtection="1">
      <alignment horizontal="center" vertical="center"/>
      <protection locked="0"/>
    </xf>
    <xf numFmtId="0" fontId="41" fillId="40" borderId="30" xfId="0" applyFont="1" applyFill="1" applyBorder="1" applyAlignment="1">
      <alignment vertical="top"/>
    </xf>
    <xf numFmtId="0" fontId="60" fillId="40" borderId="30" xfId="0" applyFont="1" applyFill="1" applyBorder="1" applyAlignment="1">
      <alignment vertical="top" wrapText="1"/>
    </xf>
    <xf numFmtId="0" fontId="60" fillId="40" borderId="31" xfId="0" applyFont="1" applyFill="1" applyBorder="1" applyAlignment="1">
      <alignment vertical="top"/>
    </xf>
    <xf numFmtId="0" fontId="31" fillId="4" borderId="32" xfId="0" applyFont="1" applyFill="1" applyBorder="1" applyAlignment="1" applyProtection="1">
      <alignment horizontal="center" vertical="top"/>
      <protection locked="0"/>
    </xf>
    <xf numFmtId="0" fontId="31" fillId="4" borderId="33" xfId="0" applyFont="1" applyFill="1" applyBorder="1" applyAlignment="1" applyProtection="1">
      <alignment horizontal="left" vertical="top" wrapText="1"/>
      <protection locked="0"/>
    </xf>
    <xf numFmtId="1" fontId="104" fillId="4" borderId="33" xfId="0" applyNumberFormat="1" applyFont="1" applyFill="1" applyBorder="1" applyAlignment="1" applyProtection="1">
      <alignment horizontal="center" vertical="top" wrapText="1"/>
      <protection locked="0"/>
    </xf>
    <xf numFmtId="1" fontId="30" fillId="4" borderId="33" xfId="0" applyNumberFormat="1" applyFont="1" applyFill="1" applyBorder="1" applyAlignment="1" applyProtection="1">
      <alignment horizontal="center" vertical="top" wrapText="1"/>
      <protection locked="0"/>
    </xf>
    <xf numFmtId="0" fontId="30" fillId="4" borderId="33" xfId="0" applyFont="1" applyFill="1" applyBorder="1" applyAlignment="1" applyProtection="1">
      <alignment horizontal="center" vertical="center" wrapText="1"/>
      <protection locked="0"/>
    </xf>
    <xf numFmtId="0" fontId="88" fillId="4" borderId="34" xfId="0" applyFont="1" applyFill="1" applyBorder="1" applyAlignment="1" applyProtection="1">
      <alignment horizontal="center" vertical="top" wrapText="1"/>
      <protection locked="0"/>
    </xf>
    <xf numFmtId="0" fontId="31" fillId="4" borderId="33" xfId="0" applyFont="1" applyFill="1" applyBorder="1" applyAlignment="1" applyProtection="1">
      <alignment horizontal="center" vertical="center"/>
      <protection locked="0"/>
    </xf>
    <xf numFmtId="0" fontId="31" fillId="10" borderId="32" xfId="0" applyFont="1" applyFill="1" applyBorder="1" applyAlignment="1" applyProtection="1">
      <alignment horizontal="center" vertical="top"/>
      <protection locked="0"/>
    </xf>
    <xf numFmtId="0" fontId="31" fillId="10" borderId="33" xfId="0" applyFont="1" applyFill="1" applyBorder="1" applyAlignment="1" applyProtection="1">
      <alignment horizontal="left" vertical="top" wrapText="1"/>
      <protection locked="0"/>
    </xf>
    <xf numFmtId="1" fontId="104" fillId="10" borderId="33" xfId="0" applyNumberFormat="1" applyFont="1" applyFill="1" applyBorder="1" applyAlignment="1" applyProtection="1">
      <alignment horizontal="center" vertical="top" wrapText="1"/>
      <protection locked="0"/>
    </xf>
    <xf numFmtId="1" fontId="30" fillId="10" borderId="33" xfId="0" applyNumberFormat="1" applyFont="1" applyFill="1" applyBorder="1" applyAlignment="1" applyProtection="1">
      <alignment horizontal="center" vertical="top" wrapText="1"/>
      <protection locked="0"/>
    </xf>
    <xf numFmtId="0" fontId="30" fillId="10" borderId="33" xfId="0" applyFont="1" applyFill="1" applyBorder="1" applyAlignment="1" applyProtection="1">
      <alignment horizontal="center" vertical="center" wrapText="1"/>
      <protection locked="0"/>
    </xf>
    <xf numFmtId="0" fontId="88" fillId="10" borderId="34" xfId="0" applyFont="1" applyFill="1" applyBorder="1" applyAlignment="1" applyProtection="1">
      <alignment horizontal="center" vertical="top" wrapText="1"/>
      <protection locked="0"/>
    </xf>
    <xf numFmtId="0" fontId="31" fillId="10" borderId="33" xfId="0" applyFont="1" applyFill="1" applyBorder="1" applyAlignment="1" applyProtection="1">
      <alignment horizontal="center" vertical="center"/>
      <protection locked="0"/>
    </xf>
    <xf numFmtId="0" fontId="31" fillId="10" borderId="35" xfId="0" applyFont="1" applyFill="1" applyBorder="1" applyAlignment="1" applyProtection="1">
      <alignment horizontal="center" vertical="top"/>
      <protection locked="0"/>
    </xf>
    <xf numFmtId="0" fontId="31" fillId="10" borderId="36" xfId="0" applyFont="1" applyFill="1" applyBorder="1" applyAlignment="1" applyProtection="1">
      <alignment horizontal="left" vertical="top" wrapText="1"/>
      <protection locked="0"/>
    </xf>
    <xf numFmtId="1" fontId="104" fillId="10" borderId="36" xfId="0" applyNumberFormat="1" applyFont="1" applyFill="1" applyBorder="1" applyAlignment="1" applyProtection="1">
      <alignment horizontal="center" vertical="top" wrapText="1"/>
      <protection locked="0"/>
    </xf>
    <xf numFmtId="1" fontId="30" fillId="10" borderId="36" xfId="0" applyNumberFormat="1" applyFont="1" applyFill="1" applyBorder="1" applyAlignment="1" applyProtection="1">
      <alignment horizontal="center" vertical="top" wrapText="1"/>
      <protection locked="0"/>
    </xf>
    <xf numFmtId="0" fontId="30" fillId="10" borderId="36" xfId="0" applyFont="1" applyFill="1" applyBorder="1" applyAlignment="1" applyProtection="1">
      <alignment horizontal="center" vertical="center" wrapText="1"/>
      <protection locked="0"/>
    </xf>
    <xf numFmtId="0" fontId="88" fillId="10" borderId="37" xfId="0" applyFont="1" applyFill="1" applyBorder="1" applyAlignment="1" applyProtection="1">
      <alignment horizontal="center" vertical="top" wrapText="1"/>
      <protection locked="0"/>
    </xf>
    <xf numFmtId="0" fontId="31" fillId="10" borderId="36" xfId="0" applyFont="1" applyFill="1" applyBorder="1" applyAlignment="1" applyProtection="1">
      <alignment horizontal="center" vertical="center"/>
      <protection locked="0"/>
    </xf>
    <xf numFmtId="0" fontId="103" fillId="41" borderId="0" xfId="0" applyFont="1" applyFill="1" applyAlignment="1" applyProtection="1">
      <alignment vertical="top"/>
      <protection locked="0"/>
    </xf>
    <xf numFmtId="0" fontId="103" fillId="41" borderId="0" xfId="0" applyFont="1" applyFill="1" applyAlignment="1">
      <alignment vertical="top"/>
    </xf>
    <xf numFmtId="0" fontId="70" fillId="41" borderId="0" xfId="0" applyFont="1" applyFill="1" applyAlignment="1">
      <alignment vertical="top"/>
    </xf>
    <xf numFmtId="0" fontId="103" fillId="41" borderId="0" xfId="0" applyFont="1" applyFill="1" applyAlignment="1" applyProtection="1">
      <alignment horizontal="center" vertical="center"/>
      <protection locked="0"/>
    </xf>
    <xf numFmtId="0" fontId="41" fillId="34" borderId="30" xfId="0" applyFont="1" applyFill="1" applyBorder="1" applyAlignment="1">
      <alignment vertical="top" wrapText="1"/>
    </xf>
    <xf numFmtId="0" fontId="60" fillId="34" borderId="30" xfId="0" applyFont="1" applyFill="1" applyBorder="1" applyAlignment="1">
      <alignment vertical="top" wrapText="1"/>
    </xf>
    <xf numFmtId="0" fontId="60" fillId="34" borderId="31" xfId="0" applyFont="1" applyFill="1" applyBorder="1" applyAlignment="1">
      <alignment vertical="top" wrapText="1"/>
    </xf>
    <xf numFmtId="0" fontId="31" fillId="7" borderId="32" xfId="0" applyFont="1" applyFill="1" applyBorder="1" applyAlignment="1" applyProtection="1">
      <alignment horizontal="center" vertical="top"/>
      <protection locked="0"/>
    </xf>
    <xf numFmtId="0" fontId="31" fillId="7" borderId="33" xfId="0" applyFont="1" applyFill="1" applyBorder="1" applyAlignment="1" applyProtection="1">
      <alignment horizontal="left" vertical="top" wrapText="1"/>
      <protection locked="0"/>
    </xf>
    <xf numFmtId="1" fontId="104" fillId="7" borderId="33" xfId="0" applyNumberFormat="1" applyFont="1" applyFill="1" applyBorder="1" applyAlignment="1" applyProtection="1">
      <alignment horizontal="center" vertical="top" wrapText="1"/>
      <protection locked="0"/>
    </xf>
    <xf numFmtId="1" fontId="30" fillId="7" borderId="33" xfId="0" applyNumberFormat="1" applyFont="1" applyFill="1" applyBorder="1" applyAlignment="1" applyProtection="1">
      <alignment horizontal="center" vertical="top" wrapText="1"/>
      <protection locked="0"/>
    </xf>
    <xf numFmtId="0" fontId="30" fillId="7" borderId="33" xfId="0" applyFont="1" applyFill="1" applyBorder="1" applyAlignment="1" applyProtection="1">
      <alignment horizontal="center" vertical="center" wrapText="1"/>
      <protection locked="0"/>
    </xf>
    <xf numFmtId="0" fontId="88" fillId="7" borderId="34" xfId="0" applyFont="1" applyFill="1" applyBorder="1" applyAlignment="1" applyProtection="1">
      <alignment horizontal="center" vertical="top" wrapText="1"/>
      <protection locked="0"/>
    </xf>
    <xf numFmtId="0" fontId="31" fillId="7" borderId="33" xfId="0" applyFont="1" applyFill="1" applyBorder="1" applyAlignment="1" applyProtection="1">
      <alignment horizontal="center" vertical="center"/>
      <protection locked="0"/>
    </xf>
    <xf numFmtId="0" fontId="31" fillId="18" borderId="32" xfId="0" applyFont="1" applyFill="1" applyBorder="1" applyAlignment="1" applyProtection="1">
      <alignment horizontal="center" vertical="top"/>
      <protection locked="0"/>
    </xf>
    <xf numFmtId="0" fontId="31" fillId="18" borderId="33" xfId="0" applyFont="1" applyFill="1" applyBorder="1" applyAlignment="1" applyProtection="1">
      <alignment horizontal="left" vertical="top" wrapText="1"/>
      <protection locked="0"/>
    </xf>
    <xf numFmtId="1" fontId="104" fillId="18" borderId="33" xfId="0" applyNumberFormat="1" applyFont="1" applyFill="1" applyBorder="1" applyAlignment="1" applyProtection="1">
      <alignment horizontal="center" vertical="top" wrapText="1"/>
      <protection locked="0"/>
    </xf>
    <xf numFmtId="1" fontId="30" fillId="18" borderId="33" xfId="0" applyNumberFormat="1" applyFont="1" applyFill="1" applyBorder="1" applyAlignment="1" applyProtection="1">
      <alignment horizontal="center" vertical="top" wrapText="1"/>
      <protection locked="0"/>
    </xf>
    <xf numFmtId="0" fontId="30" fillId="18" borderId="33" xfId="0" applyFont="1" applyFill="1" applyBorder="1" applyAlignment="1" applyProtection="1">
      <alignment horizontal="center" vertical="center" wrapText="1"/>
      <protection locked="0"/>
    </xf>
    <xf numFmtId="0" fontId="88" fillId="18" borderId="34" xfId="0" applyFont="1" applyFill="1" applyBorder="1" applyAlignment="1" applyProtection="1">
      <alignment horizontal="center" vertical="top" wrapText="1"/>
      <protection locked="0"/>
    </xf>
    <xf numFmtId="0" fontId="31" fillId="18" borderId="33" xfId="0" applyFont="1" applyFill="1" applyBorder="1" applyAlignment="1" applyProtection="1">
      <alignment horizontal="center" vertical="center"/>
      <protection locked="0"/>
    </xf>
    <xf numFmtId="0" fontId="31" fillId="18" borderId="35" xfId="0" applyFont="1" applyFill="1" applyBorder="1" applyAlignment="1" applyProtection="1">
      <alignment horizontal="center" vertical="top"/>
      <protection locked="0"/>
    </xf>
    <xf numFmtId="0" fontId="31" fillId="18" borderId="36" xfId="0" applyFont="1" applyFill="1" applyBorder="1" applyAlignment="1" applyProtection="1">
      <alignment horizontal="left" vertical="top" wrapText="1"/>
      <protection locked="0"/>
    </xf>
    <xf numFmtId="1" fontId="104" fillId="18" borderId="36" xfId="0" applyNumberFormat="1" applyFont="1" applyFill="1" applyBorder="1" applyAlignment="1" applyProtection="1">
      <alignment horizontal="center" vertical="top" wrapText="1"/>
      <protection locked="0"/>
    </xf>
    <xf numFmtId="1" fontId="30" fillId="18" borderId="36" xfId="0" applyNumberFormat="1" applyFont="1" applyFill="1" applyBorder="1" applyAlignment="1" applyProtection="1">
      <alignment horizontal="center" vertical="top" wrapText="1"/>
      <protection locked="0"/>
    </xf>
    <xf numFmtId="0" fontId="30" fillId="18" borderId="36" xfId="0" applyFont="1" applyFill="1" applyBorder="1" applyAlignment="1" applyProtection="1">
      <alignment horizontal="center" vertical="center" wrapText="1"/>
      <protection locked="0"/>
    </xf>
    <xf numFmtId="0" fontId="88" fillId="18" borderId="37" xfId="0" applyFont="1" applyFill="1" applyBorder="1" applyAlignment="1" applyProtection="1">
      <alignment horizontal="center" vertical="top" wrapText="1"/>
      <protection locked="0"/>
    </xf>
    <xf numFmtId="0" fontId="31" fillId="18" borderId="36" xfId="0" applyFont="1" applyFill="1" applyBorder="1" applyAlignment="1" applyProtection="1">
      <alignment horizontal="center" vertical="center"/>
      <protection locked="0"/>
    </xf>
    <xf numFmtId="0" fontId="103" fillId="42" borderId="0" xfId="0" applyFont="1" applyFill="1" applyAlignment="1" applyProtection="1">
      <alignment vertical="top"/>
      <protection locked="0"/>
    </xf>
    <xf numFmtId="0" fontId="103" fillId="42" borderId="0" xfId="0" applyFont="1" applyFill="1" applyAlignment="1">
      <alignment vertical="top"/>
    </xf>
    <xf numFmtId="0" fontId="70" fillId="42" borderId="0" xfId="0" applyFont="1" applyFill="1" applyAlignment="1">
      <alignment vertical="top"/>
    </xf>
    <xf numFmtId="0" fontId="103" fillId="42" borderId="0" xfId="0" applyFont="1" applyFill="1" applyAlignment="1" applyProtection="1">
      <alignment horizontal="center" vertical="center"/>
      <protection locked="0"/>
    </xf>
    <xf numFmtId="0" fontId="41" fillId="31" borderId="30" xfId="0" applyFont="1" applyFill="1" applyBorder="1" applyAlignment="1">
      <alignment vertical="top" wrapText="1"/>
    </xf>
    <xf numFmtId="0" fontId="60" fillId="31" borderId="30" xfId="0" applyFont="1" applyFill="1" applyBorder="1" applyAlignment="1">
      <alignment vertical="top" wrapText="1"/>
    </xf>
    <xf numFmtId="0" fontId="60" fillId="31" borderId="31" xfId="0" applyFont="1" applyFill="1" applyBorder="1" applyAlignment="1">
      <alignment vertical="top" wrapText="1"/>
    </xf>
    <xf numFmtId="0" fontId="31" fillId="0" borderId="0" xfId="0" applyFont="1" applyAlignment="1">
      <alignment wrapText="1"/>
    </xf>
    <xf numFmtId="0" fontId="31" fillId="3" borderId="32" xfId="0" applyFont="1" applyFill="1" applyBorder="1" applyAlignment="1" applyProtection="1">
      <alignment horizontal="center" vertical="top"/>
      <protection locked="0"/>
    </xf>
    <xf numFmtId="0" fontId="31" fillId="3" borderId="33" xfId="0" applyFont="1" applyFill="1" applyBorder="1" applyAlignment="1" applyProtection="1">
      <alignment horizontal="left" vertical="top" wrapText="1"/>
      <protection locked="0"/>
    </xf>
    <xf numFmtId="1" fontId="104" fillId="3" borderId="33" xfId="0" applyNumberFormat="1" applyFont="1" applyFill="1" applyBorder="1" applyAlignment="1" applyProtection="1">
      <alignment horizontal="center" vertical="top" wrapText="1"/>
      <protection locked="0"/>
    </xf>
    <xf numFmtId="1" fontId="30" fillId="3" borderId="33" xfId="0" applyNumberFormat="1" applyFont="1" applyFill="1" applyBorder="1" applyAlignment="1" applyProtection="1">
      <alignment horizontal="center" vertical="top" wrapText="1"/>
      <protection locked="0"/>
    </xf>
    <xf numFmtId="0" fontId="30" fillId="3" borderId="33" xfId="0" applyFont="1" applyFill="1" applyBorder="1" applyAlignment="1" applyProtection="1">
      <alignment horizontal="center" vertical="center" wrapText="1"/>
      <protection locked="0"/>
    </xf>
    <xf numFmtId="0" fontId="88" fillId="3" borderId="34" xfId="0" applyFont="1" applyFill="1" applyBorder="1" applyAlignment="1" applyProtection="1">
      <alignment horizontal="center" vertical="top" wrapText="1"/>
      <protection locked="0"/>
    </xf>
    <xf numFmtId="0" fontId="31" fillId="3" borderId="33" xfId="0" applyFont="1" applyFill="1" applyBorder="1" applyAlignment="1" applyProtection="1">
      <alignment horizontal="center" vertical="center"/>
      <protection locked="0"/>
    </xf>
    <xf numFmtId="0" fontId="31" fillId="9" borderId="32" xfId="0" applyFont="1" applyFill="1" applyBorder="1" applyAlignment="1" applyProtection="1">
      <alignment horizontal="center" vertical="top"/>
      <protection locked="0"/>
    </xf>
    <xf numFmtId="0" fontId="31" fillId="9" borderId="33" xfId="0" applyFont="1" applyFill="1" applyBorder="1" applyAlignment="1" applyProtection="1">
      <alignment horizontal="left" vertical="top" wrapText="1"/>
      <protection locked="0"/>
    </xf>
    <xf numFmtId="1" fontId="104" fillId="9" borderId="33" xfId="0" applyNumberFormat="1" applyFont="1" applyFill="1" applyBorder="1" applyAlignment="1" applyProtection="1">
      <alignment horizontal="center" vertical="top" wrapText="1"/>
      <protection locked="0"/>
    </xf>
    <xf numFmtId="1" fontId="30" fillId="9" borderId="33" xfId="0" applyNumberFormat="1" applyFont="1" applyFill="1" applyBorder="1" applyAlignment="1" applyProtection="1">
      <alignment horizontal="center" vertical="top" wrapText="1"/>
      <protection locked="0"/>
    </xf>
    <xf numFmtId="0" fontId="30" fillId="9" borderId="33" xfId="0" applyFont="1" applyFill="1" applyBorder="1" applyAlignment="1" applyProtection="1">
      <alignment horizontal="center" vertical="center" wrapText="1"/>
      <protection locked="0"/>
    </xf>
    <xf numFmtId="0" fontId="88" fillId="9" borderId="34" xfId="0" applyFont="1" applyFill="1" applyBorder="1" applyAlignment="1" applyProtection="1">
      <alignment horizontal="center" vertical="top" wrapText="1"/>
      <protection locked="0"/>
    </xf>
    <xf numFmtId="0" fontId="31" fillId="9" borderId="33" xfId="0" applyFont="1" applyFill="1" applyBorder="1" applyAlignment="1" applyProtection="1">
      <alignment horizontal="center" vertical="center"/>
      <protection locked="0"/>
    </xf>
    <xf numFmtId="0" fontId="31" fillId="9" borderId="35" xfId="0" applyFont="1" applyFill="1" applyBorder="1" applyAlignment="1" applyProtection="1">
      <alignment horizontal="center" vertical="top"/>
      <protection locked="0"/>
    </xf>
    <xf numFmtId="0" fontId="31" fillId="9" borderId="36" xfId="0" applyFont="1" applyFill="1" applyBorder="1" applyAlignment="1" applyProtection="1">
      <alignment horizontal="left" vertical="top" wrapText="1"/>
      <protection locked="0"/>
    </xf>
    <xf numFmtId="1" fontId="104" fillId="9" borderId="36" xfId="0" applyNumberFormat="1" applyFont="1" applyFill="1" applyBorder="1" applyAlignment="1" applyProtection="1">
      <alignment horizontal="center" vertical="top" wrapText="1"/>
      <protection locked="0"/>
    </xf>
    <xf numFmtId="1" fontId="30" fillId="9" borderId="36" xfId="0" applyNumberFormat="1" applyFont="1" applyFill="1" applyBorder="1" applyAlignment="1" applyProtection="1">
      <alignment horizontal="center" vertical="top" wrapText="1"/>
      <protection locked="0"/>
    </xf>
    <xf numFmtId="0" fontId="30" fillId="9" borderId="36" xfId="0" applyFont="1" applyFill="1" applyBorder="1" applyAlignment="1" applyProtection="1">
      <alignment horizontal="center" vertical="center" wrapText="1"/>
      <protection locked="0"/>
    </xf>
    <xf numFmtId="0" fontId="88" fillId="9" borderId="37" xfId="0" applyFont="1" applyFill="1" applyBorder="1" applyAlignment="1" applyProtection="1">
      <alignment horizontal="center" vertical="top" wrapText="1"/>
      <protection locked="0"/>
    </xf>
    <xf numFmtId="0" fontId="31" fillId="9" borderId="36" xfId="0" applyFont="1" applyFill="1" applyBorder="1" applyAlignment="1" applyProtection="1">
      <alignment horizontal="center" vertical="center"/>
      <protection locked="0"/>
    </xf>
    <xf numFmtId="0" fontId="103" fillId="43" borderId="0" xfId="0" applyFont="1" applyFill="1" applyAlignment="1" applyProtection="1">
      <alignment vertical="top"/>
      <protection locked="0"/>
    </xf>
    <xf numFmtId="0" fontId="103" fillId="43" borderId="0" xfId="0" applyFont="1" applyFill="1" applyAlignment="1">
      <alignment vertical="top"/>
    </xf>
    <xf numFmtId="0" fontId="70" fillId="43" borderId="0" xfId="0" applyFont="1" applyFill="1" applyAlignment="1">
      <alignment vertical="top"/>
    </xf>
    <xf numFmtId="0" fontId="103" fillId="43" borderId="0" xfId="0" applyFont="1" applyFill="1" applyAlignment="1" applyProtection="1">
      <alignment horizontal="center" vertical="center"/>
      <protection locked="0"/>
    </xf>
    <xf numFmtId="0" fontId="41" fillId="19" borderId="30" xfId="0" applyFont="1" applyFill="1" applyBorder="1" applyAlignment="1">
      <alignment vertical="top" wrapText="1"/>
    </xf>
    <xf numFmtId="0" fontId="60" fillId="19" borderId="30" xfId="0" applyFont="1" applyFill="1" applyBorder="1" applyAlignment="1">
      <alignment vertical="top" wrapText="1"/>
    </xf>
    <xf numFmtId="0" fontId="60" fillId="19" borderId="31" xfId="0" applyFont="1" applyFill="1" applyBorder="1" applyAlignment="1">
      <alignment vertical="top" wrapText="1"/>
    </xf>
    <xf numFmtId="0" fontId="31" fillId="13" borderId="32" xfId="0" applyFont="1" applyFill="1" applyBorder="1" applyAlignment="1" applyProtection="1">
      <alignment horizontal="center" vertical="top"/>
      <protection locked="0"/>
    </xf>
    <xf numFmtId="0" fontId="31" fillId="13" borderId="33" xfId="0" applyFont="1" applyFill="1" applyBorder="1" applyAlignment="1" applyProtection="1">
      <alignment horizontal="left" vertical="top" wrapText="1"/>
      <protection locked="0"/>
    </xf>
    <xf numFmtId="1" fontId="104" fillId="13" borderId="33" xfId="0" applyNumberFormat="1" applyFont="1" applyFill="1" applyBorder="1" applyAlignment="1" applyProtection="1">
      <alignment horizontal="center" vertical="top" wrapText="1"/>
      <protection locked="0"/>
    </xf>
    <xf numFmtId="1" fontId="30" fillId="13" borderId="33" xfId="0" applyNumberFormat="1" applyFont="1" applyFill="1" applyBorder="1" applyAlignment="1" applyProtection="1">
      <alignment horizontal="center" vertical="top" wrapText="1"/>
      <protection locked="0"/>
    </xf>
    <xf numFmtId="0" fontId="30" fillId="13" borderId="33" xfId="0" applyFont="1" applyFill="1" applyBorder="1" applyAlignment="1" applyProtection="1">
      <alignment horizontal="center" vertical="center" wrapText="1"/>
      <protection locked="0"/>
    </xf>
    <xf numFmtId="0" fontId="88" fillId="13" borderId="34" xfId="0" applyFont="1" applyFill="1" applyBorder="1" applyAlignment="1" applyProtection="1">
      <alignment horizontal="center" vertical="top" wrapText="1"/>
      <protection locked="0"/>
    </xf>
    <xf numFmtId="0" fontId="31" fillId="13" borderId="33" xfId="0" applyFont="1" applyFill="1" applyBorder="1" applyAlignment="1" applyProtection="1">
      <alignment horizontal="center" vertical="center"/>
      <protection locked="0"/>
    </xf>
    <xf numFmtId="0" fontId="31" fillId="8" borderId="32" xfId="0" applyFont="1" applyFill="1" applyBorder="1" applyAlignment="1" applyProtection="1">
      <alignment horizontal="center" vertical="top"/>
      <protection locked="0"/>
    </xf>
    <xf numFmtId="0" fontId="31" fillId="8" borderId="33" xfId="0" applyFont="1" applyFill="1" applyBorder="1" applyAlignment="1" applyProtection="1">
      <alignment horizontal="left" vertical="top" wrapText="1"/>
      <protection locked="0"/>
    </xf>
    <xf numFmtId="1" fontId="104" fillId="8" borderId="33" xfId="0" applyNumberFormat="1" applyFont="1" applyFill="1" applyBorder="1" applyAlignment="1" applyProtection="1">
      <alignment horizontal="center" vertical="top" wrapText="1"/>
      <protection locked="0"/>
    </xf>
    <xf numFmtId="1" fontId="30" fillId="8" borderId="33" xfId="0" applyNumberFormat="1" applyFont="1" applyFill="1" applyBorder="1" applyAlignment="1" applyProtection="1">
      <alignment horizontal="center" vertical="top" wrapText="1"/>
      <protection locked="0"/>
    </xf>
    <xf numFmtId="0" fontId="30" fillId="8" borderId="33" xfId="0" applyFont="1" applyFill="1" applyBorder="1" applyAlignment="1" applyProtection="1">
      <alignment horizontal="center" vertical="center" wrapText="1"/>
      <protection locked="0"/>
    </xf>
    <xf numFmtId="0" fontId="88" fillId="8" borderId="34" xfId="0" applyFont="1" applyFill="1" applyBorder="1" applyAlignment="1" applyProtection="1">
      <alignment horizontal="center" vertical="top" wrapText="1"/>
      <protection locked="0"/>
    </xf>
    <xf numFmtId="0" fontId="31" fillId="8" borderId="33" xfId="0" applyFont="1" applyFill="1" applyBorder="1" applyAlignment="1" applyProtection="1">
      <alignment horizontal="center" vertical="center"/>
      <protection locked="0"/>
    </xf>
    <xf numFmtId="0" fontId="31" fillId="8" borderId="35" xfId="0" applyFont="1" applyFill="1" applyBorder="1" applyAlignment="1" applyProtection="1">
      <alignment horizontal="center" vertical="top"/>
      <protection locked="0"/>
    </xf>
    <xf numFmtId="0" fontId="31" fillId="8" borderId="36" xfId="0" applyFont="1" applyFill="1" applyBorder="1" applyAlignment="1" applyProtection="1">
      <alignment horizontal="left" vertical="top" wrapText="1"/>
      <protection locked="0"/>
    </xf>
    <xf numFmtId="1" fontId="104" fillId="8" borderId="36" xfId="0" applyNumberFormat="1" applyFont="1" applyFill="1" applyBorder="1" applyAlignment="1" applyProtection="1">
      <alignment horizontal="center" vertical="top" wrapText="1"/>
      <protection locked="0"/>
    </xf>
    <xf numFmtId="1" fontId="30" fillId="8" borderId="36" xfId="0" applyNumberFormat="1" applyFont="1" applyFill="1" applyBorder="1" applyAlignment="1" applyProtection="1">
      <alignment horizontal="center" vertical="top" wrapText="1"/>
      <protection locked="0"/>
    </xf>
    <xf numFmtId="0" fontId="30" fillId="8" borderId="36" xfId="0" applyFont="1" applyFill="1" applyBorder="1" applyAlignment="1" applyProtection="1">
      <alignment horizontal="center" vertical="center" wrapText="1"/>
      <protection locked="0"/>
    </xf>
    <xf numFmtId="0" fontId="88" fillId="8" borderId="37" xfId="0" applyFont="1" applyFill="1" applyBorder="1" applyAlignment="1" applyProtection="1">
      <alignment horizontal="center" vertical="top" wrapText="1"/>
      <protection locked="0"/>
    </xf>
    <xf numFmtId="0" fontId="31" fillId="8" borderId="36" xfId="0" applyFont="1" applyFill="1" applyBorder="1" applyAlignment="1" applyProtection="1">
      <alignment horizontal="center" vertical="center"/>
      <protection locked="0"/>
    </xf>
    <xf numFmtId="0" fontId="26" fillId="0" borderId="2" xfId="0" applyFont="1" applyBorder="1" applyAlignment="1">
      <alignment vertical="center"/>
    </xf>
    <xf numFmtId="0" fontId="25" fillId="0" borderId="0" xfId="0" applyFont="1"/>
    <xf numFmtId="0" fontId="31" fillId="6" borderId="0" xfId="0" applyFont="1" applyFill="1"/>
    <xf numFmtId="0" fontId="31" fillId="6" borderId="0" xfId="0" applyFont="1" applyFill="1" applyProtection="1">
      <protection hidden="1"/>
    </xf>
    <xf numFmtId="0" fontId="84" fillId="17" borderId="29" xfId="0" applyFont="1" applyFill="1" applyBorder="1" applyAlignment="1">
      <alignment vertical="top" wrapText="1"/>
    </xf>
    <xf numFmtId="0" fontId="84" fillId="17" borderId="30" xfId="0" applyFont="1" applyFill="1" applyBorder="1" applyAlignment="1">
      <alignment vertical="top" wrapText="1"/>
    </xf>
    <xf numFmtId="0" fontId="75" fillId="17" borderId="30" xfId="0" applyFont="1" applyFill="1" applyBorder="1" applyAlignment="1">
      <alignment vertical="top" wrapText="1"/>
    </xf>
    <xf numFmtId="0" fontId="31" fillId="24" borderId="33" xfId="0" applyFont="1" applyFill="1" applyBorder="1" applyAlignment="1" applyProtection="1">
      <alignment horizontal="left" vertical="top" wrapText="1"/>
      <protection locked="0"/>
    </xf>
    <xf numFmtId="1" fontId="104" fillId="0" borderId="33" xfId="0" applyNumberFormat="1" applyFont="1" applyBorder="1" applyAlignment="1" applyProtection="1">
      <alignment horizontal="center" vertical="center" wrapText="1"/>
      <protection locked="0"/>
    </xf>
    <xf numFmtId="0" fontId="31" fillId="25" borderId="33" xfId="0" applyFont="1" applyFill="1" applyBorder="1" applyAlignment="1" applyProtection="1">
      <alignment horizontal="left" vertical="top" wrapText="1"/>
      <protection locked="0"/>
    </xf>
    <xf numFmtId="1" fontId="30" fillId="25" borderId="33" xfId="0" applyNumberFormat="1" applyFont="1" applyFill="1" applyBorder="1" applyAlignment="1" applyProtection="1">
      <alignment horizontal="center" vertical="center" wrapText="1"/>
      <protection locked="0"/>
    </xf>
    <xf numFmtId="1" fontId="109" fillId="0" borderId="33" xfId="0" applyNumberFormat="1" applyFont="1" applyBorder="1" applyAlignment="1" applyProtection="1">
      <alignment horizontal="center" vertical="center" wrapText="1"/>
      <protection hidden="1"/>
    </xf>
    <xf numFmtId="0" fontId="31" fillId="26" borderId="33" xfId="0" applyFont="1" applyFill="1" applyBorder="1" applyAlignment="1" applyProtection="1">
      <alignment horizontal="left" vertical="top" wrapText="1"/>
      <protection locked="0"/>
    </xf>
    <xf numFmtId="1" fontId="30" fillId="26" borderId="33" xfId="0" applyNumberFormat="1" applyFont="1" applyFill="1" applyBorder="1" applyAlignment="1" applyProtection="1">
      <alignment horizontal="center" vertical="center" wrapText="1"/>
      <protection locked="0"/>
    </xf>
    <xf numFmtId="0" fontId="88" fillId="26" borderId="34" xfId="0" applyFont="1" applyFill="1" applyBorder="1" applyAlignment="1" applyProtection="1">
      <alignment horizontal="center" vertical="center" wrapText="1"/>
      <protection locked="0"/>
    </xf>
    <xf numFmtId="0" fontId="31" fillId="5" borderId="33" xfId="0" applyFont="1" applyFill="1" applyBorder="1" applyAlignment="1" applyProtection="1">
      <alignment horizontal="left" vertical="top" wrapText="1"/>
      <protection locked="0"/>
    </xf>
    <xf numFmtId="0" fontId="31" fillId="27" borderId="33" xfId="0" applyFont="1" applyFill="1" applyBorder="1" applyAlignment="1" applyProtection="1">
      <alignment horizontal="left" vertical="top" wrapText="1"/>
      <protection locked="0"/>
    </xf>
    <xf numFmtId="1" fontId="30" fillId="27" borderId="33" xfId="0" applyNumberFormat="1" applyFont="1" applyFill="1" applyBorder="1" applyAlignment="1" applyProtection="1">
      <alignment horizontal="center" vertical="center" wrapText="1"/>
      <protection locked="0"/>
    </xf>
    <xf numFmtId="0" fontId="88" fillId="27" borderId="34" xfId="0" applyFont="1" applyFill="1" applyBorder="1" applyAlignment="1" applyProtection="1">
      <alignment horizontal="center" vertical="center" wrapText="1"/>
      <protection locked="0"/>
    </xf>
    <xf numFmtId="0" fontId="31" fillId="28" borderId="33" xfId="0" applyFont="1" applyFill="1" applyBorder="1" applyAlignment="1" applyProtection="1">
      <alignment horizontal="left" vertical="top" wrapText="1"/>
      <protection locked="0"/>
    </xf>
    <xf numFmtId="1" fontId="30" fillId="29" borderId="33" xfId="0" applyNumberFormat="1" applyFont="1" applyFill="1" applyBorder="1" applyAlignment="1" applyProtection="1">
      <alignment horizontal="center" vertical="center" wrapText="1"/>
      <protection locked="0"/>
    </xf>
    <xf numFmtId="0" fontId="88" fillId="29" borderId="34" xfId="0" applyFont="1" applyFill="1" applyBorder="1" applyAlignment="1" applyProtection="1">
      <alignment horizontal="center" vertical="center" wrapText="1"/>
      <protection locked="0"/>
    </xf>
    <xf numFmtId="1" fontId="30" fillId="9" borderId="33" xfId="0" applyNumberFormat="1" applyFont="1" applyFill="1" applyBorder="1" applyAlignment="1" applyProtection="1">
      <alignment horizontal="center" vertical="center" wrapText="1"/>
      <protection locked="0"/>
    </xf>
    <xf numFmtId="0" fontId="88" fillId="9" borderId="34" xfId="0" applyFont="1" applyFill="1" applyBorder="1" applyAlignment="1" applyProtection="1">
      <alignment horizontal="center" vertical="center" wrapText="1"/>
      <protection locked="0"/>
    </xf>
    <xf numFmtId="0" fontId="31" fillId="30" borderId="33" xfId="0" applyFont="1" applyFill="1" applyBorder="1" applyAlignment="1" applyProtection="1">
      <alignment horizontal="left" vertical="top" wrapText="1"/>
      <protection locked="0"/>
    </xf>
    <xf numFmtId="1" fontId="30" fillId="8" borderId="33" xfId="0" applyNumberFormat="1" applyFont="1" applyFill="1" applyBorder="1" applyAlignment="1" applyProtection="1">
      <alignment horizontal="center" vertical="center" wrapText="1"/>
      <protection locked="0"/>
    </xf>
    <xf numFmtId="0" fontId="88" fillId="8" borderId="34" xfId="0" applyFont="1" applyFill="1" applyBorder="1" applyAlignment="1" applyProtection="1">
      <alignment horizontal="center" vertical="center" wrapText="1"/>
      <protection locked="0"/>
    </xf>
    <xf numFmtId="1" fontId="30" fillId="13" borderId="33" xfId="0" applyNumberFormat="1" applyFont="1" applyFill="1" applyBorder="1" applyAlignment="1" applyProtection="1">
      <alignment horizontal="center" vertical="center" wrapText="1"/>
      <protection locked="0"/>
    </xf>
    <xf numFmtId="0" fontId="88" fillId="13" borderId="34" xfId="0" applyFont="1" applyFill="1" applyBorder="1" applyAlignment="1" applyProtection="1">
      <alignment horizontal="center" vertical="center" wrapText="1"/>
      <protection locked="0"/>
    </xf>
    <xf numFmtId="0" fontId="51" fillId="29" borderId="33" xfId="0" applyFont="1" applyFill="1" applyBorder="1" applyAlignment="1" applyProtection="1">
      <alignment horizontal="left" vertical="top" wrapText="1"/>
      <protection locked="0"/>
    </xf>
    <xf numFmtId="0" fontId="51" fillId="19" borderId="33" xfId="0" applyFont="1" applyFill="1" applyBorder="1" applyAlignment="1" applyProtection="1">
      <alignment horizontal="left" vertical="top" wrapText="1"/>
      <protection locked="0"/>
    </xf>
    <xf numFmtId="1" fontId="30" fillId="19" borderId="33" xfId="0" applyNumberFormat="1" applyFont="1" applyFill="1" applyBorder="1" applyAlignment="1" applyProtection="1">
      <alignment horizontal="center" vertical="center" wrapText="1"/>
      <protection locked="0"/>
    </xf>
    <xf numFmtId="0" fontId="31" fillId="19" borderId="33" xfId="0" applyFont="1" applyFill="1" applyBorder="1" applyAlignment="1" applyProtection="1">
      <alignment horizontal="left" vertical="top" wrapText="1"/>
      <protection locked="0"/>
    </xf>
    <xf numFmtId="0" fontId="88" fillId="19" borderId="34" xfId="0" applyFont="1" applyFill="1" applyBorder="1" applyAlignment="1" applyProtection="1">
      <alignment horizontal="center" vertical="center" wrapText="1"/>
      <protection locked="0"/>
    </xf>
    <xf numFmtId="0" fontId="31" fillId="31" borderId="33" xfId="0" applyFont="1" applyFill="1" applyBorder="1" applyAlignment="1" applyProtection="1">
      <alignment horizontal="left" vertical="top" wrapText="1"/>
      <protection locked="0"/>
    </xf>
    <xf numFmtId="1" fontId="30" fillId="31" borderId="33" xfId="0" applyNumberFormat="1" applyFont="1" applyFill="1" applyBorder="1" applyAlignment="1" applyProtection="1">
      <alignment horizontal="center" vertical="center" wrapText="1"/>
      <protection locked="0"/>
    </xf>
    <xf numFmtId="0" fontId="88" fillId="31" borderId="34" xfId="0" applyFont="1" applyFill="1" applyBorder="1" applyAlignment="1" applyProtection="1">
      <alignment horizontal="center" vertical="center" wrapText="1"/>
      <protection locked="0"/>
    </xf>
    <xf numFmtId="0" fontId="31" fillId="32" borderId="33" xfId="0" applyFont="1" applyFill="1" applyBorder="1" applyAlignment="1" applyProtection="1">
      <alignment horizontal="left" vertical="top" wrapText="1"/>
      <protection locked="0"/>
    </xf>
    <xf numFmtId="0" fontId="31" fillId="33" borderId="33" xfId="0" applyFont="1" applyFill="1" applyBorder="1" applyAlignment="1" applyProtection="1">
      <alignment horizontal="left" vertical="top" wrapText="1"/>
      <protection locked="0"/>
    </xf>
    <xf numFmtId="1" fontId="104" fillId="0" borderId="36" xfId="0" applyNumberFormat="1" applyFont="1" applyBorder="1" applyAlignment="1" applyProtection="1">
      <alignment horizontal="center" vertical="center" wrapText="1"/>
      <protection locked="0"/>
    </xf>
    <xf numFmtId="0" fontId="31" fillId="31" borderId="36" xfId="0" applyFont="1" applyFill="1" applyBorder="1" applyAlignment="1" applyProtection="1">
      <alignment horizontal="left" vertical="top" wrapText="1"/>
      <protection locked="0"/>
    </xf>
    <xf numFmtId="1" fontId="30" fillId="31" borderId="36" xfId="0" applyNumberFormat="1" applyFont="1" applyFill="1" applyBorder="1" applyAlignment="1" applyProtection="1">
      <alignment horizontal="center" vertical="center" wrapText="1"/>
      <protection locked="0"/>
    </xf>
    <xf numFmtId="0" fontId="88" fillId="31" borderId="37" xfId="0" applyFont="1" applyFill="1" applyBorder="1" applyAlignment="1" applyProtection="1">
      <alignment horizontal="center" vertical="center" wrapText="1"/>
      <protection locked="0"/>
    </xf>
    <xf numFmtId="1" fontId="109" fillId="0" borderId="36" xfId="0" applyNumberFormat="1" applyFont="1" applyBorder="1" applyAlignment="1" applyProtection="1">
      <alignment horizontal="center" vertical="center" wrapText="1"/>
      <protection hidden="1"/>
    </xf>
    <xf numFmtId="0" fontId="88" fillId="6" borderId="0" xfId="0" applyFont="1" applyFill="1" applyAlignment="1">
      <alignment horizontal="left" indent="12"/>
    </xf>
    <xf numFmtId="0" fontId="31" fillId="0" borderId="0" xfId="0" applyFont="1" applyProtection="1">
      <protection locked="0" hidden="1"/>
    </xf>
    <xf numFmtId="0" fontId="110" fillId="0" borderId="2" xfId="0" applyFont="1" applyBorder="1" applyAlignment="1" applyProtection="1">
      <alignment vertical="center"/>
      <protection hidden="1"/>
    </xf>
    <xf numFmtId="0" fontId="111" fillId="0" borderId="2" xfId="0" applyFont="1" applyBorder="1" applyAlignment="1" applyProtection="1">
      <alignment horizontal="left" vertical="center"/>
      <protection hidden="1"/>
    </xf>
    <xf numFmtId="0" fontId="112" fillId="0" borderId="2" xfId="0" applyFont="1" applyBorder="1" applyAlignment="1" applyProtection="1">
      <alignment horizontal="left" vertical="center"/>
      <protection hidden="1"/>
    </xf>
    <xf numFmtId="0" fontId="110" fillId="0" borderId="0" xfId="0" applyFont="1" applyAlignment="1" applyProtection="1">
      <alignment vertical="center"/>
      <protection hidden="1"/>
    </xf>
    <xf numFmtId="0" fontId="111" fillId="0" borderId="0" xfId="0" applyFont="1" applyAlignment="1" applyProtection="1">
      <alignment horizontal="left" vertical="center"/>
      <protection hidden="1"/>
    </xf>
    <xf numFmtId="0" fontId="112" fillId="0" borderId="0" xfId="0" applyFont="1" applyAlignment="1" applyProtection="1">
      <alignment horizontal="left" vertical="center"/>
      <protection hidden="1"/>
    </xf>
    <xf numFmtId="0" fontId="113" fillId="0" borderId="0" xfId="0" applyFont="1" applyAlignment="1" applyProtection="1">
      <alignment horizontal="left" vertical="center"/>
      <protection hidden="1"/>
    </xf>
    <xf numFmtId="0" fontId="114" fillId="0" borderId="0" xfId="0" applyFont="1" applyAlignment="1" applyProtection="1">
      <alignment horizontal="left"/>
      <protection hidden="1"/>
    </xf>
    <xf numFmtId="0" fontId="115" fillId="0" borderId="0" xfId="0" applyFont="1" applyAlignment="1">
      <alignment textRotation="90"/>
    </xf>
    <xf numFmtId="0" fontId="55" fillId="0" borderId="0" xfId="0" applyFont="1" applyAlignment="1">
      <alignment textRotation="90"/>
    </xf>
    <xf numFmtId="0" fontId="116" fillId="0" borderId="0" xfId="0" applyFont="1" applyAlignment="1">
      <alignment textRotation="90"/>
    </xf>
    <xf numFmtId="0" fontId="117" fillId="0" borderId="0" xfId="0" applyFont="1" applyAlignment="1">
      <alignment horizontal="center" vertical="center"/>
    </xf>
    <xf numFmtId="0" fontId="55" fillId="0" borderId="0" xfId="0" applyFont="1"/>
    <xf numFmtId="0" fontId="118" fillId="0" borderId="0" xfId="0" applyFont="1" applyAlignment="1" applyProtection="1">
      <alignment horizontal="center"/>
      <protection hidden="1"/>
    </xf>
    <xf numFmtId="0" fontId="119" fillId="0" borderId="0" xfId="0" applyFont="1" applyAlignment="1" applyProtection="1">
      <alignment horizontal="left"/>
      <protection hidden="1"/>
    </xf>
    <xf numFmtId="0" fontId="112" fillId="0" borderId="0" xfId="0" applyFont="1" applyAlignment="1">
      <alignment horizontal="center" vertical="center"/>
    </xf>
    <xf numFmtId="0" fontId="120" fillId="6" borderId="0" xfId="0" applyFont="1" applyFill="1"/>
    <xf numFmtId="0" fontId="115" fillId="0" borderId="0" xfId="0" applyFont="1" applyAlignment="1">
      <alignment horizontal="center" textRotation="90"/>
    </xf>
    <xf numFmtId="0" fontId="121" fillId="0" borderId="0" xfId="0" applyFont="1" applyAlignment="1">
      <alignment horizontal="center" vertical="center"/>
    </xf>
    <xf numFmtId="0" fontId="55" fillId="0" borderId="0" xfId="0" applyFont="1" applyAlignment="1">
      <alignment horizontal="center"/>
    </xf>
    <xf numFmtId="0" fontId="119" fillId="0" borderId="0" xfId="0" applyFont="1" applyAlignment="1" applyProtection="1">
      <alignment horizontal="center"/>
      <protection hidden="1"/>
    </xf>
    <xf numFmtId="0" fontId="116" fillId="0" borderId="0" xfId="0" applyFont="1" applyAlignment="1">
      <alignment horizontal="center" textRotation="90"/>
    </xf>
    <xf numFmtId="0" fontId="122" fillId="0" borderId="0" xfId="0" applyFont="1" applyAlignment="1">
      <alignment horizontal="center" vertical="center"/>
    </xf>
    <xf numFmtId="0" fontId="55" fillId="0" borderId="0" xfId="0" applyFont="1" applyAlignment="1">
      <alignment horizontal="center" textRotation="90"/>
    </xf>
    <xf numFmtId="0" fontId="31" fillId="0" borderId="0" xfId="0" applyFont="1" applyAlignment="1">
      <alignment horizontal="center"/>
    </xf>
    <xf numFmtId="0" fontId="120" fillId="6" borderId="0" xfId="0" applyFont="1" applyFill="1" applyAlignment="1">
      <alignment horizontal="center"/>
    </xf>
    <xf numFmtId="0" fontId="25" fillId="0" borderId="29" xfId="17" applyFont="1" applyFill="1" applyBorder="1" applyAlignment="1">
      <alignment horizontal="left" vertical="top" wrapText="1"/>
    </xf>
    <xf numFmtId="0" fontId="31" fillId="0" borderId="30" xfId="17" applyFont="1" applyFill="1" applyBorder="1" applyAlignment="1" applyProtection="1">
      <alignment horizontal="left" vertical="top" wrapText="1"/>
      <protection locked="0"/>
    </xf>
    <xf numFmtId="1" fontId="123" fillId="0" borderId="31" xfId="17" applyNumberFormat="1" applyFont="1" applyFill="1" applyBorder="1" applyAlignment="1" applyProtection="1">
      <alignment horizontal="center" vertical="center" wrapText="1"/>
      <protection locked="0"/>
    </xf>
    <xf numFmtId="0" fontId="118" fillId="5" borderId="73" xfId="16" applyFont="1" applyFill="1" applyBorder="1" applyAlignment="1" applyProtection="1">
      <alignment horizontal="left" vertical="center" wrapText="1"/>
      <protection hidden="1"/>
    </xf>
    <xf numFmtId="0" fontId="118" fillId="5" borderId="75" xfId="16" applyFont="1" applyFill="1" applyBorder="1" applyAlignment="1" applyProtection="1">
      <alignment horizontal="left" vertical="center" wrapText="1"/>
      <protection hidden="1"/>
    </xf>
    <xf numFmtId="0" fontId="119" fillId="5" borderId="74" xfId="16" applyFont="1" applyFill="1" applyBorder="1" applyAlignment="1" applyProtection="1">
      <alignment horizontal="left" vertical="center" wrapText="1"/>
      <protection hidden="1"/>
    </xf>
    <xf numFmtId="0" fontId="119" fillId="5" borderId="73" xfId="16" applyFont="1" applyFill="1" applyBorder="1" applyAlignment="1" applyProtection="1">
      <alignment horizontal="left" vertical="center" wrapText="1"/>
      <protection hidden="1"/>
    </xf>
    <xf numFmtId="1" fontId="124" fillId="0" borderId="31" xfId="17" applyNumberFormat="1" applyFont="1" applyFill="1" applyBorder="1" applyAlignment="1" applyProtection="1">
      <alignment horizontal="center" vertical="center" wrapText="1"/>
      <protection locked="0"/>
    </xf>
    <xf numFmtId="1" fontId="31" fillId="0" borderId="0" xfId="0" applyNumberFormat="1" applyFont="1"/>
    <xf numFmtId="0" fontId="25" fillId="0" borderId="32" xfId="17" applyFont="1" applyFill="1" applyBorder="1" applyAlignment="1">
      <alignment horizontal="left" vertical="top" wrapText="1"/>
    </xf>
    <xf numFmtId="0" fontId="31" fillId="0" borderId="33" xfId="17" applyFont="1" applyFill="1" applyBorder="1" applyAlignment="1" applyProtection="1">
      <alignment horizontal="left" vertical="top" wrapText="1"/>
      <protection locked="0"/>
    </xf>
    <xf numFmtId="1" fontId="123" fillId="0" borderId="34" xfId="17" applyNumberFormat="1" applyFont="1" applyFill="1" applyBorder="1" applyAlignment="1" applyProtection="1">
      <alignment horizontal="center" vertical="center" wrapText="1"/>
      <protection locked="0"/>
    </xf>
    <xf numFmtId="0" fontId="118" fillId="0" borderId="73" xfId="16" applyFont="1" applyFill="1" applyBorder="1" applyAlignment="1" applyProtection="1">
      <alignment horizontal="left" vertical="center" wrapText="1"/>
      <protection hidden="1"/>
    </xf>
    <xf numFmtId="0" fontId="118" fillId="0" borderId="75" xfId="16" applyFont="1" applyFill="1" applyBorder="1" applyAlignment="1" applyProtection="1">
      <alignment horizontal="left" vertical="center" wrapText="1"/>
      <protection hidden="1"/>
    </xf>
    <xf numFmtId="0" fontId="119" fillId="0" borderId="74" xfId="16" applyFont="1" applyFill="1" applyBorder="1" applyAlignment="1" applyProtection="1">
      <alignment horizontal="left" vertical="center" wrapText="1"/>
      <protection hidden="1"/>
    </xf>
    <xf numFmtId="0" fontId="119" fillId="0" borderId="73" xfId="16" applyFont="1" applyFill="1" applyBorder="1" applyAlignment="1" applyProtection="1">
      <alignment horizontal="left" vertical="center" wrapText="1"/>
      <protection hidden="1"/>
    </xf>
    <xf numFmtId="1" fontId="124" fillId="0" borderId="34" xfId="17" applyNumberFormat="1" applyFont="1" applyFill="1" applyBorder="1" applyAlignment="1" applyProtection="1">
      <alignment horizontal="center" vertical="center" wrapText="1"/>
      <protection locked="0"/>
    </xf>
    <xf numFmtId="0" fontId="125" fillId="0" borderId="0" xfId="0" applyFont="1" applyAlignment="1">
      <alignment horizontal="center" textRotation="90"/>
    </xf>
    <xf numFmtId="0" fontId="126" fillId="0" borderId="0" xfId="0" applyFont="1" applyAlignment="1">
      <alignment horizontal="center"/>
    </xf>
    <xf numFmtId="1" fontId="70" fillId="0" borderId="0" xfId="0" applyNumberFormat="1" applyFont="1" applyAlignment="1">
      <alignment horizontal="center" vertical="top"/>
    </xf>
    <xf numFmtId="0" fontId="127" fillId="0" borderId="0" xfId="0" applyFont="1" applyAlignment="1" applyProtection="1">
      <alignment horizontal="center"/>
      <protection hidden="1"/>
    </xf>
    <xf numFmtId="0" fontId="128" fillId="0" borderId="0" xfId="0" applyFont="1" applyAlignment="1" applyProtection="1">
      <alignment horizontal="left"/>
      <protection hidden="1"/>
    </xf>
    <xf numFmtId="0" fontId="129" fillId="0" borderId="0" xfId="0" applyFont="1" applyAlignment="1">
      <alignment horizontal="center" textRotation="90"/>
    </xf>
    <xf numFmtId="0" fontId="130" fillId="0" borderId="0" xfId="0" applyFont="1" applyAlignment="1">
      <alignment horizontal="center"/>
    </xf>
    <xf numFmtId="0" fontId="127" fillId="5" borderId="73" xfId="16" applyFont="1" applyFill="1" applyBorder="1" applyAlignment="1" applyProtection="1">
      <alignment horizontal="left" vertical="center" wrapText="1"/>
      <protection hidden="1"/>
    </xf>
    <xf numFmtId="0" fontId="127" fillId="5" borderId="75" xfId="16" applyFont="1" applyFill="1" applyBorder="1" applyAlignment="1" applyProtection="1">
      <alignment horizontal="left" vertical="center" wrapText="1"/>
      <protection hidden="1"/>
    </xf>
    <xf numFmtId="0" fontId="128" fillId="5" borderId="74" xfId="16" applyFont="1" applyFill="1" applyBorder="1" applyAlignment="1" applyProtection="1">
      <alignment horizontal="left" vertical="center" wrapText="1"/>
      <protection hidden="1"/>
    </xf>
    <xf numFmtId="0" fontId="128" fillId="5" borderId="73" xfId="16" applyFont="1" applyFill="1" applyBorder="1" applyAlignment="1" applyProtection="1">
      <alignment horizontal="left" vertical="center" wrapText="1"/>
      <protection hidden="1"/>
    </xf>
    <xf numFmtId="1" fontId="131" fillId="0" borderId="34" xfId="17" applyNumberFormat="1" applyFont="1" applyFill="1" applyBorder="1" applyAlignment="1" applyProtection="1">
      <alignment horizontal="center" vertical="center" wrapText="1"/>
      <protection locked="0"/>
    </xf>
    <xf numFmtId="0" fontId="127" fillId="0" borderId="73" xfId="16" applyFont="1" applyFill="1" applyBorder="1" applyAlignment="1" applyProtection="1">
      <alignment horizontal="left" vertical="center" wrapText="1"/>
      <protection hidden="1"/>
    </xf>
    <xf numFmtId="0" fontId="127" fillId="0" borderId="75" xfId="16" applyFont="1" applyFill="1" applyBorder="1" applyAlignment="1" applyProtection="1">
      <alignment horizontal="left" vertical="center" wrapText="1"/>
      <protection hidden="1"/>
    </xf>
    <xf numFmtId="0" fontId="128" fillId="0" borderId="74" xfId="16" applyFont="1" applyFill="1" applyBorder="1" applyAlignment="1" applyProtection="1">
      <alignment horizontal="left" vertical="center" wrapText="1"/>
      <protection hidden="1"/>
    </xf>
    <xf numFmtId="0" fontId="128" fillId="0" borderId="73" xfId="16" applyFont="1" applyFill="1" applyBorder="1" applyAlignment="1" applyProtection="1">
      <alignment horizontal="left" vertical="center" wrapText="1"/>
      <protection hidden="1"/>
    </xf>
    <xf numFmtId="0" fontId="132" fillId="0" borderId="0" xfId="0" applyFont="1" applyAlignment="1">
      <alignment vertical="top"/>
    </xf>
    <xf numFmtId="1" fontId="70" fillId="0" borderId="0" xfId="0" applyNumberFormat="1" applyFont="1"/>
    <xf numFmtId="0" fontId="64" fillId="0" borderId="0" xfId="0" applyFont="1" applyAlignment="1">
      <alignment horizontal="center" vertical="top"/>
    </xf>
    <xf numFmtId="0" fontId="31" fillId="0" borderId="0" xfId="0" applyFont="1" applyAlignment="1">
      <alignment horizontal="center" vertical="top"/>
    </xf>
    <xf numFmtId="0" fontId="86" fillId="0" borderId="0" xfId="0" applyFont="1"/>
    <xf numFmtId="49" fontId="133" fillId="6" borderId="0" xfId="0" applyNumberFormat="1" applyFont="1" applyFill="1" applyAlignment="1" applyProtection="1">
      <alignment horizontal="center" vertical="top"/>
      <protection locked="0"/>
    </xf>
    <xf numFmtId="0" fontId="25" fillId="0" borderId="2" xfId="0" applyFont="1" applyBorder="1" applyProtection="1">
      <protection hidden="1"/>
    </xf>
    <xf numFmtId="0" fontId="52" fillId="0" borderId="2" xfId="0" applyFont="1" applyBorder="1" applyAlignment="1" applyProtection="1">
      <alignment vertical="center"/>
      <protection hidden="1"/>
    </xf>
    <xf numFmtId="0" fontId="26" fillId="0" borderId="0" xfId="0" applyFont="1" applyAlignment="1" applyProtection="1">
      <alignment vertical="top"/>
      <protection hidden="1"/>
    </xf>
    <xf numFmtId="0" fontId="64" fillId="0" borderId="0" xfId="0" applyFont="1" applyAlignment="1">
      <alignment vertical="top"/>
    </xf>
    <xf numFmtId="0" fontId="33" fillId="0" borderId="0" xfId="0" applyFont="1" applyAlignment="1" applyProtection="1">
      <alignment vertical="top"/>
      <protection locked="0" hidden="1"/>
    </xf>
    <xf numFmtId="0" fontId="25" fillId="0" borderId="0" xfId="0" applyFont="1" applyAlignment="1" applyProtection="1">
      <alignment vertical="top"/>
      <protection hidden="1"/>
    </xf>
    <xf numFmtId="0" fontId="33" fillId="6" borderId="0" xfId="0" applyFont="1" applyFill="1" applyAlignment="1">
      <alignment horizontal="center" vertical="center"/>
    </xf>
    <xf numFmtId="0" fontId="107" fillId="36" borderId="29" xfId="0" applyFont="1" applyFill="1" applyBorder="1" applyAlignment="1">
      <alignment horizontal="left" vertical="center"/>
    </xf>
    <xf numFmtId="0" fontId="74" fillId="36" borderId="30" xfId="0" applyFont="1" applyFill="1" applyBorder="1" applyAlignment="1">
      <alignment horizontal="center" vertical="center" textRotation="90"/>
    </xf>
    <xf numFmtId="0" fontId="78" fillId="36" borderId="30" xfId="0" applyFont="1" applyFill="1" applyBorder="1" applyAlignment="1">
      <alignment horizontal="left" vertical="center"/>
    </xf>
    <xf numFmtId="0" fontId="86" fillId="36" borderId="30" xfId="0" applyFont="1" applyFill="1" applyBorder="1" applyAlignment="1">
      <alignment horizontal="center" vertical="center"/>
    </xf>
    <xf numFmtId="0" fontId="78" fillId="36" borderId="31" xfId="0" applyFont="1" applyFill="1" applyBorder="1" applyAlignment="1">
      <alignment horizontal="left" vertical="center"/>
    </xf>
    <xf numFmtId="0" fontId="33" fillId="6" borderId="0" xfId="0" applyFont="1" applyFill="1" applyAlignment="1">
      <alignment horizontal="center" vertical="top"/>
    </xf>
    <xf numFmtId="0" fontId="134" fillId="6" borderId="32" xfId="18" applyFont="1" applyFill="1" applyBorder="1" applyAlignment="1" applyProtection="1">
      <alignment horizontal="left" vertical="top" wrapText="1"/>
    </xf>
    <xf numFmtId="0" fontId="134" fillId="6" borderId="33" xfId="18" applyFont="1" applyFill="1" applyBorder="1" applyAlignment="1" applyProtection="1">
      <alignment horizontal="center" vertical="top" wrapText="1"/>
    </xf>
    <xf numFmtId="0" fontId="134" fillId="6" borderId="33" xfId="18" applyFont="1" applyFill="1" applyBorder="1" applyAlignment="1" applyProtection="1">
      <alignment horizontal="left" vertical="top" wrapText="1"/>
    </xf>
    <xf numFmtId="0" fontId="25" fillId="6" borderId="33" xfId="18" applyFont="1" applyFill="1" applyBorder="1" applyAlignment="1" applyProtection="1">
      <alignment horizontal="center" vertical="top" wrapText="1"/>
    </xf>
    <xf numFmtId="0" fontId="25" fillId="0" borderId="34" xfId="0" applyFont="1" applyBorder="1"/>
    <xf numFmtId="0" fontId="31" fillId="3" borderId="32" xfId="0" applyFont="1" applyFill="1" applyBorder="1" applyAlignment="1" applyProtection="1">
      <alignment horizontal="left" vertical="top" wrapText="1"/>
      <protection locked="0"/>
    </xf>
    <xf numFmtId="0" fontId="51" fillId="18" borderId="33" xfId="0" applyFont="1" applyFill="1" applyBorder="1" applyAlignment="1" applyProtection="1">
      <alignment horizontal="center" vertical="top" wrapText="1"/>
      <protection locked="0"/>
    </xf>
    <xf numFmtId="14" fontId="51" fillId="3" borderId="33" xfId="1" applyNumberFormat="1" applyFont="1" applyFill="1" applyBorder="1" applyAlignment="1" applyProtection="1">
      <alignment horizontal="left" vertical="top" wrapText="1"/>
      <protection locked="0"/>
    </xf>
    <xf numFmtId="0" fontId="25" fillId="6" borderId="33" xfId="0" quotePrefix="1" applyFont="1" applyFill="1" applyBorder="1" applyAlignment="1" applyProtection="1">
      <alignment horizontal="center" vertical="top" wrapText="1"/>
      <protection locked="0"/>
    </xf>
    <xf numFmtId="0" fontId="31" fillId="3" borderId="34" xfId="0" applyFont="1" applyFill="1" applyBorder="1" applyAlignment="1" applyProtection="1">
      <alignment horizontal="left" vertical="top" wrapText="1"/>
      <protection locked="0"/>
    </xf>
    <xf numFmtId="0" fontId="51" fillId="7" borderId="33" xfId="0" applyFont="1" applyFill="1" applyBorder="1" applyAlignment="1" applyProtection="1">
      <alignment horizontal="center" vertical="top" wrapText="1"/>
      <protection locked="0"/>
    </xf>
    <xf numFmtId="0" fontId="25" fillId="6" borderId="0" xfId="0" applyFont="1" applyFill="1" applyAlignment="1">
      <alignment horizontal="center"/>
    </xf>
    <xf numFmtId="0" fontId="25" fillId="0" borderId="0" xfId="0" applyFont="1" applyAlignment="1">
      <alignment horizontal="left"/>
    </xf>
    <xf numFmtId="0" fontId="25" fillId="0" borderId="0" xfId="0" applyFont="1" applyAlignment="1">
      <alignment horizontal="center"/>
    </xf>
    <xf numFmtId="0" fontId="86" fillId="6" borderId="0" xfId="0" applyFont="1" applyFill="1" applyAlignment="1">
      <alignment horizontal="center" vertical="top"/>
    </xf>
    <xf numFmtId="0" fontId="86" fillId="0" borderId="0" xfId="0" applyFont="1" applyAlignment="1">
      <alignment horizontal="left" vertical="top"/>
    </xf>
    <xf numFmtId="0" fontId="25" fillId="6" borderId="0" xfId="0" applyFont="1" applyFill="1" applyAlignment="1">
      <alignment horizontal="center" vertical="top"/>
    </xf>
    <xf numFmtId="0" fontId="25" fillId="0" borderId="0" xfId="0" applyFont="1" applyAlignment="1">
      <alignment horizontal="left" vertical="top"/>
    </xf>
    <xf numFmtId="0" fontId="25" fillId="0" borderId="0" xfId="0" applyFont="1" applyAlignment="1">
      <alignment horizontal="center" vertical="top"/>
    </xf>
    <xf numFmtId="0" fontId="28" fillId="0" borderId="2" xfId="0" applyFont="1" applyBorder="1" applyAlignment="1" applyProtection="1">
      <alignment horizontal="right" vertical="center"/>
      <protection hidden="1"/>
    </xf>
    <xf numFmtId="0" fontId="25" fillId="0" borderId="0" xfId="11" applyFont="1" applyProtection="1">
      <protection hidden="1"/>
    </xf>
    <xf numFmtId="0" fontId="26" fillId="0" borderId="0" xfId="11" applyFont="1" applyAlignment="1" applyProtection="1">
      <alignment vertical="center"/>
      <protection hidden="1"/>
    </xf>
    <xf numFmtId="0" fontId="26" fillId="0" borderId="2" xfId="11" applyFont="1" applyBorder="1" applyAlignment="1" applyProtection="1">
      <alignment vertical="center"/>
      <protection hidden="1"/>
    </xf>
    <xf numFmtId="0" fontId="29" fillId="0" borderId="2" xfId="11" applyFont="1" applyBorder="1" applyAlignment="1" applyProtection="1">
      <alignment vertical="center"/>
      <protection hidden="1"/>
    </xf>
    <xf numFmtId="0" fontId="26" fillId="6" borderId="0" xfId="11" applyFont="1" applyFill="1" applyAlignment="1" applyProtection="1">
      <alignment vertical="center"/>
      <protection hidden="1"/>
    </xf>
    <xf numFmtId="0" fontId="64" fillId="14" borderId="0" xfId="11" applyFont="1" applyFill="1" applyProtection="1">
      <protection hidden="1"/>
    </xf>
    <xf numFmtId="0" fontId="64" fillId="0" borderId="0" xfId="11" applyFont="1" applyProtection="1">
      <protection hidden="1"/>
    </xf>
    <xf numFmtId="0" fontId="64" fillId="14" borderId="0" xfId="11" applyFont="1" applyFill="1" applyAlignment="1" applyProtection="1">
      <alignment horizontal="left"/>
      <protection hidden="1"/>
    </xf>
    <xf numFmtId="0" fontId="64" fillId="6" borderId="0" xfId="11" applyFont="1" applyFill="1" applyProtection="1">
      <protection hidden="1"/>
    </xf>
    <xf numFmtId="0" fontId="38" fillId="0" borderId="0" xfId="1" applyNumberFormat="1" applyFont="1" applyBorder="1" applyAlignment="1" applyProtection="1">
      <protection hidden="1"/>
    </xf>
    <xf numFmtId="0" fontId="64" fillId="0" borderId="0" xfId="11" applyFont="1" applyAlignment="1" applyProtection="1">
      <alignment horizontal="left"/>
      <protection hidden="1"/>
    </xf>
    <xf numFmtId="0" fontId="64" fillId="0" borderId="11" xfId="11" applyFont="1" applyBorder="1" applyProtection="1">
      <protection hidden="1"/>
    </xf>
    <xf numFmtId="0" fontId="64" fillId="0" borderId="27" xfId="11" applyFont="1" applyBorder="1" applyProtection="1">
      <protection hidden="1"/>
    </xf>
    <xf numFmtId="0" fontId="64" fillId="0" borderId="13" xfId="11" applyFont="1" applyBorder="1" applyProtection="1">
      <protection hidden="1"/>
    </xf>
    <xf numFmtId="0" fontId="64" fillId="0" borderId="14" xfId="11" applyFont="1" applyBorder="1" applyAlignment="1" applyProtection="1">
      <alignment vertical="center"/>
      <protection hidden="1"/>
    </xf>
    <xf numFmtId="0" fontId="64" fillId="16" borderId="0" xfId="11" applyFont="1" applyFill="1" applyProtection="1">
      <protection hidden="1"/>
    </xf>
    <xf numFmtId="0" fontId="64" fillId="14" borderId="0" xfId="11" applyFont="1" applyFill="1" applyAlignment="1" applyProtection="1">
      <alignment vertical="center"/>
      <protection hidden="1"/>
    </xf>
    <xf numFmtId="0" fontId="64" fillId="0" borderId="0" xfId="11" applyFont="1" applyAlignment="1" applyProtection="1">
      <alignment vertical="center"/>
      <protection hidden="1"/>
    </xf>
    <xf numFmtId="0" fontId="136" fillId="17" borderId="0" xfId="11" applyFont="1" applyFill="1" applyAlignment="1" applyProtection="1">
      <alignment vertical="center"/>
      <protection hidden="1"/>
    </xf>
    <xf numFmtId="0" fontId="136" fillId="17" borderId="0" xfId="11" applyFont="1" applyFill="1" applyProtection="1">
      <protection hidden="1"/>
    </xf>
    <xf numFmtId="0" fontId="136" fillId="17" borderId="0" xfId="11" applyFont="1" applyFill="1" applyAlignment="1" applyProtection="1">
      <alignment horizontal="right" vertical="center"/>
      <protection hidden="1"/>
    </xf>
    <xf numFmtId="0" fontId="136" fillId="17" borderId="0" xfId="11" applyFont="1" applyFill="1" applyAlignment="1" applyProtection="1">
      <alignment horizontal="right"/>
      <protection hidden="1"/>
    </xf>
    <xf numFmtId="0" fontId="136" fillId="17" borderId="0" xfId="11" applyFont="1" applyFill="1" applyAlignment="1" applyProtection="1">
      <alignment horizontal="left" vertical="center"/>
      <protection hidden="1"/>
    </xf>
    <xf numFmtId="0" fontId="136" fillId="17" borderId="0" xfId="11" applyFont="1" applyFill="1" applyAlignment="1" applyProtection="1">
      <alignment horizontal="left"/>
      <protection hidden="1"/>
    </xf>
    <xf numFmtId="0" fontId="51" fillId="0" borderId="0" xfId="11" applyFont="1" applyAlignment="1" applyProtection="1">
      <alignment vertical="center"/>
      <protection hidden="1"/>
    </xf>
    <xf numFmtId="0" fontId="73" fillId="0" borderId="0" xfId="11" applyFont="1" applyAlignment="1" applyProtection="1">
      <alignment vertical="center"/>
      <protection hidden="1"/>
    </xf>
    <xf numFmtId="0" fontId="51" fillId="0" borderId="16" xfId="11" applyFont="1" applyBorder="1" applyAlignment="1" applyProtection="1">
      <alignment vertical="center"/>
      <protection hidden="1"/>
    </xf>
    <xf numFmtId="0" fontId="51" fillId="0" borderId="0" xfId="11" applyFont="1" applyProtection="1">
      <protection hidden="1"/>
    </xf>
    <xf numFmtId="4" fontId="51" fillId="0" borderId="16" xfId="11" applyNumberFormat="1" applyFont="1" applyBorder="1" applyAlignment="1" applyProtection="1">
      <alignment vertical="center"/>
      <protection hidden="1"/>
    </xf>
    <xf numFmtId="4" fontId="51" fillId="0" borderId="0" xfId="11" applyNumberFormat="1" applyFont="1" applyProtection="1">
      <protection hidden="1"/>
    </xf>
    <xf numFmtId="0" fontId="137" fillId="0" borderId="16" xfId="11" applyFont="1" applyBorder="1" applyAlignment="1" applyProtection="1">
      <alignment vertical="center"/>
      <protection hidden="1"/>
    </xf>
    <xf numFmtId="0" fontId="137" fillId="0" borderId="0" xfId="11" applyFont="1" applyProtection="1">
      <protection hidden="1"/>
    </xf>
    <xf numFmtId="4" fontId="137" fillId="0" borderId="16" xfId="11" applyNumberFormat="1" applyFont="1" applyBorder="1" applyAlignment="1" applyProtection="1">
      <alignment vertical="center"/>
      <protection hidden="1"/>
    </xf>
    <xf numFmtId="4" fontId="137" fillId="0" borderId="0" xfId="11" applyNumberFormat="1" applyFont="1" applyProtection="1">
      <protection hidden="1"/>
    </xf>
    <xf numFmtId="0" fontId="64" fillId="0" borderId="19" xfId="11" applyFont="1" applyBorder="1" applyAlignment="1" applyProtection="1">
      <alignment vertical="center"/>
      <protection hidden="1"/>
    </xf>
    <xf numFmtId="0" fontId="64" fillId="0" borderId="20" xfId="11" applyFont="1" applyBorder="1" applyAlignment="1" applyProtection="1">
      <alignment vertical="center"/>
      <protection hidden="1"/>
    </xf>
    <xf numFmtId="0" fontId="64" fillId="15" borderId="0" xfId="11" applyFont="1" applyFill="1" applyAlignment="1" applyProtection="1">
      <alignment vertical="center"/>
      <protection hidden="1"/>
    </xf>
    <xf numFmtId="0" fontId="64" fillId="20" borderId="0" xfId="11" applyFont="1" applyFill="1" applyAlignment="1" applyProtection="1">
      <alignment vertical="center"/>
      <protection hidden="1"/>
    </xf>
    <xf numFmtId="0" fontId="64" fillId="0" borderId="12" xfId="11" applyFont="1" applyBorder="1" applyAlignment="1" applyProtection="1">
      <alignment vertical="center"/>
      <protection hidden="1"/>
    </xf>
    <xf numFmtId="0" fontId="51" fillId="0" borderId="22" xfId="11" applyFont="1" applyBorder="1" applyAlignment="1" applyProtection="1">
      <alignment vertical="center"/>
      <protection hidden="1"/>
    </xf>
    <xf numFmtId="0" fontId="51" fillId="0" borderId="21" xfId="11" applyFont="1" applyBorder="1" applyProtection="1">
      <protection hidden="1"/>
    </xf>
    <xf numFmtId="4" fontId="51" fillId="0" borderId="22" xfId="11" applyNumberFormat="1" applyFont="1" applyBorder="1" applyAlignment="1" applyProtection="1">
      <alignment vertical="center"/>
      <protection hidden="1"/>
    </xf>
    <xf numFmtId="4" fontId="51" fillId="0" borderId="21" xfId="11" applyNumberFormat="1" applyFont="1" applyBorder="1" applyProtection="1">
      <protection hidden="1"/>
    </xf>
    <xf numFmtId="0" fontId="132" fillId="6" borderId="0" xfId="0" applyFont="1" applyFill="1" applyAlignment="1" applyProtection="1">
      <alignment vertical="top"/>
      <protection hidden="1"/>
    </xf>
    <xf numFmtId="0" fontId="28" fillId="0" borderId="2" xfId="0" applyFont="1" applyBorder="1" applyAlignment="1">
      <alignment vertical="center"/>
    </xf>
    <xf numFmtId="171" fontId="138" fillId="0" borderId="0" xfId="0" applyNumberFormat="1" applyFont="1" applyAlignment="1">
      <alignment vertical="center"/>
    </xf>
    <xf numFmtId="171" fontId="51" fillId="0" borderId="0" xfId="0" applyNumberFormat="1" applyFont="1"/>
    <xf numFmtId="0" fontId="38" fillId="0" borderId="0" xfId="21" applyFont="1" applyAlignment="1" applyProtection="1">
      <protection hidden="1"/>
    </xf>
    <xf numFmtId="171" fontId="51" fillId="6" borderId="0" xfId="0" applyNumberFormat="1" applyFont="1" applyFill="1"/>
    <xf numFmtId="0" fontId="25" fillId="0" borderId="29" xfId="0" applyFont="1" applyBorder="1" applyAlignment="1">
      <alignment horizontal="center" vertical="top"/>
    </xf>
    <xf numFmtId="49" fontId="25" fillId="0" borderId="30" xfId="0" applyNumberFormat="1" applyFont="1" applyBorder="1" applyAlignment="1" applyProtection="1">
      <alignment horizontal="left" vertical="top" wrapText="1"/>
      <protection locked="0"/>
    </xf>
    <xf numFmtId="1" fontId="104" fillId="0" borderId="30" xfId="0" applyNumberFormat="1" applyFont="1" applyBorder="1" applyAlignment="1" applyProtection="1">
      <alignment horizontal="center" vertical="top" wrapText="1"/>
      <protection locked="0"/>
    </xf>
    <xf numFmtId="0" fontId="88" fillId="0" borderId="31" xfId="0" applyFont="1" applyBorder="1" applyAlignment="1" applyProtection="1">
      <alignment horizontal="center" vertical="top" wrapText="1"/>
      <protection locked="0"/>
    </xf>
    <xf numFmtId="171" fontId="51" fillId="6" borderId="0" xfId="0" applyNumberFormat="1" applyFont="1" applyFill="1" applyProtection="1">
      <protection hidden="1"/>
    </xf>
    <xf numFmtId="1" fontId="40" fillId="0" borderId="0" xfId="0" applyNumberFormat="1" applyFont="1"/>
    <xf numFmtId="0" fontId="25" fillId="0" borderId="32" xfId="0" applyFont="1" applyBorder="1" applyAlignment="1">
      <alignment horizontal="center" vertical="top"/>
    </xf>
    <xf numFmtId="49" fontId="25" fillId="0" borderId="33" xfId="0" applyNumberFormat="1" applyFont="1" applyBorder="1" applyAlignment="1" applyProtection="1">
      <alignment horizontal="left" vertical="top" wrapText="1"/>
      <protection locked="0"/>
    </xf>
    <xf numFmtId="1" fontId="104" fillId="0" borderId="33" xfId="0" applyNumberFormat="1" applyFont="1" applyBorder="1" applyAlignment="1" applyProtection="1">
      <alignment horizontal="center" vertical="top" wrapText="1"/>
      <protection locked="0"/>
    </xf>
    <xf numFmtId="49" fontId="25" fillId="0" borderId="33" xfId="0" quotePrefix="1" applyNumberFormat="1" applyFont="1" applyBorder="1" applyAlignment="1" applyProtection="1">
      <alignment horizontal="left" vertical="top" wrapText="1"/>
      <protection locked="0"/>
    </xf>
    <xf numFmtId="0" fontId="88" fillId="0" borderId="34" xfId="0" applyFont="1" applyBorder="1" applyAlignment="1" applyProtection="1">
      <alignment horizontal="center" vertical="top" wrapText="1"/>
      <protection locked="0"/>
    </xf>
    <xf numFmtId="0" fontId="25" fillId="0" borderId="35" xfId="0" applyFont="1" applyBorder="1" applyAlignment="1">
      <alignment horizontal="center" vertical="top"/>
    </xf>
    <xf numFmtId="49" fontId="25" fillId="0" borderId="36" xfId="0" applyNumberFormat="1" applyFont="1" applyBorder="1" applyAlignment="1" applyProtection="1">
      <alignment horizontal="left" vertical="top" wrapText="1"/>
      <protection locked="0"/>
    </xf>
    <xf numFmtId="0" fontId="88" fillId="0" borderId="37" xfId="0" applyFont="1" applyBorder="1" applyAlignment="1" applyProtection="1">
      <alignment horizontal="center" vertical="top" wrapText="1"/>
      <protection locked="0"/>
    </xf>
    <xf numFmtId="0" fontId="139" fillId="6" borderId="0" xfId="0" applyFont="1" applyFill="1" applyAlignment="1">
      <alignment horizontal="left"/>
    </xf>
    <xf numFmtId="49" fontId="36" fillId="6" borderId="0" xfId="0" applyNumberFormat="1" applyFont="1" applyFill="1"/>
    <xf numFmtId="0" fontId="42" fillId="0" borderId="0" xfId="0" applyFont="1" applyAlignment="1" applyProtection="1">
      <alignment horizontal="left" vertical="top"/>
      <protection hidden="1"/>
    </xf>
    <xf numFmtId="0" fontId="140" fillId="6" borderId="0" xfId="0" applyFont="1" applyFill="1"/>
    <xf numFmtId="0" fontId="42" fillId="0" borderId="0" xfId="0" applyFont="1" applyAlignment="1" applyProtection="1">
      <alignment horizontal="left"/>
      <protection hidden="1"/>
    </xf>
    <xf numFmtId="0" fontId="26" fillId="0" borderId="62" xfId="0" applyFont="1" applyBorder="1" applyAlignment="1" applyProtection="1">
      <alignment vertical="center"/>
      <protection hidden="1"/>
    </xf>
    <xf numFmtId="0" fontId="29" fillId="0" borderId="62" xfId="0" applyFont="1" applyBorder="1" applyAlignment="1" applyProtection="1">
      <alignment vertical="center"/>
      <protection hidden="1"/>
    </xf>
    <xf numFmtId="0" fontId="62" fillId="0" borderId="79" xfId="0" applyFont="1" applyBorder="1" applyAlignment="1">
      <alignment horizontal="right" vertical="center"/>
    </xf>
    <xf numFmtId="0" fontId="62" fillId="0" borderId="79" xfId="0" applyFont="1" applyBorder="1" applyAlignment="1">
      <alignment horizontal="center" vertical="center"/>
    </xf>
    <xf numFmtId="0" fontId="25" fillId="0" borderId="79" xfId="0" applyFont="1" applyBorder="1" applyProtection="1">
      <protection hidden="1"/>
    </xf>
    <xf numFmtId="0" fontId="52" fillId="0" borderId="79" xfId="0" applyFont="1" applyBorder="1" applyProtection="1">
      <protection hidden="1"/>
    </xf>
    <xf numFmtId="0" fontId="25" fillId="0" borderId="80" xfId="0" applyFont="1" applyBorder="1" applyAlignment="1" applyProtection="1">
      <alignment horizontal="center" vertical="center"/>
      <protection hidden="1"/>
    </xf>
    <xf numFmtId="1" fontId="25" fillId="0" borderId="0" xfId="0" applyNumberFormat="1" applyFont="1" applyProtection="1">
      <protection hidden="1"/>
    </xf>
    <xf numFmtId="0" fontId="62" fillId="0" borderId="81" xfId="0" applyFont="1" applyBorder="1" applyAlignment="1">
      <alignment horizontal="right" vertical="center"/>
    </xf>
    <xf numFmtId="0" fontId="62" fillId="0" borderId="82" xfId="0" applyFont="1" applyBorder="1" applyAlignment="1">
      <alignment horizontal="right" vertical="center"/>
    </xf>
    <xf numFmtId="0" fontId="62" fillId="0" borderId="82" xfId="0" applyFont="1" applyBorder="1" applyAlignment="1">
      <alignment horizontal="center" vertical="center"/>
    </xf>
    <xf numFmtId="0" fontId="31" fillId="0" borderId="82" xfId="0" applyFont="1" applyBorder="1" applyProtection="1">
      <protection hidden="1"/>
    </xf>
    <xf numFmtId="0" fontId="53" fillId="0" borderId="82" xfId="0" applyFont="1" applyBorder="1" applyProtection="1">
      <protection hidden="1"/>
    </xf>
    <xf numFmtId="0" fontId="31" fillId="0" borderId="83" xfId="0" applyFont="1" applyBorder="1" applyAlignment="1" applyProtection="1">
      <alignment horizontal="center" vertical="center"/>
      <protection hidden="1"/>
    </xf>
    <xf numFmtId="1" fontId="31" fillId="0" borderId="0" xfId="0" applyNumberFormat="1" applyFont="1" applyProtection="1">
      <protection hidden="1"/>
    </xf>
    <xf numFmtId="0" fontId="40" fillId="5" borderId="38" xfId="0" applyFont="1" applyFill="1" applyBorder="1" applyAlignment="1" applyProtection="1">
      <alignment vertical="center" wrapText="1"/>
      <protection hidden="1"/>
    </xf>
    <xf numFmtId="0" fontId="40" fillId="11" borderId="38" xfId="0" applyFont="1" applyFill="1" applyBorder="1" applyAlignment="1" applyProtection="1">
      <alignment vertical="center" wrapText="1"/>
      <protection hidden="1"/>
    </xf>
    <xf numFmtId="14" fontId="40" fillId="5" borderId="38" xfId="0" applyNumberFormat="1" applyFont="1" applyFill="1" applyBorder="1" applyAlignment="1" applyProtection="1">
      <alignment horizontal="left" vertical="center" wrapText="1"/>
      <protection hidden="1"/>
    </xf>
    <xf numFmtId="0" fontId="31" fillId="11" borderId="38" xfId="0" applyFont="1" applyFill="1" applyBorder="1" applyAlignment="1" applyProtection="1">
      <alignment vertical="center"/>
      <protection hidden="1"/>
    </xf>
    <xf numFmtId="14" fontId="40" fillId="11" borderId="38" xfId="0" applyNumberFormat="1" applyFont="1" applyFill="1" applyBorder="1" applyAlignment="1" applyProtection="1">
      <alignment horizontal="left" vertical="center" wrapText="1"/>
      <protection hidden="1"/>
    </xf>
    <xf numFmtId="0" fontId="31" fillId="0" borderId="82" xfId="0" applyFont="1" applyBorder="1" applyAlignment="1" applyProtection="1">
      <alignment vertical="center"/>
      <protection hidden="1"/>
    </xf>
    <xf numFmtId="0" fontId="53" fillId="0" borderId="82" xfId="0" applyFont="1" applyBorder="1" applyAlignment="1" applyProtection="1">
      <alignment vertical="center"/>
      <protection hidden="1"/>
    </xf>
    <xf numFmtId="1" fontId="31" fillId="0" borderId="0" xfId="0" applyNumberFormat="1" applyFont="1" applyAlignment="1" applyProtection="1">
      <alignment vertical="center"/>
      <protection hidden="1"/>
    </xf>
    <xf numFmtId="0" fontId="59" fillId="5" borderId="39" xfId="0" applyFont="1" applyFill="1" applyBorder="1" applyAlignment="1" applyProtection="1">
      <alignment horizontal="left" vertical="center" wrapText="1"/>
      <protection hidden="1"/>
    </xf>
    <xf numFmtId="0" fontId="40" fillId="11" borderId="39" xfId="0" applyFont="1" applyFill="1" applyBorder="1" applyAlignment="1" applyProtection="1">
      <alignment vertical="center" wrapText="1"/>
      <protection hidden="1"/>
    </xf>
    <xf numFmtId="0" fontId="40" fillId="5" borderId="39" xfId="0" applyFont="1" applyFill="1" applyBorder="1" applyAlignment="1" applyProtection="1">
      <alignment horizontal="left" vertical="center" wrapText="1"/>
      <protection hidden="1"/>
    </xf>
    <xf numFmtId="0" fontId="40" fillId="5" borderId="40" xfId="0" applyFont="1" applyFill="1" applyBorder="1" applyAlignment="1" applyProtection="1">
      <alignment vertical="center"/>
      <protection hidden="1"/>
    </xf>
    <xf numFmtId="0" fontId="40" fillId="5" borderId="40" xfId="0" applyFont="1" applyFill="1" applyBorder="1" applyAlignment="1" applyProtection="1">
      <alignment vertical="center" wrapText="1"/>
      <protection hidden="1"/>
    </xf>
    <xf numFmtId="0" fontId="31" fillId="11" borderId="31" xfId="0" applyFont="1" applyFill="1" applyBorder="1" applyAlignment="1" applyProtection="1">
      <alignment horizontal="left" vertical="center" wrapText="1"/>
      <protection hidden="1"/>
    </xf>
    <xf numFmtId="0" fontId="62" fillId="0" borderId="81" xfId="0" applyFont="1" applyBorder="1" applyAlignment="1">
      <alignment horizontal="center" vertical="center"/>
    </xf>
    <xf numFmtId="0" fontId="25" fillId="45" borderId="82" xfId="0" applyFont="1" applyFill="1" applyBorder="1" applyAlignment="1" applyProtection="1">
      <alignment vertical="center"/>
      <protection hidden="1"/>
    </xf>
    <xf numFmtId="0" fontId="25" fillId="45" borderId="83" xfId="0" applyFont="1" applyFill="1" applyBorder="1" applyAlignment="1" applyProtection="1">
      <alignment vertical="center"/>
      <protection hidden="1"/>
    </xf>
    <xf numFmtId="0" fontId="31" fillId="6" borderId="0" xfId="0" applyFont="1" applyFill="1" applyAlignment="1">
      <alignment horizontal="right"/>
    </xf>
    <xf numFmtId="0" fontId="25" fillId="6" borderId="29" xfId="0" applyFont="1" applyFill="1" applyBorder="1" applyAlignment="1" applyProtection="1">
      <alignment horizontal="left" vertical="center"/>
      <protection hidden="1"/>
    </xf>
    <xf numFmtId="0" fontId="25" fillId="6" borderId="30" xfId="0" applyFont="1" applyFill="1" applyBorder="1" applyAlignment="1" applyProtection="1">
      <alignment vertical="center"/>
      <protection hidden="1"/>
    </xf>
    <xf numFmtId="0" fontId="60" fillId="6" borderId="30" xfId="0" applyFont="1" applyFill="1" applyBorder="1" applyAlignment="1" applyProtection="1">
      <alignment vertical="center"/>
      <protection hidden="1"/>
    </xf>
    <xf numFmtId="0" fontId="25" fillId="6" borderId="33" xfId="0" applyFont="1" applyFill="1" applyBorder="1" applyAlignment="1" applyProtection="1">
      <alignment vertical="center" wrapText="1"/>
      <protection hidden="1"/>
    </xf>
    <xf numFmtId="0" fontId="25" fillId="6" borderId="30" xfId="0" applyFont="1" applyFill="1" applyBorder="1" applyAlignment="1" applyProtection="1">
      <alignment vertical="center" wrapText="1"/>
      <protection hidden="1"/>
    </xf>
    <xf numFmtId="0" fontId="25" fillId="6" borderId="30" xfId="0" applyFont="1" applyFill="1" applyBorder="1" applyAlignment="1" applyProtection="1">
      <alignment horizontal="left" vertical="center"/>
      <protection hidden="1"/>
    </xf>
    <xf numFmtId="0" fontId="60" fillId="6" borderId="33" xfId="0" applyFont="1" applyFill="1" applyBorder="1" applyAlignment="1" applyProtection="1">
      <alignment vertical="center" wrapText="1"/>
      <protection hidden="1"/>
    </xf>
    <xf numFmtId="0" fontId="25" fillId="6" borderId="33" xfId="0" applyFont="1" applyFill="1" applyBorder="1" applyAlignment="1" applyProtection="1">
      <alignment vertical="center"/>
      <protection hidden="1"/>
    </xf>
    <xf numFmtId="0" fontId="25" fillId="6" borderId="34" xfId="0" applyFont="1" applyFill="1" applyBorder="1" applyAlignment="1" applyProtection="1">
      <alignment vertical="center"/>
      <protection hidden="1"/>
    </xf>
    <xf numFmtId="0" fontId="60" fillId="6" borderId="34" xfId="0" applyFont="1" applyFill="1" applyBorder="1" applyAlignment="1" applyProtection="1">
      <alignment vertical="center"/>
      <protection hidden="1"/>
    </xf>
    <xf numFmtId="0" fontId="25" fillId="6" borderId="31" xfId="0" applyFont="1" applyFill="1" applyBorder="1" applyAlignment="1" applyProtection="1">
      <alignment horizontal="right" vertical="center" wrapText="1"/>
      <protection hidden="1"/>
    </xf>
    <xf numFmtId="0" fontId="25" fillId="6" borderId="31" xfId="0" applyFont="1" applyFill="1" applyBorder="1" applyAlignment="1" applyProtection="1">
      <alignment horizontal="left" vertical="center"/>
      <protection hidden="1"/>
    </xf>
    <xf numFmtId="0" fontId="25" fillId="6" borderId="82" xfId="0" applyFont="1" applyFill="1" applyBorder="1" applyAlignment="1" applyProtection="1">
      <alignment vertical="center"/>
      <protection hidden="1"/>
    </xf>
    <xf numFmtId="0" fontId="53" fillId="6" borderId="82" xfId="0" applyFont="1" applyFill="1" applyBorder="1" applyAlignment="1" applyProtection="1">
      <alignment vertical="center"/>
      <protection hidden="1"/>
    </xf>
    <xf numFmtId="0" fontId="25" fillId="6" borderId="83" xfId="0" applyFont="1" applyFill="1" applyBorder="1" applyAlignment="1" applyProtection="1">
      <alignment vertical="center"/>
      <protection hidden="1"/>
    </xf>
    <xf numFmtId="0" fontId="31" fillId="6" borderId="0" xfId="0" applyFont="1" applyFill="1" applyAlignment="1" applyProtection="1">
      <alignment vertical="center"/>
      <protection hidden="1"/>
    </xf>
    <xf numFmtId="1" fontId="31" fillId="6" borderId="0" xfId="0" applyNumberFormat="1" applyFont="1" applyFill="1" applyAlignment="1" applyProtection="1">
      <alignment vertical="center"/>
      <protection hidden="1"/>
    </xf>
    <xf numFmtId="0" fontId="42" fillId="0" borderId="0" xfId="0" applyFont="1" applyAlignment="1" applyProtection="1">
      <alignment horizontal="right" vertical="center" wrapText="1"/>
      <protection hidden="1"/>
    </xf>
    <xf numFmtId="0" fontId="25" fillId="0" borderId="32" xfId="0" applyFont="1" applyBorder="1" applyAlignment="1" applyProtection="1">
      <alignment horizontal="left" vertical="center" wrapText="1"/>
      <protection locked="0"/>
    </xf>
    <xf numFmtId="0" fontId="25" fillId="0" borderId="33" xfId="0" applyFont="1" applyBorder="1" applyAlignment="1" applyProtection="1">
      <alignment horizontal="left" vertical="center" wrapText="1"/>
      <protection locked="0"/>
    </xf>
    <xf numFmtId="0" fontId="60" fillId="0" borderId="33" xfId="0" applyFont="1" applyBorder="1" applyAlignment="1" applyProtection="1">
      <alignment horizontal="left" vertical="center" wrapText="1"/>
      <protection locked="0"/>
    </xf>
    <xf numFmtId="167" fontId="25" fillId="0" borderId="33" xfId="5" applyNumberFormat="1" applyFont="1" applyBorder="1" applyAlignment="1" applyProtection="1">
      <alignment horizontal="center" vertical="center" wrapText="1"/>
      <protection locked="0"/>
    </xf>
    <xf numFmtId="176" fontId="25" fillId="0" borderId="33" xfId="5" applyNumberFormat="1" applyFont="1" applyBorder="1" applyAlignment="1" applyProtection="1">
      <alignment horizontal="center" vertical="center" wrapText="1"/>
      <protection locked="0"/>
    </xf>
    <xf numFmtId="176" fontId="25" fillId="0" borderId="33" xfId="5" applyNumberFormat="1" applyFont="1" applyBorder="1" applyAlignment="1" applyProtection="1">
      <alignment horizontal="center" vertical="center" wrapText="1"/>
    </xf>
    <xf numFmtId="0" fontId="25" fillId="0" borderId="33" xfId="5" applyNumberFormat="1" applyFont="1" applyBorder="1" applyAlignment="1" applyProtection="1">
      <alignment horizontal="left" vertical="center" wrapText="1"/>
      <protection locked="0"/>
    </xf>
    <xf numFmtId="175" fontId="25" fillId="0" borderId="33" xfId="0" applyNumberFormat="1" applyFont="1" applyBorder="1" applyAlignment="1" applyProtection="1">
      <alignment horizontal="right" vertical="center" wrapText="1"/>
      <protection locked="0"/>
    </xf>
    <xf numFmtId="167" fontId="25" fillId="0" borderId="33" xfId="5" applyNumberFormat="1" applyFont="1" applyBorder="1" applyAlignment="1" applyProtection="1">
      <alignment horizontal="left" vertical="center" wrapText="1"/>
      <protection locked="0"/>
    </xf>
    <xf numFmtId="167" fontId="25" fillId="0" borderId="33" xfId="5" applyNumberFormat="1" applyFont="1" applyBorder="1" applyAlignment="1" applyProtection="1">
      <alignment horizontal="left" vertical="center" wrapText="1"/>
    </xf>
    <xf numFmtId="175" fontId="25" fillId="0" borderId="33" xfId="0" applyNumberFormat="1" applyFont="1" applyBorder="1" applyAlignment="1" applyProtection="1">
      <alignment horizontal="right" vertical="center" wrapText="1"/>
      <protection hidden="1"/>
    </xf>
    <xf numFmtId="175" fontId="25" fillId="0" borderId="34" xfId="0" applyNumberFormat="1" applyFont="1" applyBorder="1" applyAlignment="1" applyProtection="1">
      <alignment horizontal="right" vertical="center" wrapText="1"/>
      <protection hidden="1"/>
    </xf>
    <xf numFmtId="0" fontId="62" fillId="48" borderId="81" xfId="0" applyFont="1" applyFill="1" applyBorder="1" applyAlignment="1">
      <alignment horizontal="right" vertical="center"/>
    </xf>
    <xf numFmtId="0" fontId="62" fillId="48" borderId="82" xfId="0" applyFont="1" applyFill="1" applyBorder="1" applyAlignment="1">
      <alignment horizontal="right" vertical="center"/>
    </xf>
    <xf numFmtId="0" fontId="62" fillId="49" borderId="82" xfId="0" applyFont="1" applyFill="1" applyBorder="1" applyAlignment="1">
      <alignment horizontal="center" vertical="center"/>
    </xf>
    <xf numFmtId="0" fontId="31" fillId="0" borderId="82" xfId="0" applyFont="1" applyBorder="1" applyAlignment="1" applyProtection="1">
      <alignment horizontal="left" vertical="center"/>
      <protection hidden="1"/>
    </xf>
    <xf numFmtId="0" fontId="53" fillId="0" borderId="82" xfId="0" applyFont="1" applyBorder="1" applyAlignment="1" applyProtection="1">
      <alignment horizontal="left" vertical="center"/>
      <protection hidden="1"/>
    </xf>
    <xf numFmtId="0" fontId="31" fillId="0" borderId="83" xfId="0" applyFont="1" applyBorder="1" applyAlignment="1" applyProtection="1">
      <alignment horizontal="left" vertical="center"/>
      <protection hidden="1"/>
    </xf>
    <xf numFmtId="1" fontId="31" fillId="0" borderId="0" xfId="0" applyNumberFormat="1" applyFont="1" applyAlignment="1" applyProtection="1">
      <alignment horizontal="left" vertical="center" wrapText="1"/>
      <protection hidden="1"/>
    </xf>
    <xf numFmtId="0" fontId="31" fillId="0" borderId="0" xfId="0" applyFont="1" applyAlignment="1" applyProtection="1">
      <alignment horizontal="left" vertical="center" wrapText="1"/>
      <protection hidden="1"/>
    </xf>
    <xf numFmtId="0" fontId="42" fillId="0" borderId="0" xfId="0" applyFont="1" applyAlignment="1" applyProtection="1">
      <alignment horizontal="right" vertical="top" wrapText="1"/>
      <protection hidden="1"/>
    </xf>
    <xf numFmtId="0" fontId="25" fillId="11" borderId="39" xfId="0" applyFont="1" applyFill="1" applyBorder="1" applyAlignment="1" applyProtection="1">
      <alignment horizontal="left" vertical="top"/>
      <protection hidden="1"/>
    </xf>
    <xf numFmtId="171" fontId="25" fillId="11" borderId="39" xfId="0" applyNumberFormat="1" applyFont="1" applyFill="1" applyBorder="1" applyAlignment="1" applyProtection="1">
      <alignment vertical="top"/>
      <protection hidden="1"/>
    </xf>
    <xf numFmtId="0" fontId="25" fillId="11" borderId="39" xfId="0" applyFont="1" applyFill="1" applyBorder="1" applyAlignment="1" applyProtection="1">
      <alignment vertical="top"/>
      <protection hidden="1"/>
    </xf>
    <xf numFmtId="0" fontId="31" fillId="0" borderId="82" xfId="0" applyFont="1" applyBorder="1" applyAlignment="1" applyProtection="1">
      <alignment horizontal="left" vertical="top"/>
      <protection hidden="1"/>
    </xf>
    <xf numFmtId="0" fontId="53" fillId="0" borderId="82" xfId="0" applyFont="1" applyBorder="1" applyAlignment="1" applyProtection="1">
      <alignment horizontal="left" vertical="top"/>
      <protection hidden="1"/>
    </xf>
    <xf numFmtId="0" fontId="31" fillId="0" borderId="83" xfId="0" applyFont="1" applyBorder="1" applyAlignment="1" applyProtection="1">
      <alignment horizontal="left" vertical="top"/>
      <protection hidden="1"/>
    </xf>
    <xf numFmtId="0" fontId="31" fillId="0" borderId="0" xfId="0" applyFont="1" applyAlignment="1" applyProtection="1">
      <alignment horizontal="left" vertical="top"/>
      <protection hidden="1"/>
    </xf>
    <xf numFmtId="1" fontId="31" fillId="0" borderId="0" xfId="0" applyNumberFormat="1" applyFont="1" applyAlignment="1" applyProtection="1">
      <alignment horizontal="left" vertical="top"/>
      <protection hidden="1"/>
    </xf>
    <xf numFmtId="0" fontId="25" fillId="28" borderId="40" xfId="0" applyFont="1" applyFill="1" applyBorder="1" applyAlignment="1" applyProtection="1">
      <alignment horizontal="left" vertical="top"/>
      <protection hidden="1"/>
    </xf>
    <xf numFmtId="171" fontId="25" fillId="28" borderId="40" xfId="0" applyNumberFormat="1" applyFont="1" applyFill="1" applyBorder="1" applyAlignment="1" applyProtection="1">
      <alignment vertical="top"/>
      <protection hidden="1"/>
    </xf>
    <xf numFmtId="0" fontId="25" fillId="28" borderId="40" xfId="0" applyFont="1" applyFill="1" applyBorder="1" applyAlignment="1" applyProtection="1">
      <alignment vertical="top"/>
      <protection hidden="1"/>
    </xf>
    <xf numFmtId="0" fontId="25" fillId="11" borderId="40" xfId="0" applyFont="1" applyFill="1" applyBorder="1" applyAlignment="1" applyProtection="1">
      <alignment horizontal="left" vertical="top"/>
      <protection hidden="1"/>
    </xf>
    <xf numFmtId="171" fontId="25" fillId="11" borderId="40" xfId="0" applyNumberFormat="1" applyFont="1" applyFill="1" applyBorder="1" applyAlignment="1" applyProtection="1">
      <alignment vertical="top"/>
      <protection hidden="1"/>
    </xf>
    <xf numFmtId="0" fontId="25" fillId="11" borderId="40" xfId="0" applyFont="1" applyFill="1" applyBorder="1" applyAlignment="1" applyProtection="1">
      <alignment vertical="top"/>
      <protection hidden="1"/>
    </xf>
    <xf numFmtId="0" fontId="41" fillId="11" borderId="35" xfId="0" applyFont="1" applyFill="1" applyBorder="1" applyAlignment="1" applyProtection="1">
      <alignment horizontal="left" vertical="top"/>
      <protection hidden="1"/>
    </xf>
    <xf numFmtId="175" fontId="60" fillId="18" borderId="36" xfId="0" applyNumberFormat="1" applyFont="1" applyFill="1" applyBorder="1" applyAlignment="1" applyProtection="1">
      <alignment horizontal="right" vertical="top"/>
      <protection hidden="1"/>
    </xf>
    <xf numFmtId="0" fontId="53" fillId="0" borderId="0" xfId="0" applyFont="1" applyAlignment="1">
      <alignment horizontal="right"/>
    </xf>
    <xf numFmtId="0" fontId="53" fillId="0" borderId="0" xfId="0" applyFont="1" applyAlignment="1" applyProtection="1">
      <alignment vertical="center"/>
      <protection hidden="1"/>
    </xf>
    <xf numFmtId="0" fontId="77" fillId="0" borderId="81" xfId="0" applyFont="1" applyBorder="1" applyAlignment="1">
      <alignment horizontal="right" vertical="center"/>
    </xf>
    <xf numFmtId="0" fontId="77" fillId="0" borderId="82" xfId="0" applyFont="1" applyBorder="1" applyAlignment="1">
      <alignment horizontal="right" vertical="center"/>
    </xf>
    <xf numFmtId="0" fontId="77" fillId="0" borderId="82" xfId="0" applyFont="1" applyBorder="1" applyAlignment="1">
      <alignment horizontal="center" vertical="center"/>
    </xf>
    <xf numFmtId="0" fontId="53" fillId="0" borderId="83" xfId="0" applyFont="1" applyBorder="1" applyAlignment="1" applyProtection="1">
      <alignment horizontal="center" vertical="center"/>
      <protection hidden="1"/>
    </xf>
    <xf numFmtId="0" fontId="53" fillId="0" borderId="0" xfId="0" applyFont="1" applyProtection="1">
      <protection hidden="1"/>
    </xf>
    <xf numFmtId="0" fontId="53" fillId="0" borderId="0" xfId="0" applyFont="1"/>
    <xf numFmtId="0" fontId="70" fillId="0" borderId="0" xfId="0" applyFont="1" applyAlignment="1" applyProtection="1">
      <alignment vertical="center"/>
      <protection hidden="1"/>
    </xf>
    <xf numFmtId="0" fontId="53" fillId="0" borderId="81" xfId="0" applyFont="1" applyBorder="1" applyAlignment="1" applyProtection="1">
      <alignment vertical="center"/>
      <protection hidden="1"/>
    </xf>
    <xf numFmtId="0" fontId="53" fillId="0" borderId="82" xfId="0" applyFont="1" applyBorder="1" applyAlignment="1" applyProtection="1">
      <alignment horizontal="center" vertical="center"/>
      <protection hidden="1"/>
    </xf>
    <xf numFmtId="0" fontId="51" fillId="0" borderId="81" xfId="0" applyFont="1" applyBorder="1" applyAlignment="1" applyProtection="1">
      <alignment vertical="center"/>
      <protection hidden="1"/>
    </xf>
    <xf numFmtId="0" fontId="51" fillId="0" borderId="82" xfId="0" applyFont="1" applyBorder="1" applyAlignment="1" applyProtection="1">
      <alignment vertical="center"/>
      <protection hidden="1"/>
    </xf>
    <xf numFmtId="0" fontId="51" fillId="0" borderId="82" xfId="0" applyFont="1" applyBorder="1" applyAlignment="1" applyProtection="1">
      <alignment horizontal="center" vertical="center"/>
      <protection hidden="1"/>
    </xf>
    <xf numFmtId="0" fontId="26" fillId="0" borderId="61" xfId="0" applyFont="1" applyBorder="1" applyAlignment="1" applyProtection="1">
      <alignment vertical="center"/>
      <protection hidden="1"/>
    </xf>
    <xf numFmtId="0" fontId="29" fillId="0" borderId="61" xfId="0" applyFont="1" applyBorder="1" applyAlignment="1" applyProtection="1">
      <alignment vertical="center"/>
      <protection hidden="1"/>
    </xf>
    <xf numFmtId="0" fontId="54" fillId="0" borderId="61" xfId="0" applyFont="1" applyBorder="1" applyAlignment="1">
      <alignment horizontal="right" vertical="center"/>
    </xf>
    <xf numFmtId="0" fontId="25" fillId="13" borderId="0" xfId="0" applyFont="1" applyFill="1" applyAlignment="1" applyProtection="1">
      <alignment horizontal="center" vertical="center" wrapText="1"/>
      <protection locked="0"/>
    </xf>
    <xf numFmtId="0" fontId="25" fillId="8" borderId="0" xfId="0" applyFont="1" applyFill="1" applyAlignment="1" applyProtection="1">
      <alignment vertical="center"/>
      <protection hidden="1"/>
    </xf>
    <xf numFmtId="0" fontId="40" fillId="0" borderId="0" xfId="0" applyFont="1" applyAlignment="1" applyProtection="1">
      <alignment vertical="top" wrapText="1"/>
      <protection hidden="1"/>
    </xf>
    <xf numFmtId="0" fontId="40" fillId="0" borderId="0" xfId="0" quotePrefix="1" applyFont="1" applyAlignment="1" applyProtection="1">
      <alignment vertical="top" wrapText="1"/>
      <protection hidden="1"/>
    </xf>
    <xf numFmtId="0" fontId="25" fillId="13" borderId="0" xfId="0" applyFont="1" applyFill="1" applyAlignment="1" applyProtection="1">
      <alignment horizontal="center" vertical="center" wrapText="1"/>
      <protection locked="0" hidden="1"/>
    </xf>
    <xf numFmtId="0" fontId="25" fillId="13" borderId="0" xfId="0" applyFont="1" applyFill="1" applyAlignment="1" applyProtection="1">
      <alignment horizontal="left" vertical="center"/>
      <protection hidden="1"/>
    </xf>
    <xf numFmtId="0" fontId="63" fillId="13" borderId="0" xfId="1" applyFont="1" applyFill="1" applyBorder="1" applyAlignment="1" applyProtection="1">
      <alignment horizontal="left" vertical="center"/>
      <protection hidden="1"/>
    </xf>
    <xf numFmtId="0" fontId="25" fillId="13" borderId="0" xfId="0" applyFont="1" applyFill="1" applyAlignment="1" applyProtection="1">
      <alignment vertical="center"/>
      <protection hidden="1"/>
    </xf>
    <xf numFmtId="4" fontId="64" fillId="13" borderId="45" xfId="11" applyNumberFormat="1" applyFont="1" applyFill="1" applyBorder="1" applyAlignment="1" applyProtection="1">
      <alignment horizontal="right" vertical="center"/>
      <protection hidden="1"/>
    </xf>
    <xf numFmtId="175" fontId="64" fillId="13" borderId="0" xfId="11" applyNumberFormat="1" applyFont="1" applyFill="1" applyAlignment="1" applyProtection="1">
      <alignment horizontal="right" vertical="center"/>
      <protection hidden="1"/>
    </xf>
    <xf numFmtId="4" fontId="25" fillId="0" borderId="44" xfId="0" applyNumberFormat="1" applyFont="1" applyBorder="1" applyAlignment="1" applyProtection="1">
      <alignment horizontal="right" vertical="center"/>
      <protection hidden="1"/>
    </xf>
    <xf numFmtId="4" fontId="64" fillId="0" borderId="44" xfId="11" applyNumberFormat="1" applyFont="1" applyBorder="1" applyAlignment="1" applyProtection="1">
      <alignment horizontal="right" vertical="center"/>
      <protection hidden="1"/>
    </xf>
    <xf numFmtId="4" fontId="64" fillId="0" borderId="45" xfId="11" applyNumberFormat="1" applyFont="1" applyBorder="1" applyAlignment="1" applyProtection="1">
      <alignment horizontal="right" vertical="center"/>
      <protection hidden="1"/>
    </xf>
    <xf numFmtId="175" fontId="66" fillId="0" borderId="0" xfId="11" applyNumberFormat="1" applyFont="1" applyAlignment="1" applyProtection="1">
      <alignment horizontal="right" vertical="center"/>
      <protection hidden="1"/>
    </xf>
    <xf numFmtId="0" fontId="60" fillId="8" borderId="0" xfId="0" applyFont="1" applyFill="1" applyAlignment="1" applyProtection="1">
      <alignment horizontal="left" vertical="center"/>
      <protection hidden="1"/>
    </xf>
    <xf numFmtId="0" fontId="65" fillId="8" borderId="0" xfId="1" applyFont="1" applyFill="1" applyBorder="1" applyAlignment="1" applyProtection="1">
      <alignment horizontal="left" vertical="center"/>
      <protection hidden="1"/>
    </xf>
    <xf numFmtId="4" fontId="66" fillId="8" borderId="45" xfId="11" applyNumberFormat="1" applyFont="1" applyFill="1" applyBorder="1" applyAlignment="1" applyProtection="1">
      <alignment horizontal="right" vertical="center"/>
      <protection hidden="1"/>
    </xf>
    <xf numFmtId="175" fontId="66" fillId="8" borderId="0" xfId="11" applyNumberFormat="1" applyFont="1" applyFill="1" applyAlignment="1" applyProtection="1">
      <alignment horizontal="right" vertical="center"/>
      <protection hidden="1"/>
    </xf>
    <xf numFmtId="0" fontId="25" fillId="0" borderId="25" xfId="0" applyFont="1" applyBorder="1" applyAlignment="1" applyProtection="1">
      <alignment vertical="center"/>
      <protection hidden="1"/>
    </xf>
    <xf numFmtId="0" fontId="25" fillId="0" borderId="76" xfId="0" applyFont="1" applyBorder="1" applyAlignment="1" applyProtection="1">
      <alignment vertical="center"/>
      <protection hidden="1"/>
    </xf>
    <xf numFmtId="0" fontId="40" fillId="0" borderId="76" xfId="0" applyFont="1" applyBorder="1" applyAlignment="1" applyProtection="1">
      <alignment vertical="center"/>
      <protection locked="0"/>
    </xf>
    <xf numFmtId="0" fontId="142" fillId="0" borderId="0" xfId="0" applyFont="1" applyAlignment="1">
      <alignment horizontal="right"/>
    </xf>
    <xf numFmtId="0" fontId="141" fillId="0" borderId="0" xfId="2" applyFont="1" applyAlignment="1" applyProtection="1">
      <alignment horizontal="left" vertical="center" wrapText="1"/>
      <protection hidden="1"/>
    </xf>
    <xf numFmtId="0" fontId="143" fillId="0" borderId="0" xfId="2" applyFont="1" applyAlignment="1" applyProtection="1">
      <alignment horizontal="right" vertical="center" wrapText="1"/>
      <protection hidden="1"/>
    </xf>
    <xf numFmtId="0" fontId="144" fillId="0" borderId="0" xfId="2" applyFont="1" applyAlignment="1" applyProtection="1">
      <alignment vertical="center" wrapText="1"/>
      <protection hidden="1"/>
    </xf>
    <xf numFmtId="0" fontId="145" fillId="17" borderId="45" xfId="0" applyFont="1" applyFill="1" applyBorder="1" applyAlignment="1">
      <alignment vertical="top" wrapText="1"/>
    </xf>
    <xf numFmtId="0" fontId="60" fillId="34" borderId="30" xfId="0" applyFont="1" applyFill="1" applyBorder="1" applyAlignment="1">
      <alignment horizontal="center" vertical="center" wrapText="1"/>
    </xf>
    <xf numFmtId="0" fontId="60" fillId="31" borderId="30" xfId="0" applyFont="1" applyFill="1" applyBorder="1" applyAlignment="1">
      <alignment horizontal="center" vertical="center" wrapText="1"/>
    </xf>
    <xf numFmtId="0" fontId="60" fillId="19" borderId="30" xfId="0" applyFont="1" applyFill="1" applyBorder="1" applyAlignment="1">
      <alignment horizontal="center" vertical="center" wrapText="1"/>
    </xf>
    <xf numFmtId="0" fontId="60" fillId="40" borderId="30" xfId="0" applyFont="1" applyFill="1" applyBorder="1" applyAlignment="1">
      <alignment horizontal="center" vertical="center"/>
    </xf>
    <xf numFmtId="0" fontId="146" fillId="17" borderId="31" xfId="0" applyFont="1" applyFill="1" applyBorder="1" applyAlignment="1">
      <alignment vertical="top" wrapText="1"/>
    </xf>
    <xf numFmtId="0" fontId="146" fillId="17" borderId="30" xfId="0" applyFont="1" applyFill="1" applyBorder="1" applyAlignment="1">
      <alignment vertical="top" wrapText="1"/>
    </xf>
    <xf numFmtId="0" fontId="31" fillId="0" borderId="0" xfId="0" applyFont="1" applyAlignment="1" applyProtection="1">
      <alignment horizontal="right" vertical="top"/>
      <protection locked="0" hidden="1"/>
    </xf>
    <xf numFmtId="9" fontId="31" fillId="11" borderId="0" xfId="15" applyFont="1" applyFill="1" applyAlignment="1" applyProtection="1">
      <alignment horizontal="left"/>
      <protection locked="0"/>
    </xf>
    <xf numFmtId="9" fontId="31" fillId="0" borderId="0" xfId="15" applyFont="1"/>
    <xf numFmtId="0" fontId="84" fillId="46" borderId="0" xfId="0" applyFont="1" applyFill="1"/>
    <xf numFmtId="0" fontId="41" fillId="0" borderId="0" xfId="0" applyFont="1"/>
    <xf numFmtId="9" fontId="41" fillId="11" borderId="0" xfId="15" applyFont="1" applyFill="1" applyAlignment="1" applyProtection="1">
      <alignment horizontal="left"/>
      <protection locked="0"/>
    </xf>
    <xf numFmtId="176" fontId="25" fillId="0" borderId="34" xfId="5" applyNumberFormat="1" applyFont="1" applyBorder="1" applyAlignment="1" applyProtection="1">
      <alignment horizontal="center" vertical="center" wrapText="1"/>
    </xf>
    <xf numFmtId="0" fontId="62" fillId="48" borderId="79" xfId="0" applyFont="1" applyFill="1" applyBorder="1" applyAlignment="1">
      <alignment horizontal="right" vertical="center"/>
    </xf>
    <xf numFmtId="0" fontId="62" fillId="48" borderId="78" xfId="0" applyFont="1" applyFill="1" applyBorder="1" applyAlignment="1">
      <alignment horizontal="right" vertical="center"/>
    </xf>
    <xf numFmtId="177" fontId="53" fillId="0" borderId="0" xfId="0" applyNumberFormat="1" applyFont="1" applyAlignment="1" applyProtection="1">
      <alignment vertical="center"/>
      <protection hidden="1"/>
    </xf>
    <xf numFmtId="43" fontId="53" fillId="0" borderId="0" xfId="0" applyNumberFormat="1" applyFont="1" applyAlignment="1" applyProtection="1">
      <alignment vertical="center"/>
      <protection hidden="1"/>
    </xf>
    <xf numFmtId="167" fontId="53" fillId="0" borderId="0" xfId="0" applyNumberFormat="1" applyFont="1" applyAlignment="1" applyProtection="1">
      <alignment vertical="center"/>
      <protection hidden="1"/>
    </xf>
    <xf numFmtId="0" fontId="31" fillId="47" borderId="29" xfId="0" applyFont="1" applyFill="1" applyBorder="1" applyAlignment="1" applyProtection="1">
      <alignment horizontal="center" vertical="center" wrapText="1"/>
      <protection hidden="1"/>
    </xf>
    <xf numFmtId="176" fontId="25" fillId="0" borderId="85" xfId="5" applyNumberFormat="1" applyFont="1" applyBorder="1" applyAlignment="1" applyProtection="1">
      <alignment horizontal="center" vertical="center" wrapText="1"/>
      <protection locked="0"/>
    </xf>
    <xf numFmtId="49" fontId="31" fillId="5" borderId="38" xfId="0" applyNumberFormat="1" applyFont="1" applyFill="1" applyBorder="1" applyAlignment="1" applyProtection="1">
      <alignment vertical="center" wrapText="1"/>
      <protection locked="0"/>
    </xf>
    <xf numFmtId="14" fontId="31" fillId="5" borderId="38" xfId="0" applyNumberFormat="1" applyFont="1" applyFill="1" applyBorder="1" applyAlignment="1" applyProtection="1">
      <alignment horizontal="left" vertical="center" wrapText="1"/>
      <protection locked="0"/>
    </xf>
    <xf numFmtId="49" fontId="31" fillId="5" borderId="39" xfId="0" applyNumberFormat="1" applyFont="1" applyFill="1" applyBorder="1" applyAlignment="1" applyProtection="1">
      <alignment horizontal="left" vertical="center" wrapText="1"/>
      <protection locked="0"/>
    </xf>
    <xf numFmtId="14" fontId="31" fillId="5" borderId="39" xfId="0" applyNumberFormat="1" applyFont="1" applyFill="1" applyBorder="1" applyAlignment="1" applyProtection="1">
      <alignment horizontal="left" vertical="center" wrapText="1"/>
      <protection locked="0"/>
    </xf>
    <xf numFmtId="14" fontId="31" fillId="6" borderId="0" xfId="0" applyNumberFormat="1" applyFont="1" applyFill="1" applyAlignment="1" applyProtection="1">
      <alignment horizontal="left" vertical="center"/>
      <protection hidden="1"/>
    </xf>
    <xf numFmtId="0" fontId="31" fillId="5" borderId="30" xfId="0" applyFont="1" applyFill="1" applyBorder="1" applyAlignment="1" applyProtection="1">
      <alignment vertical="center" wrapText="1"/>
      <protection hidden="1"/>
    </xf>
    <xf numFmtId="164" fontId="31" fillId="6" borderId="0" xfId="0" applyNumberFormat="1" applyFont="1" applyFill="1" applyAlignment="1" applyProtection="1">
      <alignment horizontal="right" vertical="center"/>
      <protection hidden="1"/>
    </xf>
    <xf numFmtId="0" fontId="31" fillId="11" borderId="34" xfId="0" applyFont="1" applyFill="1" applyBorder="1" applyAlignment="1" applyProtection="1">
      <alignment horizontal="left" vertical="center" wrapText="1"/>
      <protection hidden="1"/>
    </xf>
    <xf numFmtId="0" fontId="31" fillId="11" borderId="37" xfId="0" applyFont="1" applyFill="1" applyBorder="1" applyAlignment="1" applyProtection="1">
      <alignment horizontal="left" vertical="center" wrapText="1"/>
      <protection hidden="1"/>
    </xf>
    <xf numFmtId="0" fontId="31" fillId="11" borderId="39" xfId="0" applyFont="1" applyFill="1" applyBorder="1" applyAlignment="1" applyProtection="1">
      <alignment vertical="center"/>
      <protection hidden="1"/>
    </xf>
    <xf numFmtId="0" fontId="31" fillId="11" borderId="38" xfId="0" applyFont="1" applyFill="1" applyBorder="1" applyAlignment="1" applyProtection="1">
      <alignment horizontal="left" vertical="center" wrapText="1"/>
      <protection hidden="1"/>
    </xf>
    <xf numFmtId="0" fontId="31" fillId="11" borderId="39" xfId="0" applyFont="1" applyFill="1" applyBorder="1" applyAlignment="1" applyProtection="1">
      <alignment horizontal="left" vertical="center" wrapText="1"/>
      <protection hidden="1"/>
    </xf>
    <xf numFmtId="0" fontId="31" fillId="5" borderId="38" xfId="0" applyFont="1" applyFill="1" applyBorder="1" applyAlignment="1" applyProtection="1">
      <alignment vertical="center" wrapText="1"/>
      <protection hidden="1"/>
    </xf>
    <xf numFmtId="0" fontId="31" fillId="5" borderId="39" xfId="0" applyFont="1" applyFill="1" applyBorder="1" applyAlignment="1" applyProtection="1">
      <alignment horizontal="left" vertical="center" wrapText="1"/>
      <protection hidden="1"/>
    </xf>
    <xf numFmtId="14" fontId="31" fillId="5" borderId="31" xfId="0" applyNumberFormat="1" applyFont="1" applyFill="1" applyBorder="1" applyAlignment="1" applyProtection="1">
      <alignment horizontal="left" vertical="center" wrapText="1"/>
      <protection hidden="1"/>
    </xf>
    <xf numFmtId="0" fontId="70" fillId="50" borderId="31" xfId="0" applyFont="1" applyFill="1" applyBorder="1" applyAlignment="1" applyProtection="1">
      <alignment horizontal="right" vertical="center" wrapText="1"/>
      <protection hidden="1"/>
    </xf>
    <xf numFmtId="0" fontId="86" fillId="50" borderId="30" xfId="0" applyFont="1" applyFill="1" applyBorder="1" applyAlignment="1" applyProtection="1">
      <alignment vertical="center" wrapText="1"/>
      <protection hidden="1"/>
    </xf>
    <xf numFmtId="0" fontId="70" fillId="17" borderId="30" xfId="0" applyFont="1" applyFill="1" applyBorder="1" applyAlignment="1" applyProtection="1">
      <alignment vertical="center" wrapText="1"/>
      <protection hidden="1"/>
    </xf>
    <xf numFmtId="0" fontId="146" fillId="17" borderId="30" xfId="0" applyFont="1" applyFill="1" applyBorder="1" applyAlignment="1" applyProtection="1">
      <alignment vertical="center" wrapText="1"/>
      <protection hidden="1"/>
    </xf>
    <xf numFmtId="0" fontId="70" fillId="17" borderId="30" xfId="0" applyFont="1" applyFill="1" applyBorder="1" applyAlignment="1" applyProtection="1">
      <alignment horizontal="right" vertical="center" wrapText="1"/>
      <protection hidden="1"/>
    </xf>
    <xf numFmtId="0" fontId="84" fillId="17" borderId="30" xfId="0" quotePrefix="1" applyFont="1" applyFill="1" applyBorder="1" applyAlignment="1" applyProtection="1">
      <alignment horizontal="right" vertical="center" wrapText="1"/>
      <protection hidden="1"/>
    </xf>
    <xf numFmtId="0" fontId="31" fillId="9" borderId="30" xfId="0" applyFont="1" applyFill="1" applyBorder="1" applyAlignment="1" applyProtection="1">
      <alignment horizontal="center" vertical="center" textRotation="90" wrapText="1"/>
      <protection hidden="1"/>
    </xf>
    <xf numFmtId="0" fontId="31" fillId="9" borderId="30" xfId="0" applyFont="1" applyFill="1" applyBorder="1" applyAlignment="1" applyProtection="1">
      <alignment horizontal="center" vertical="center" wrapText="1"/>
      <protection hidden="1"/>
    </xf>
    <xf numFmtId="0" fontId="31" fillId="11" borderId="32" xfId="0" applyFont="1" applyFill="1" applyBorder="1" applyAlignment="1" applyProtection="1">
      <alignment horizontal="left" vertical="top"/>
      <protection hidden="1"/>
    </xf>
    <xf numFmtId="0" fontId="31" fillId="28" borderId="35" xfId="0" applyFont="1" applyFill="1" applyBorder="1" applyAlignment="1" applyProtection="1">
      <alignment horizontal="left" vertical="top"/>
      <protection hidden="1"/>
    </xf>
    <xf numFmtId="0" fontId="31" fillId="28" borderId="29" xfId="0" applyFont="1" applyFill="1" applyBorder="1" applyAlignment="1" applyProtection="1">
      <alignment horizontal="left" vertical="center" wrapText="1"/>
      <protection hidden="1"/>
    </xf>
    <xf numFmtId="0" fontId="31" fillId="28" borderId="30" xfId="0" applyFont="1" applyFill="1" applyBorder="1" applyAlignment="1" applyProtection="1">
      <alignment vertical="center" wrapText="1"/>
      <protection hidden="1"/>
    </xf>
    <xf numFmtId="0" fontId="42" fillId="28" borderId="30" xfId="0" applyFont="1" applyFill="1" applyBorder="1" applyAlignment="1" applyProtection="1">
      <alignment horizontal="center" vertical="center" textRotation="90" wrapText="1"/>
      <protection hidden="1"/>
    </xf>
    <xf numFmtId="0" fontId="25" fillId="28" borderId="30" xfId="0" applyFont="1" applyFill="1" applyBorder="1" applyAlignment="1" applyProtection="1">
      <alignment vertical="center" wrapText="1"/>
      <protection hidden="1"/>
    </xf>
    <xf numFmtId="0" fontId="31" fillId="28" borderId="31" xfId="0" applyFont="1" applyFill="1" applyBorder="1" applyAlignment="1" applyProtection="1">
      <alignment vertical="center" wrapText="1"/>
      <protection hidden="1"/>
    </xf>
    <xf numFmtId="167" fontId="25" fillId="34" borderId="33" xfId="5" applyNumberFormat="1" applyFont="1" applyFill="1" applyBorder="1" applyAlignment="1" applyProtection="1">
      <alignment horizontal="left" vertical="top"/>
      <protection hidden="1"/>
    </xf>
    <xf numFmtId="175" fontId="60" fillId="34" borderId="33" xfId="0" applyNumberFormat="1" applyFont="1" applyFill="1" applyBorder="1" applyAlignment="1" applyProtection="1">
      <alignment horizontal="right" vertical="top"/>
      <protection hidden="1"/>
    </xf>
    <xf numFmtId="167" fontId="25" fillId="18" borderId="36" xfId="5" applyNumberFormat="1" applyFont="1" applyFill="1" applyBorder="1" applyAlignment="1" applyProtection="1">
      <alignment horizontal="left" vertical="top"/>
      <protection hidden="1"/>
    </xf>
    <xf numFmtId="167" fontId="25" fillId="34" borderId="36" xfId="5" applyNumberFormat="1" applyFont="1" applyFill="1" applyBorder="1" applyAlignment="1" applyProtection="1">
      <alignment horizontal="left" vertical="top"/>
      <protection hidden="1"/>
    </xf>
    <xf numFmtId="175" fontId="60" fillId="34" borderId="36" xfId="0" applyNumberFormat="1" applyFont="1" applyFill="1" applyBorder="1" applyAlignment="1" applyProtection="1">
      <alignment horizontal="right" vertical="top"/>
      <protection hidden="1"/>
    </xf>
    <xf numFmtId="167" fontId="60" fillId="51" borderId="33" xfId="5" applyNumberFormat="1" applyFont="1" applyFill="1" applyBorder="1" applyAlignment="1" applyProtection="1">
      <alignment horizontal="left" vertical="top"/>
      <protection hidden="1"/>
    </xf>
    <xf numFmtId="175" fontId="60" fillId="51" borderId="33" xfId="0" applyNumberFormat="1" applyFont="1" applyFill="1" applyBorder="1" applyAlignment="1" applyProtection="1">
      <alignment horizontal="right" vertical="top"/>
      <protection hidden="1"/>
    </xf>
    <xf numFmtId="167" fontId="60" fillId="51" borderId="36" xfId="5" applyNumberFormat="1" applyFont="1" applyFill="1" applyBorder="1" applyAlignment="1" applyProtection="1">
      <alignment horizontal="left" vertical="top"/>
      <protection hidden="1"/>
    </xf>
    <xf numFmtId="175" fontId="60" fillId="51" borderId="36" xfId="0" applyNumberFormat="1" applyFont="1" applyFill="1" applyBorder="1" applyAlignment="1" applyProtection="1">
      <alignment horizontal="right" vertical="top"/>
      <protection hidden="1"/>
    </xf>
    <xf numFmtId="167" fontId="60" fillId="9" borderId="36" xfId="5" applyNumberFormat="1" applyFont="1" applyFill="1" applyBorder="1" applyAlignment="1" applyProtection="1">
      <alignment horizontal="left" vertical="top"/>
      <protection hidden="1"/>
    </xf>
    <xf numFmtId="175" fontId="60" fillId="9" borderId="33" xfId="0" applyNumberFormat="1" applyFont="1" applyFill="1" applyBorder="1" applyAlignment="1" applyProtection="1">
      <alignment horizontal="right" vertical="top"/>
      <protection hidden="1"/>
    </xf>
    <xf numFmtId="14" fontId="31" fillId="0" borderId="70" xfId="0" applyNumberFormat="1" applyFont="1" applyBorder="1" applyAlignment="1" applyProtection="1">
      <alignment horizontal="left" vertical="top"/>
      <protection locked="0"/>
    </xf>
    <xf numFmtId="0" fontId="31" fillId="0" borderId="71" xfId="0" applyFont="1" applyBorder="1" applyAlignment="1" applyProtection="1">
      <alignment vertical="center"/>
      <protection locked="0"/>
    </xf>
    <xf numFmtId="0" fontId="31" fillId="0" borderId="0" xfId="0" applyFont="1" applyAlignment="1" applyProtection="1">
      <alignment horizontal="left" vertical="center"/>
      <protection locked="0" hidden="1"/>
    </xf>
    <xf numFmtId="14" fontId="40" fillId="0" borderId="71" xfId="0" applyNumberFormat="1" applyFont="1" applyBorder="1" applyAlignment="1" applyProtection="1">
      <alignment vertical="center"/>
      <protection hidden="1"/>
    </xf>
    <xf numFmtId="0" fontId="40" fillId="5" borderId="0" xfId="0" applyFont="1" applyFill="1" applyAlignment="1" applyProtection="1">
      <alignment vertical="center" wrapText="1"/>
      <protection hidden="1"/>
    </xf>
    <xf numFmtId="14" fontId="31" fillId="5" borderId="39" xfId="0" applyNumberFormat="1" applyFont="1" applyFill="1" applyBorder="1" applyAlignment="1" applyProtection="1">
      <alignment horizontal="left" vertical="center" wrapText="1"/>
      <protection hidden="1"/>
    </xf>
    <xf numFmtId="0" fontId="31" fillId="5" borderId="32" xfId="0" applyFont="1" applyFill="1" applyBorder="1" applyAlignment="1" applyProtection="1">
      <alignment vertical="top"/>
      <protection hidden="1"/>
    </xf>
    <xf numFmtId="0" fontId="31" fillId="5" borderId="35" xfId="0" applyFont="1" applyFill="1" applyBorder="1" applyAlignment="1" applyProtection="1">
      <alignment vertical="top"/>
      <protection hidden="1"/>
    </xf>
    <xf numFmtId="0" fontId="25" fillId="11" borderId="0" xfId="0" applyFont="1" applyFill="1" applyAlignment="1" applyProtection="1">
      <alignment vertical="top" wrapText="1"/>
      <protection locked="0"/>
    </xf>
    <xf numFmtId="0" fontId="40" fillId="5" borderId="34" xfId="0" applyFont="1" applyFill="1" applyBorder="1" applyAlignment="1" applyProtection="1">
      <alignment horizontal="left" vertical="center" wrapText="1"/>
      <protection hidden="1"/>
    </xf>
    <xf numFmtId="1" fontId="34" fillId="0" borderId="0" xfId="0" applyNumberFormat="1" applyFont="1" applyAlignment="1" applyProtection="1">
      <alignment horizontal="left" vertical="center"/>
      <protection hidden="1"/>
    </xf>
    <xf numFmtId="0" fontId="84" fillId="17" borderId="43" xfId="0" applyFont="1" applyFill="1" applyBorder="1" applyAlignment="1">
      <alignment vertical="top" wrapText="1"/>
    </xf>
    <xf numFmtId="0" fontId="84" fillId="17" borderId="44" xfId="0" applyFont="1" applyFill="1" applyBorder="1" applyAlignment="1">
      <alignment vertical="top" wrapText="1"/>
    </xf>
    <xf numFmtId="0" fontId="51" fillId="6" borderId="0" xfId="0" applyFont="1" applyFill="1" applyAlignment="1" applyProtection="1">
      <alignment horizontal="right" vertical="center"/>
      <protection hidden="1"/>
    </xf>
    <xf numFmtId="164" fontId="51" fillId="6" borderId="0" xfId="0" applyNumberFormat="1" applyFont="1" applyFill="1" applyAlignment="1" applyProtection="1">
      <alignment horizontal="right" vertical="center"/>
      <protection hidden="1"/>
    </xf>
    <xf numFmtId="0" fontId="67" fillId="0" borderId="0" xfId="0" applyFont="1" applyAlignment="1" applyProtection="1">
      <alignment vertical="center"/>
      <protection hidden="1"/>
    </xf>
    <xf numFmtId="0" fontId="133" fillId="0" borderId="2" xfId="0" applyFont="1" applyBorder="1" applyAlignment="1" applyProtection="1">
      <alignment vertical="center"/>
      <protection hidden="1"/>
    </xf>
    <xf numFmtId="0" fontId="27" fillId="0" borderId="2" xfId="0" applyFont="1" applyBorder="1" applyAlignment="1">
      <alignment horizontal="left" vertical="center"/>
    </xf>
    <xf numFmtId="0" fontId="26" fillId="0" borderId="2" xfId="0" applyFont="1" applyBorder="1" applyAlignment="1" applyProtection="1">
      <alignment vertical="top"/>
      <protection hidden="1"/>
    </xf>
    <xf numFmtId="0" fontId="27" fillId="0" borderId="2" xfId="0" applyFont="1" applyBorder="1" applyAlignment="1">
      <alignment horizontal="right" vertical="center" indent="1"/>
    </xf>
    <xf numFmtId="0" fontId="64" fillId="0" borderId="2" xfId="0" applyFont="1" applyBorder="1" applyAlignment="1">
      <alignment horizontal="center" vertical="top"/>
    </xf>
    <xf numFmtId="0" fontId="148" fillId="0" borderId="2" xfId="0" applyFont="1" applyBorder="1" applyAlignment="1">
      <alignment horizontal="left" vertical="center" indent="5"/>
    </xf>
    <xf numFmtId="0" fontId="86" fillId="0" borderId="0" xfId="0" applyFont="1" applyAlignment="1" applyProtection="1">
      <alignment horizontal="left" vertical="top"/>
      <protection hidden="1"/>
    </xf>
    <xf numFmtId="0" fontId="64" fillId="0" borderId="0" xfId="0" applyFont="1" applyAlignment="1" applyProtection="1">
      <alignment horizontal="center" vertical="top"/>
      <protection hidden="1"/>
    </xf>
    <xf numFmtId="0" fontId="64" fillId="0" borderId="0" xfId="0" applyFont="1" applyAlignment="1" applyProtection="1">
      <alignment vertical="top"/>
      <protection hidden="1"/>
    </xf>
    <xf numFmtId="0" fontId="70" fillId="0" borderId="0" xfId="0" applyFont="1" applyAlignment="1" applyProtection="1">
      <alignment horizontal="left" vertical="top"/>
      <protection hidden="1"/>
    </xf>
    <xf numFmtId="0" fontId="106" fillId="0" borderId="0" xfId="0" applyFont="1" applyAlignment="1">
      <alignment vertical="center"/>
    </xf>
    <xf numFmtId="0" fontId="73" fillId="0" borderId="0" xfId="0" applyFont="1" applyAlignment="1">
      <alignment vertical="center"/>
    </xf>
    <xf numFmtId="0" fontId="102" fillId="0" borderId="0" xfId="0" applyFont="1" applyAlignment="1">
      <alignment vertical="center"/>
    </xf>
    <xf numFmtId="0" fontId="78" fillId="0" borderId="0" xfId="0" applyFont="1" applyAlignment="1">
      <alignment horizontal="left" vertical="top"/>
    </xf>
    <xf numFmtId="0" fontId="149" fillId="6" borderId="0" xfId="0" applyFont="1" applyFill="1" applyAlignment="1">
      <alignment horizontal="center" vertical="center"/>
    </xf>
    <xf numFmtId="0" fontId="147" fillId="17" borderId="0" xfId="0" applyFont="1" applyFill="1" applyAlignment="1">
      <alignment horizontal="left" vertical="center"/>
    </xf>
    <xf numFmtId="0" fontId="25" fillId="28" borderId="0" xfId="0" applyFont="1" applyFill="1" applyAlignment="1">
      <alignment horizontal="center" vertical="center"/>
    </xf>
    <xf numFmtId="0" fontId="147" fillId="17" borderId="44" xfId="0" applyFont="1" applyFill="1" applyBorder="1" applyAlignment="1">
      <alignment horizontal="left" vertical="center"/>
    </xf>
    <xf numFmtId="0" fontId="74" fillId="17" borderId="33" xfId="0" applyFont="1" applyFill="1" applyBorder="1" applyAlignment="1">
      <alignment horizontal="center" vertical="center" textRotation="90"/>
    </xf>
    <xf numFmtId="0" fontId="78" fillId="17" borderId="33" xfId="0" applyFont="1" applyFill="1" applyBorder="1" applyAlignment="1">
      <alignment horizontal="left" vertical="center"/>
    </xf>
    <xf numFmtId="0" fontId="78" fillId="17" borderId="32" xfId="0" applyFont="1" applyFill="1" applyBorder="1" applyAlignment="1">
      <alignment horizontal="center" vertical="center"/>
    </xf>
    <xf numFmtId="0" fontId="88" fillId="0" borderId="0" xfId="0" applyFont="1"/>
    <xf numFmtId="0" fontId="86" fillId="6" borderId="0" xfId="0" applyFont="1" applyFill="1" applyAlignment="1">
      <alignment horizontal="left" vertical="top"/>
    </xf>
    <xf numFmtId="0" fontId="25" fillId="6" borderId="0" xfId="18" applyFont="1" applyFill="1" applyBorder="1" applyAlignment="1" applyProtection="1">
      <alignment horizontal="left" vertical="top" wrapText="1"/>
    </xf>
    <xf numFmtId="0" fontId="42" fillId="6" borderId="0" xfId="0" applyFont="1" applyFill="1" applyAlignment="1">
      <alignment horizontal="center" vertical="top"/>
    </xf>
    <xf numFmtId="0" fontId="134" fillId="6" borderId="0" xfId="18" applyFont="1" applyFill="1" applyBorder="1" applyAlignment="1" applyProtection="1">
      <alignment horizontal="left" vertical="top" wrapText="1"/>
    </xf>
    <xf numFmtId="0" fontId="134" fillId="6" borderId="0" xfId="18" applyFont="1" applyFill="1" applyBorder="1" applyAlignment="1" applyProtection="1">
      <alignment horizontal="center" vertical="top" wrapText="1"/>
    </xf>
    <xf numFmtId="0" fontId="88" fillId="6" borderId="0" xfId="18" applyFont="1" applyFill="1" applyBorder="1" applyAlignment="1" applyProtection="1">
      <alignment horizontal="center" vertical="top" wrapText="1"/>
    </xf>
    <xf numFmtId="0" fontId="25" fillId="6" borderId="0" xfId="0" applyFont="1" applyFill="1" applyAlignment="1">
      <alignment vertical="top"/>
    </xf>
    <xf numFmtId="0" fontId="86" fillId="6" borderId="0" xfId="0" applyFont="1" applyFill="1" applyAlignment="1" applyProtection="1">
      <alignment horizontal="center" vertical="top"/>
      <protection hidden="1"/>
    </xf>
    <xf numFmtId="0" fontId="64" fillId="6" borderId="0" xfId="0" applyFont="1" applyFill="1" applyAlignment="1" applyProtection="1">
      <alignment horizontal="center" vertical="top"/>
      <protection locked="0"/>
    </xf>
    <xf numFmtId="0" fontId="42" fillId="28" borderId="33" xfId="0" applyFont="1" applyFill="1" applyBorder="1" applyAlignment="1">
      <alignment horizontal="center" vertical="center"/>
    </xf>
    <xf numFmtId="171" fontId="64" fillId="0" borderId="0" xfId="0" applyNumberFormat="1" applyFont="1"/>
    <xf numFmtId="171" fontId="25" fillId="0" borderId="0" xfId="0" applyNumberFormat="1" applyFont="1"/>
    <xf numFmtId="0" fontId="86" fillId="6" borderId="0" xfId="0" applyFont="1" applyFill="1"/>
    <xf numFmtId="0" fontId="25" fillId="6" borderId="0" xfId="0" applyFont="1" applyFill="1"/>
    <xf numFmtId="171" fontId="52" fillId="0" borderId="0" xfId="0" applyNumberFormat="1" applyFont="1"/>
    <xf numFmtId="0" fontId="52" fillId="0" borderId="0" xfId="0" applyFont="1"/>
    <xf numFmtId="0" fontId="86" fillId="6" borderId="0" xfId="0" applyFont="1" applyFill="1" applyAlignment="1">
      <alignment horizontal="center"/>
    </xf>
    <xf numFmtId="0" fontId="88" fillId="0" borderId="0" xfId="0" applyFont="1" applyAlignment="1">
      <alignment horizontal="center" vertical="top"/>
    </xf>
    <xf numFmtId="0" fontId="42" fillId="6" borderId="0" xfId="0" applyFont="1" applyFill="1" applyAlignment="1">
      <alignment horizontal="center"/>
    </xf>
    <xf numFmtId="0" fontId="1" fillId="0" borderId="0" xfId="9" applyAlignment="1" applyProtection="1">
      <alignment vertical="center" wrapText="1"/>
      <protection hidden="1"/>
    </xf>
    <xf numFmtId="0" fontId="8" fillId="2" borderId="64" xfId="9" applyFont="1" applyFill="1" applyBorder="1" applyAlignment="1" applyProtection="1">
      <alignment horizontal="left" vertical="top" wrapText="1"/>
      <protection hidden="1"/>
    </xf>
    <xf numFmtId="0" fontId="3" fillId="0" borderId="64" xfId="9" applyFont="1" applyBorder="1" applyAlignment="1" applyProtection="1">
      <alignment horizontal="left" vertical="top" wrapText="1"/>
      <protection hidden="1"/>
    </xf>
    <xf numFmtId="0" fontId="84" fillId="0" borderId="43" xfId="0" applyFont="1" applyBorder="1" applyAlignment="1">
      <alignment vertical="top" wrapText="1"/>
    </xf>
    <xf numFmtId="0" fontId="84" fillId="0" borderId="44" xfId="0" applyFont="1" applyBorder="1" applyAlignment="1">
      <alignment vertical="top" wrapText="1"/>
    </xf>
    <xf numFmtId="0" fontId="145" fillId="0" borderId="45" xfId="0" applyFont="1" applyBorder="1" applyAlignment="1">
      <alignment vertical="top" wrapText="1"/>
    </xf>
    <xf numFmtId="0" fontId="146" fillId="17" borderId="44" xfId="0" applyFont="1" applyFill="1" applyBorder="1" applyAlignment="1">
      <alignment vertical="top" wrapText="1"/>
    </xf>
    <xf numFmtId="0" fontId="147" fillId="17" borderId="43" xfId="0" applyFont="1" applyFill="1" applyBorder="1" applyAlignment="1">
      <alignment horizontal="left" vertical="center"/>
    </xf>
    <xf numFmtId="0" fontId="59" fillId="38" borderId="30" xfId="0" applyFont="1" applyFill="1" applyBorder="1" applyAlignment="1">
      <alignment vertical="top" wrapText="1"/>
    </xf>
    <xf numFmtId="0" fontId="60" fillId="38" borderId="30" xfId="0" applyFont="1" applyFill="1" applyBorder="1" applyAlignment="1">
      <alignment horizontal="center" vertical="top" wrapText="1"/>
    </xf>
    <xf numFmtId="0" fontId="26" fillId="0" borderId="2" xfId="0" applyFont="1" applyBorder="1" applyProtection="1">
      <protection hidden="1"/>
    </xf>
    <xf numFmtId="0" fontId="26" fillId="0" borderId="2" xfId="0" applyFont="1" applyBorder="1"/>
    <xf numFmtId="0" fontId="26" fillId="0" borderId="2" xfId="0" applyFont="1" applyBorder="1" applyAlignment="1" applyProtection="1">
      <alignment horizontal="left"/>
      <protection hidden="1"/>
    </xf>
    <xf numFmtId="0" fontId="130" fillId="0" borderId="61" xfId="0" applyFont="1" applyBorder="1" applyProtection="1">
      <protection hidden="1"/>
    </xf>
    <xf numFmtId="0" fontId="26" fillId="0" borderId="2" xfId="11" applyFont="1" applyBorder="1" applyProtection="1">
      <protection hidden="1"/>
    </xf>
    <xf numFmtId="0" fontId="89" fillId="0" borderId="2" xfId="0" applyFont="1" applyBorder="1" applyAlignment="1" applyProtection="1">
      <alignment horizontal="left"/>
      <protection hidden="1"/>
    </xf>
    <xf numFmtId="49" fontId="31" fillId="18" borderId="33" xfId="0" applyNumberFormat="1" applyFont="1" applyFill="1" applyBorder="1" applyAlignment="1" applyProtection="1">
      <alignment horizontal="left" vertical="top" wrapText="1"/>
      <protection locked="0"/>
    </xf>
    <xf numFmtId="49" fontId="51" fillId="18" borderId="33" xfId="1" applyNumberFormat="1" applyFont="1" applyFill="1" applyBorder="1" applyAlignment="1" applyProtection="1">
      <alignment horizontal="left" vertical="top" wrapText="1"/>
      <protection locked="0"/>
    </xf>
    <xf numFmtId="14" fontId="51" fillId="18" borderId="33" xfId="1" applyNumberFormat="1" applyFont="1" applyFill="1" applyBorder="1" applyAlignment="1" applyProtection="1">
      <alignment horizontal="left" vertical="top" wrapText="1"/>
      <protection locked="0"/>
    </xf>
    <xf numFmtId="0" fontId="31" fillId="18" borderId="33" xfId="0" quotePrefix="1" applyFont="1" applyFill="1" applyBorder="1" applyAlignment="1" applyProtection="1">
      <alignment horizontal="center" vertical="top" wrapText="1"/>
      <protection locked="0"/>
    </xf>
    <xf numFmtId="49" fontId="31" fillId="7" borderId="33" xfId="0" applyNumberFormat="1" applyFont="1" applyFill="1" applyBorder="1" applyAlignment="1" applyProtection="1">
      <alignment horizontal="left" vertical="top" wrapText="1"/>
      <protection locked="0"/>
    </xf>
    <xf numFmtId="49" fontId="51" fillId="7" borderId="33" xfId="1" applyNumberFormat="1" applyFont="1" applyFill="1" applyBorder="1" applyAlignment="1" applyProtection="1">
      <alignment horizontal="left" vertical="top" wrapText="1"/>
      <protection locked="0"/>
    </xf>
    <xf numFmtId="14" fontId="51" fillId="7" borderId="33" xfId="1" applyNumberFormat="1" applyFont="1" applyFill="1" applyBorder="1" applyAlignment="1" applyProtection="1">
      <alignment horizontal="left" vertical="top" wrapText="1"/>
      <protection locked="0"/>
    </xf>
    <xf numFmtId="0" fontId="31" fillId="7" borderId="33" xfId="0" quotePrefix="1" applyFont="1" applyFill="1" applyBorder="1" applyAlignment="1" applyProtection="1">
      <alignment horizontal="center" vertical="top" wrapText="1"/>
      <protection locked="0"/>
    </xf>
    <xf numFmtId="1" fontId="88" fillId="0" borderId="30" xfId="0" applyNumberFormat="1" applyFont="1" applyBorder="1" applyAlignment="1" applyProtection="1">
      <alignment horizontal="center" vertical="center" wrapText="1"/>
      <protection locked="0"/>
    </xf>
    <xf numFmtId="1" fontId="88" fillId="0" borderId="33" xfId="0" applyNumberFormat="1" applyFont="1" applyBorder="1" applyAlignment="1" applyProtection="1">
      <alignment horizontal="center" vertical="center" wrapText="1"/>
      <protection locked="0"/>
    </xf>
    <xf numFmtId="1" fontId="39" fillId="0" borderId="36" xfId="0" applyNumberFormat="1" applyFont="1" applyBorder="1" applyAlignment="1" applyProtection="1">
      <alignment horizontal="center" vertical="center" wrapText="1"/>
      <protection locked="0"/>
    </xf>
    <xf numFmtId="0" fontId="31" fillId="24" borderId="32" xfId="0" applyFont="1" applyFill="1" applyBorder="1" applyAlignment="1" applyProtection="1">
      <alignment horizontal="center" vertical="top"/>
      <protection locked="0"/>
    </xf>
    <xf numFmtId="0" fontId="31" fillId="25" borderId="32" xfId="0" applyFont="1" applyFill="1" applyBorder="1" applyAlignment="1" applyProtection="1">
      <alignment horizontal="center" vertical="top"/>
      <protection locked="0"/>
    </xf>
    <xf numFmtId="0" fontId="31" fillId="5" borderId="32" xfId="0" applyFont="1" applyFill="1" applyBorder="1" applyAlignment="1" applyProtection="1">
      <alignment horizontal="center" vertical="top"/>
      <protection locked="0"/>
    </xf>
    <xf numFmtId="0" fontId="31" fillId="28" borderId="32" xfId="0" applyFont="1" applyFill="1" applyBorder="1" applyAlignment="1" applyProtection="1">
      <alignment horizontal="center" vertical="top"/>
      <protection locked="0"/>
    </xf>
    <xf numFmtId="0" fontId="31" fillId="26" borderId="32" xfId="0" applyFont="1" applyFill="1" applyBorder="1" applyAlignment="1" applyProtection="1">
      <alignment horizontal="center" vertical="top"/>
      <protection locked="0"/>
    </xf>
    <xf numFmtId="0" fontId="31" fillId="30" borderId="32" xfId="0" applyFont="1" applyFill="1" applyBorder="1" applyAlignment="1" applyProtection="1">
      <alignment horizontal="center" vertical="top"/>
      <protection locked="0"/>
    </xf>
    <xf numFmtId="0" fontId="31" fillId="23" borderId="32" xfId="0" applyFont="1" applyFill="1" applyBorder="1" applyAlignment="1" applyProtection="1">
      <alignment horizontal="center" vertical="top"/>
      <protection locked="0"/>
    </xf>
    <xf numFmtId="0" fontId="51" fillId="29" borderId="32" xfId="0" applyFont="1" applyFill="1" applyBorder="1" applyAlignment="1" applyProtection="1">
      <alignment horizontal="center" vertical="top"/>
      <protection locked="0"/>
    </xf>
    <xf numFmtId="0" fontId="31" fillId="32" borderId="32" xfId="0" applyFont="1" applyFill="1" applyBorder="1" applyAlignment="1" applyProtection="1">
      <alignment horizontal="center" vertical="top"/>
      <protection locked="0"/>
    </xf>
    <xf numFmtId="0" fontId="31" fillId="33" borderId="32" xfId="0" applyFont="1" applyFill="1" applyBorder="1" applyAlignment="1" applyProtection="1">
      <alignment horizontal="center" vertical="top"/>
      <protection locked="0"/>
    </xf>
    <xf numFmtId="0" fontId="4" fillId="0" borderId="65" xfId="9" applyFont="1" applyBorder="1" applyAlignment="1" applyProtection="1">
      <alignment vertical="center" wrapText="1"/>
      <protection hidden="1"/>
    </xf>
    <xf numFmtId="9" fontId="25" fillId="5" borderId="33" xfId="0" quotePrefix="1" applyNumberFormat="1" applyFont="1" applyFill="1" applyBorder="1" applyAlignment="1" applyProtection="1">
      <alignment horizontal="left" vertical="center" wrapText="1"/>
      <protection locked="0"/>
    </xf>
    <xf numFmtId="167" fontId="78" fillId="28" borderId="0" xfId="0" applyNumberFormat="1" applyFont="1" applyFill="1" applyAlignment="1" applyProtection="1">
      <alignment vertical="center"/>
      <protection hidden="1"/>
    </xf>
    <xf numFmtId="0" fontId="42" fillId="0" borderId="0" xfId="0" applyFont="1" applyAlignment="1" applyProtection="1">
      <alignment horizontal="left" vertical="center" indent="1"/>
      <protection hidden="1"/>
    </xf>
    <xf numFmtId="167" fontId="78" fillId="28" borderId="87" xfId="0" applyNumberFormat="1" applyFont="1" applyFill="1" applyBorder="1" applyAlignment="1" applyProtection="1">
      <alignment vertical="center"/>
      <protection hidden="1"/>
    </xf>
    <xf numFmtId="14" fontId="87" fillId="11" borderId="38" xfId="0" applyNumberFormat="1" applyFont="1" applyFill="1" applyBorder="1" applyAlignment="1" applyProtection="1">
      <alignment horizontal="left" vertical="center" wrapText="1"/>
      <protection locked="0" hidden="1"/>
    </xf>
    <xf numFmtId="0" fontId="88" fillId="28" borderId="40" xfId="0" applyFont="1" applyFill="1" applyBorder="1" applyAlignment="1" applyProtection="1">
      <alignment horizontal="left" vertical="top"/>
      <protection hidden="1"/>
    </xf>
    <xf numFmtId="0" fontId="108" fillId="11" borderId="40" xfId="0" applyFont="1" applyFill="1" applyBorder="1" applyAlignment="1" applyProtection="1">
      <alignment horizontal="left" vertical="top"/>
      <protection hidden="1"/>
    </xf>
    <xf numFmtId="0" fontId="88" fillId="11" borderId="39" xfId="0" applyFont="1" applyFill="1" applyBorder="1" applyAlignment="1" applyProtection="1">
      <alignment horizontal="left" vertical="top"/>
      <protection hidden="1"/>
    </xf>
    <xf numFmtId="0" fontId="86" fillId="17" borderId="31" xfId="0" applyFont="1" applyFill="1" applyBorder="1" applyAlignment="1" applyProtection="1">
      <alignment horizontal="right" vertical="center" wrapText="1"/>
      <protection hidden="1"/>
    </xf>
    <xf numFmtId="0" fontId="4" fillId="0" borderId="90" xfId="9" applyFont="1" applyBorder="1" applyAlignment="1" applyProtection="1">
      <alignment horizontal="left" vertical="top" wrapText="1"/>
      <protection hidden="1"/>
    </xf>
    <xf numFmtId="0" fontId="11" fillId="0" borderId="0" xfId="0" applyFont="1" applyProtection="1">
      <protection hidden="1"/>
    </xf>
    <xf numFmtId="0" fontId="11" fillId="0" borderId="0" xfId="9" applyFont="1" applyAlignment="1" applyProtection="1">
      <alignment vertical="top" wrapText="1"/>
      <protection hidden="1"/>
    </xf>
    <xf numFmtId="0" fontId="151" fillId="2" borderId="54" xfId="9" applyFont="1" applyFill="1" applyBorder="1" applyAlignment="1" applyProtection="1">
      <alignment vertical="center" wrapText="1"/>
      <protection hidden="1"/>
    </xf>
    <xf numFmtId="9" fontId="70" fillId="0" borderId="0" xfId="0" applyNumberFormat="1" applyFont="1" applyAlignment="1" applyProtection="1">
      <alignment vertical="center"/>
      <protection hidden="1"/>
    </xf>
    <xf numFmtId="0" fontId="86" fillId="0" borderId="0" xfId="0" applyFont="1" applyProtection="1">
      <protection hidden="1"/>
    </xf>
    <xf numFmtId="9" fontId="70" fillId="0" borderId="0" xfId="15" applyFont="1" applyFill="1" applyAlignment="1" applyProtection="1">
      <alignment vertical="center"/>
      <protection hidden="1"/>
    </xf>
    <xf numFmtId="9" fontId="70" fillId="0" borderId="0" xfId="15" applyFont="1" applyFill="1" applyProtection="1">
      <protection hidden="1"/>
    </xf>
    <xf numFmtId="9" fontId="86" fillId="0" borderId="0" xfId="15" applyFont="1" applyFill="1" applyAlignment="1" applyProtection="1">
      <alignment vertical="center"/>
      <protection hidden="1"/>
    </xf>
    <xf numFmtId="9" fontId="146" fillId="0" borderId="0" xfId="15" applyFont="1" applyFill="1" applyAlignment="1" applyProtection="1">
      <alignment vertical="center"/>
      <protection hidden="1"/>
    </xf>
    <xf numFmtId="0" fontId="1" fillId="2" borderId="0" xfId="9" applyFill="1" applyAlignment="1" applyProtection="1">
      <alignment horizontal="left" vertical="center" wrapText="1"/>
      <protection hidden="1"/>
    </xf>
    <xf numFmtId="0" fontId="23" fillId="0" borderId="65" xfId="9" applyFont="1" applyBorder="1" applyAlignment="1" applyProtection="1">
      <alignment horizontal="left" vertical="center" wrapText="1"/>
      <protection hidden="1"/>
    </xf>
    <xf numFmtId="0" fontId="0" fillId="0" borderId="0" xfId="9" applyFont="1" applyAlignment="1" applyProtection="1">
      <alignment horizontal="left" vertical="center" wrapText="1"/>
      <protection hidden="1"/>
    </xf>
    <xf numFmtId="0" fontId="4" fillId="0" borderId="68" xfId="9" applyFont="1" applyBorder="1" applyAlignment="1" applyProtection="1">
      <alignment horizontal="left" vertical="top" wrapText="1"/>
      <protection hidden="1"/>
    </xf>
    <xf numFmtId="0" fontId="19" fillId="9" borderId="68" xfId="9" applyFont="1" applyFill="1" applyBorder="1" applyAlignment="1" applyProtection="1">
      <alignment horizontal="left" vertical="top" wrapText="1"/>
      <protection hidden="1"/>
    </xf>
    <xf numFmtId="0" fontId="2" fillId="9" borderId="59" xfId="9" applyFont="1" applyFill="1" applyBorder="1" applyAlignment="1" applyProtection="1">
      <alignment horizontal="left" vertical="top" wrapText="1"/>
      <protection hidden="1"/>
    </xf>
    <xf numFmtId="0" fontId="2" fillId="9" borderId="91" xfId="9" applyFont="1" applyFill="1" applyBorder="1" applyAlignment="1" applyProtection="1">
      <alignment horizontal="left" vertical="top" wrapText="1"/>
      <protection hidden="1"/>
    </xf>
    <xf numFmtId="0" fontId="18" fillId="12" borderId="34" xfId="8" applyFont="1" applyFill="1" applyBorder="1" applyAlignment="1" applyProtection="1">
      <alignment horizontal="left" vertical="top" wrapText="1"/>
      <protection hidden="1"/>
    </xf>
    <xf numFmtId="0" fontId="4" fillId="0" borderId="92" xfId="9" applyFont="1" applyBorder="1" applyAlignment="1" applyProtection="1">
      <alignment horizontal="left" vertical="top" wrapText="1"/>
      <protection hidden="1"/>
    </xf>
    <xf numFmtId="0" fontId="4" fillId="0" borderId="59" xfId="9" applyFont="1" applyBorder="1" applyAlignment="1" applyProtection="1">
      <alignment horizontal="left" vertical="top" wrapText="1"/>
      <protection hidden="1"/>
    </xf>
    <xf numFmtId="0" fontId="3" fillId="0" borderId="68" xfId="9" applyFont="1" applyBorder="1" applyAlignment="1" applyProtection="1">
      <alignment horizontal="left" vertical="top" wrapText="1"/>
      <protection hidden="1"/>
    </xf>
    <xf numFmtId="0" fontId="0" fillId="0" borderId="68" xfId="9" applyFont="1" applyBorder="1" applyAlignment="1" applyProtection="1">
      <alignment horizontal="left" vertical="center" wrapText="1"/>
      <protection hidden="1"/>
    </xf>
    <xf numFmtId="0" fontId="18" fillId="12" borderId="34" xfId="8" applyFont="1" applyFill="1" applyBorder="1" applyAlignment="1" applyProtection="1">
      <alignment horizontal="left" vertical="center" wrapText="1"/>
      <protection hidden="1"/>
    </xf>
    <xf numFmtId="0" fontId="4" fillId="0" borderId="92" xfId="9" applyFont="1" applyBorder="1" applyAlignment="1" applyProtection="1">
      <alignment vertical="center" wrapText="1"/>
      <protection hidden="1"/>
    </xf>
    <xf numFmtId="0" fontId="4" fillId="0" borderId="59" xfId="9" applyFont="1" applyBorder="1" applyAlignment="1" applyProtection="1">
      <alignment vertical="center" wrapText="1"/>
      <protection hidden="1"/>
    </xf>
    <xf numFmtId="0" fontId="4" fillId="0" borderId="59" xfId="9" applyFont="1" applyBorder="1" applyAlignment="1" applyProtection="1">
      <alignment horizontal="left" vertical="center" wrapText="1"/>
      <protection hidden="1"/>
    </xf>
    <xf numFmtId="0" fontId="5" fillId="12" borderId="34" xfId="2" applyFont="1" applyFill="1" applyBorder="1" applyAlignment="1" applyProtection="1">
      <alignment horizontal="left" vertical="top" wrapText="1"/>
      <protection hidden="1"/>
    </xf>
    <xf numFmtId="0" fontId="18" fillId="12" borderId="45" xfId="8" applyFont="1" applyFill="1" applyBorder="1" applyAlignment="1" applyProtection="1">
      <alignment horizontal="left" vertical="top" wrapText="1"/>
      <protection hidden="1"/>
    </xf>
    <xf numFmtId="0" fontId="8" fillId="0" borderId="68" xfId="9" applyFont="1" applyBorder="1" applyAlignment="1" applyProtection="1">
      <alignment horizontal="left" vertical="top" wrapText="1"/>
      <protection hidden="1"/>
    </xf>
    <xf numFmtId="0" fontId="3" fillId="0" borderId="59" xfId="9" applyFont="1" applyBorder="1" applyAlignment="1" applyProtection="1">
      <alignment horizontal="left" vertical="top" wrapText="1"/>
      <protection hidden="1"/>
    </xf>
    <xf numFmtId="0" fontId="4" fillId="0" borderId="93" xfId="9" applyFont="1" applyBorder="1" applyAlignment="1" applyProtection="1">
      <alignment vertical="center" wrapText="1"/>
      <protection hidden="1"/>
    </xf>
    <xf numFmtId="0" fontId="12" fillId="12" borderId="45" xfId="8" applyFont="1" applyFill="1" applyBorder="1" applyAlignment="1" applyProtection="1">
      <alignment horizontal="left" vertical="center" wrapText="1"/>
      <protection hidden="1"/>
    </xf>
    <xf numFmtId="0" fontId="1" fillId="0" borderId="68" xfId="9" applyBorder="1" applyAlignment="1" applyProtection="1">
      <alignment horizontal="left" vertical="center" wrapText="1"/>
      <protection hidden="1"/>
    </xf>
    <xf numFmtId="0" fontId="11" fillId="9" borderId="4" xfId="9" applyFont="1" applyFill="1" applyBorder="1" applyAlignment="1" applyProtection="1">
      <alignment horizontal="center" vertical="center" wrapText="1"/>
      <protection locked="0" hidden="1"/>
    </xf>
    <xf numFmtId="0" fontId="26" fillId="0" borderId="94" xfId="0" applyFont="1" applyBorder="1" applyProtection="1">
      <protection hidden="1"/>
    </xf>
    <xf numFmtId="0" fontId="28" fillId="0" borderId="94" xfId="0" applyFont="1" applyBorder="1" applyAlignment="1" applyProtection="1">
      <alignment vertical="center"/>
      <protection hidden="1"/>
    </xf>
    <xf numFmtId="0" fontId="26" fillId="0" borderId="94" xfId="0" applyFont="1" applyBorder="1" applyAlignment="1" applyProtection="1">
      <alignment vertical="center"/>
      <protection hidden="1"/>
    </xf>
    <xf numFmtId="0" fontId="29" fillId="0" borderId="94" xfId="0" applyFont="1" applyBorder="1" applyAlignment="1" applyProtection="1">
      <alignment vertical="center"/>
      <protection hidden="1"/>
    </xf>
    <xf numFmtId="0" fontId="54" fillId="0" borderId="94" xfId="0" applyFont="1" applyBorder="1" applyAlignment="1">
      <alignment horizontal="right" vertical="center"/>
    </xf>
    <xf numFmtId="0" fontId="88" fillId="23" borderId="34" xfId="0" applyFont="1" applyFill="1" applyBorder="1" applyAlignment="1" applyProtection="1">
      <alignment horizontal="center" vertical="center" wrapText="1"/>
      <protection locked="0"/>
    </xf>
    <xf numFmtId="0" fontId="152" fillId="38" borderId="30" xfId="0" applyFont="1" applyFill="1" applyBorder="1" applyAlignment="1">
      <alignment vertical="top" wrapText="1"/>
    </xf>
    <xf numFmtId="0" fontId="152" fillId="34" borderId="29" xfId="0" applyFont="1" applyFill="1" applyBorder="1" applyAlignment="1">
      <alignment vertical="top" wrapText="1"/>
    </xf>
    <xf numFmtId="0" fontId="152" fillId="31" borderId="29" xfId="0" applyFont="1" applyFill="1" applyBorder="1" applyAlignment="1">
      <alignment vertical="top" wrapText="1"/>
    </xf>
    <xf numFmtId="0" fontId="152" fillId="19" borderId="29" xfId="0" applyFont="1" applyFill="1" applyBorder="1" applyAlignment="1">
      <alignment vertical="top" wrapText="1"/>
    </xf>
    <xf numFmtId="0" fontId="152" fillId="40" borderId="29" xfId="0" applyFont="1" applyFill="1" applyBorder="1" applyAlignment="1">
      <alignment vertical="top"/>
    </xf>
    <xf numFmtId="0" fontId="25" fillId="5" borderId="39" xfId="0" applyFont="1" applyFill="1" applyBorder="1" applyAlignment="1" applyProtection="1">
      <alignment horizontal="left" vertical="center" wrapText="1"/>
      <protection hidden="1"/>
    </xf>
    <xf numFmtId="49" fontId="49" fillId="0" borderId="2" xfId="0" applyNumberFormat="1" applyFont="1" applyBorder="1" applyAlignment="1" applyProtection="1">
      <alignment vertical="center"/>
      <protection hidden="1"/>
    </xf>
    <xf numFmtId="0" fontId="51" fillId="52" borderId="0" xfId="0" applyFont="1" applyFill="1" applyAlignment="1" applyProtection="1">
      <alignment horizontal="left" vertical="center"/>
      <protection hidden="1"/>
    </xf>
    <xf numFmtId="0" fontId="66" fillId="52" borderId="0" xfId="0" applyFont="1" applyFill="1" applyAlignment="1" applyProtection="1">
      <alignment horizontal="left" vertical="center"/>
      <protection hidden="1"/>
    </xf>
    <xf numFmtId="0" fontId="64" fillId="52" borderId="0" xfId="0" applyFont="1" applyFill="1" applyAlignment="1" applyProtection="1">
      <alignment horizontal="left" vertical="center"/>
      <protection hidden="1"/>
    </xf>
    <xf numFmtId="0" fontId="51" fillId="52" borderId="0" xfId="0" applyFont="1" applyFill="1" applyAlignment="1" applyProtection="1">
      <alignment horizontal="center"/>
      <protection hidden="1"/>
    </xf>
    <xf numFmtId="175" fontId="64" fillId="53" borderId="0" xfId="11" applyNumberFormat="1" applyFont="1" applyFill="1" applyAlignment="1" applyProtection="1">
      <alignment horizontal="right" vertical="center"/>
      <protection hidden="1"/>
    </xf>
    <xf numFmtId="0" fontId="31" fillId="53" borderId="0" xfId="0" applyFont="1" applyFill="1" applyAlignment="1" applyProtection="1">
      <alignment horizontal="left" vertical="center"/>
      <protection hidden="1"/>
    </xf>
    <xf numFmtId="0" fontId="63" fillId="53" borderId="0" xfId="1" applyFont="1" applyFill="1" applyBorder="1" applyAlignment="1" applyProtection="1">
      <alignment horizontal="left" vertical="center"/>
      <protection hidden="1"/>
    </xf>
    <xf numFmtId="175" fontId="64" fillId="53" borderId="44" xfId="11" applyNumberFormat="1" applyFont="1" applyFill="1" applyBorder="1" applyAlignment="1" applyProtection="1">
      <alignment horizontal="right" vertical="center"/>
      <protection hidden="1"/>
    </xf>
    <xf numFmtId="175" fontId="64" fillId="53" borderId="45" xfId="11" applyNumberFormat="1" applyFont="1" applyFill="1" applyBorder="1" applyAlignment="1" applyProtection="1">
      <alignment horizontal="right" vertical="center"/>
      <protection hidden="1"/>
    </xf>
    <xf numFmtId="0" fontId="59" fillId="52" borderId="0" xfId="0" applyFont="1" applyFill="1" applyAlignment="1" applyProtection="1">
      <alignment horizontal="left" vertical="center"/>
      <protection hidden="1"/>
    </xf>
    <xf numFmtId="0" fontId="65" fillId="52" borderId="0" xfId="1" applyFont="1" applyFill="1" applyBorder="1" applyAlignment="1" applyProtection="1">
      <alignment horizontal="left" vertical="center"/>
      <protection hidden="1"/>
    </xf>
    <xf numFmtId="175" fontId="66" fillId="52" borderId="44" xfId="11" applyNumberFormat="1" applyFont="1" applyFill="1" applyBorder="1" applyAlignment="1" applyProtection="1">
      <alignment horizontal="right" vertical="center"/>
      <protection hidden="1"/>
    </xf>
    <xf numFmtId="175" fontId="66" fillId="52" borderId="45" xfId="11" applyNumberFormat="1" applyFont="1" applyFill="1" applyBorder="1" applyAlignment="1" applyProtection="1">
      <alignment horizontal="right" vertical="center"/>
      <protection hidden="1"/>
    </xf>
    <xf numFmtId="175" fontId="66" fillId="52" borderId="0" xfId="11" applyNumberFormat="1" applyFont="1" applyFill="1" applyAlignment="1" applyProtection="1">
      <alignment horizontal="right" vertical="center"/>
      <protection hidden="1"/>
    </xf>
    <xf numFmtId="14" fontId="31" fillId="53" borderId="70" xfId="0" applyNumberFormat="1" applyFont="1" applyFill="1" applyBorder="1" applyAlignment="1" applyProtection="1">
      <alignment horizontal="left" vertical="top"/>
      <protection locked="0"/>
    </xf>
    <xf numFmtId="0" fontId="31" fillId="53" borderId="71" xfId="0" applyFont="1" applyFill="1" applyBorder="1" applyAlignment="1" applyProtection="1">
      <alignment vertical="center"/>
      <protection locked="0"/>
    </xf>
    <xf numFmtId="14" fontId="40" fillId="53" borderId="71" xfId="0" applyNumberFormat="1" applyFont="1" applyFill="1" applyBorder="1" applyAlignment="1" applyProtection="1">
      <alignment vertical="center"/>
      <protection hidden="1"/>
    </xf>
    <xf numFmtId="0" fontId="31" fillId="53" borderId="0" xfId="0" applyFont="1" applyFill="1" applyAlignment="1" applyProtection="1">
      <alignment horizontal="left" vertical="center"/>
      <protection locked="0" hidden="1"/>
    </xf>
    <xf numFmtId="0" fontId="25" fillId="0" borderId="103" xfId="0" applyFont="1" applyBorder="1" applyAlignment="1" applyProtection="1">
      <alignment horizontal="left" vertical="center"/>
      <protection hidden="1"/>
    </xf>
    <xf numFmtId="0" fontId="25" fillId="6" borderId="103" xfId="0" applyFont="1" applyFill="1" applyBorder="1" applyAlignment="1" applyProtection="1">
      <alignment horizontal="center" vertical="center" wrapText="1"/>
      <protection locked="0"/>
    </xf>
    <xf numFmtId="9" fontId="86" fillId="6" borderId="0" xfId="0" quotePrefix="1" applyNumberFormat="1" applyFont="1" applyFill="1" applyAlignment="1" applyProtection="1">
      <alignment horizontal="left" vertical="center" wrapText="1"/>
      <protection locked="0"/>
    </xf>
    <xf numFmtId="0" fontId="25" fillId="0" borderId="0" xfId="0" quotePrefix="1" applyFont="1" applyAlignment="1" applyProtection="1">
      <alignment horizontal="left" vertical="top" wrapText="1"/>
      <protection locked="0"/>
    </xf>
    <xf numFmtId="0" fontId="78" fillId="54" borderId="44" xfId="2" applyFont="1" applyFill="1" applyBorder="1" applyAlignment="1" applyProtection="1">
      <alignment horizontal="center" vertical="center" wrapText="1"/>
      <protection hidden="1"/>
    </xf>
    <xf numFmtId="0" fontId="31" fillId="55" borderId="38" xfId="0" applyFont="1" applyFill="1" applyBorder="1" applyAlignment="1" applyProtection="1">
      <alignment horizontal="left" vertical="center" wrapText="1"/>
      <protection hidden="1"/>
    </xf>
    <xf numFmtId="0" fontId="40" fillId="55" borderId="40" xfId="0" applyFont="1" applyFill="1" applyBorder="1" applyAlignment="1" applyProtection="1">
      <alignment horizontal="left" vertical="top" wrapText="1"/>
      <protection hidden="1"/>
    </xf>
    <xf numFmtId="0" fontId="72" fillId="0" borderId="104" xfId="2" applyFont="1" applyBorder="1" applyProtection="1">
      <protection hidden="1"/>
    </xf>
    <xf numFmtId="0" fontId="80" fillId="0" borderId="104" xfId="2" applyFont="1" applyBorder="1" applyAlignment="1" applyProtection="1">
      <alignment horizontal="right" indent="3"/>
      <protection hidden="1"/>
    </xf>
    <xf numFmtId="14" fontId="65" fillId="0" borderId="104" xfId="2" applyNumberFormat="1" applyFont="1" applyBorder="1" applyAlignment="1" applyProtection="1">
      <alignment horizontal="left"/>
      <protection hidden="1"/>
    </xf>
    <xf numFmtId="170" fontId="82" fillId="0" borderId="104" xfId="2" applyNumberFormat="1" applyFont="1" applyBorder="1" applyAlignment="1" applyProtection="1">
      <alignment horizontal="left"/>
      <protection hidden="1"/>
    </xf>
    <xf numFmtId="0" fontId="65" fillId="0" borderId="104" xfId="2" applyFont="1" applyBorder="1" applyAlignment="1" applyProtection="1">
      <alignment horizontal="center"/>
      <protection hidden="1"/>
    </xf>
    <xf numFmtId="9" fontId="81" fillId="0" borderId="104" xfId="2" applyNumberFormat="1" applyFont="1" applyBorder="1" applyAlignment="1" applyProtection="1">
      <alignment horizontal="left"/>
      <protection hidden="1"/>
    </xf>
    <xf numFmtId="0" fontId="78" fillId="54" borderId="43" xfId="2" applyFont="1" applyFill="1" applyBorder="1" applyAlignment="1" applyProtection="1">
      <alignment vertical="center"/>
      <protection hidden="1"/>
    </xf>
    <xf numFmtId="0" fontId="31" fillId="5" borderId="0" xfId="0" applyFont="1" applyFill="1"/>
    <xf numFmtId="170" fontId="76" fillId="0" borderId="38" xfId="2" applyNumberFormat="1" applyFont="1" applyBorder="1" applyAlignment="1" applyProtection="1">
      <alignment horizontal="center" vertical="top"/>
      <protection hidden="1"/>
    </xf>
    <xf numFmtId="170" fontId="53" fillId="0" borderId="39" xfId="2" applyNumberFormat="1" applyFont="1" applyBorder="1" applyAlignment="1" applyProtection="1">
      <alignment horizontal="center" vertical="top"/>
      <protection hidden="1"/>
    </xf>
    <xf numFmtId="170" fontId="53" fillId="0" borderId="39" xfId="2" applyNumberFormat="1" applyFont="1" applyBorder="1" applyAlignment="1" applyProtection="1">
      <alignment horizontal="left" vertical="top"/>
      <protection hidden="1"/>
    </xf>
    <xf numFmtId="14" fontId="53" fillId="0" borderId="39" xfId="2" applyNumberFormat="1" applyFont="1" applyBorder="1" applyAlignment="1" applyProtection="1">
      <alignment horizontal="right" vertical="center"/>
      <protection hidden="1"/>
    </xf>
    <xf numFmtId="14" fontId="31" fillId="55" borderId="38" xfId="0" applyNumberFormat="1" applyFont="1" applyFill="1" applyBorder="1" applyAlignment="1" applyProtection="1">
      <alignment horizontal="left" vertical="center" wrapText="1"/>
      <protection hidden="1"/>
    </xf>
    <xf numFmtId="165" fontId="70" fillId="54" borderId="44" xfId="2" applyNumberFormat="1" applyFont="1" applyFill="1" applyBorder="1" applyAlignment="1" applyProtection="1">
      <alignment horizontal="center" vertical="center"/>
      <protection hidden="1"/>
    </xf>
    <xf numFmtId="0" fontId="86" fillId="54" borderId="45" xfId="2" applyFont="1" applyFill="1" applyBorder="1" applyAlignment="1" applyProtection="1">
      <alignment horizontal="center" vertical="center" wrapText="1"/>
      <protection hidden="1"/>
    </xf>
    <xf numFmtId="0" fontId="70" fillId="54" borderId="44" xfId="2" applyFont="1" applyFill="1" applyBorder="1" applyAlignment="1" applyProtection="1">
      <alignment horizontal="center" vertical="center" wrapText="1"/>
      <protection hidden="1"/>
    </xf>
    <xf numFmtId="0" fontId="68" fillId="0" borderId="105" xfId="0" applyFont="1" applyBorder="1" applyAlignment="1" applyProtection="1">
      <alignment vertical="center"/>
      <protection hidden="1"/>
    </xf>
    <xf numFmtId="0" fontId="54" fillId="0" borderId="105" xfId="0" applyFont="1" applyBorder="1" applyAlignment="1">
      <alignment horizontal="right" vertical="center"/>
    </xf>
    <xf numFmtId="0" fontId="69" fillId="0" borderId="105" xfId="0" applyFont="1" applyBorder="1" applyAlignment="1" applyProtection="1">
      <alignment vertical="center"/>
      <protection hidden="1"/>
    </xf>
    <xf numFmtId="14" fontId="31" fillId="55" borderId="38" xfId="0" applyNumberFormat="1" applyFont="1" applyFill="1" applyBorder="1" applyAlignment="1" applyProtection="1">
      <alignment horizontal="left" vertical="center"/>
      <protection hidden="1"/>
    </xf>
    <xf numFmtId="0" fontId="40" fillId="55" borderId="38" xfId="0" applyFont="1" applyFill="1" applyBorder="1" applyAlignment="1" applyProtection="1">
      <alignment horizontal="left" vertical="center" wrapText="1"/>
      <protection hidden="1"/>
    </xf>
    <xf numFmtId="0" fontId="31" fillId="55" borderId="39" xfId="0" applyFont="1" applyFill="1" applyBorder="1" applyAlignment="1" applyProtection="1">
      <alignment horizontal="left" vertical="center"/>
      <protection hidden="1"/>
    </xf>
    <xf numFmtId="0" fontId="31" fillId="55" borderId="39" xfId="0" applyFont="1" applyFill="1" applyBorder="1" applyAlignment="1" applyProtection="1">
      <alignment horizontal="left" vertical="center" wrapText="1"/>
      <protection hidden="1"/>
    </xf>
    <xf numFmtId="0" fontId="40" fillId="55" borderId="39" xfId="0" applyFont="1" applyFill="1" applyBorder="1" applyAlignment="1" applyProtection="1">
      <alignment horizontal="left" vertical="center" wrapText="1"/>
      <protection hidden="1"/>
    </xf>
    <xf numFmtId="49" fontId="88" fillId="55" borderId="38" xfId="0" applyNumberFormat="1" applyFont="1" applyFill="1" applyBorder="1" applyAlignment="1" applyProtection="1">
      <alignment horizontal="left" vertical="center"/>
      <protection hidden="1"/>
    </xf>
    <xf numFmtId="49" fontId="108" fillId="55" borderId="39" xfId="0" applyNumberFormat="1" applyFont="1" applyFill="1" applyBorder="1" applyAlignment="1" applyProtection="1">
      <alignment horizontal="left" vertical="center"/>
      <protection hidden="1"/>
    </xf>
    <xf numFmtId="0" fontId="88" fillId="55" borderId="38" xfId="0" applyFont="1" applyFill="1" applyBorder="1" applyAlignment="1" applyProtection="1">
      <alignment horizontal="left" vertical="center" wrapText="1"/>
      <protection hidden="1"/>
    </xf>
    <xf numFmtId="0" fontId="88" fillId="55" borderId="39" xfId="0" applyFont="1" applyFill="1" applyBorder="1" applyAlignment="1" applyProtection="1">
      <alignment horizontal="left" vertical="center"/>
      <protection hidden="1"/>
    </xf>
    <xf numFmtId="9" fontId="153" fillId="55" borderId="40" xfId="15" applyFont="1" applyFill="1" applyBorder="1" applyAlignment="1" applyProtection="1">
      <alignment horizontal="left" vertical="top" wrapText="1"/>
      <protection hidden="1"/>
    </xf>
    <xf numFmtId="0" fontId="88" fillId="55" borderId="40" xfId="0" applyFont="1" applyFill="1" applyBorder="1" applyAlignment="1" applyProtection="1">
      <alignment horizontal="center" vertical="top" wrapText="1"/>
      <protection hidden="1"/>
    </xf>
    <xf numFmtId="0" fontId="54" fillId="0" borderId="105" xfId="0" applyFont="1" applyBorder="1" applyAlignment="1">
      <alignment horizontal="center" vertical="top"/>
    </xf>
    <xf numFmtId="14" fontId="88" fillId="0" borderId="0" xfId="0" applyNumberFormat="1" applyFont="1" applyAlignment="1" applyProtection="1">
      <alignment horizontal="center" vertical="top"/>
      <protection hidden="1"/>
    </xf>
    <xf numFmtId="14" fontId="88" fillId="55" borderId="38" xfId="0" applyNumberFormat="1" applyFont="1" applyFill="1" applyBorder="1" applyAlignment="1" applyProtection="1">
      <alignment horizontal="center" vertical="top" wrapText="1"/>
      <protection hidden="1"/>
    </xf>
    <xf numFmtId="0" fontId="154" fillId="0" borderId="0" xfId="2" applyFont="1" applyAlignment="1" applyProtection="1">
      <alignment horizontal="center" vertical="top" wrapText="1"/>
      <protection hidden="1"/>
    </xf>
    <xf numFmtId="0" fontId="62" fillId="0" borderId="0" xfId="2" applyFont="1" applyAlignment="1" applyProtection="1">
      <alignment horizontal="center" vertical="top"/>
      <protection hidden="1"/>
    </xf>
    <xf numFmtId="9" fontId="88" fillId="0" borderId="106" xfId="15" applyFont="1" applyFill="1" applyBorder="1" applyAlignment="1" applyProtection="1">
      <alignment horizontal="left" vertical="center" wrapText="1"/>
    </xf>
    <xf numFmtId="49" fontId="31" fillId="0" borderId="69" xfId="0" applyNumberFormat="1" applyFont="1" applyBorder="1" applyAlignment="1" applyProtection="1">
      <alignment horizontal="left" vertical="top" wrapText="1"/>
      <protection locked="0"/>
    </xf>
    <xf numFmtId="49" fontId="31" fillId="0" borderId="10" xfId="0" applyNumberFormat="1" applyFont="1" applyBorder="1" applyAlignment="1" applyProtection="1">
      <alignment horizontal="left" vertical="top" wrapText="1"/>
      <protection locked="0"/>
    </xf>
    <xf numFmtId="14" fontId="51" fillId="0" borderId="69" xfId="1" applyNumberFormat="1" applyFont="1" applyFill="1" applyBorder="1" applyAlignment="1" applyProtection="1">
      <alignment horizontal="center" vertical="top" wrapText="1"/>
      <protection locked="0"/>
    </xf>
    <xf numFmtId="14" fontId="51" fillId="0" borderId="63" xfId="1" applyNumberFormat="1" applyFont="1" applyFill="1" applyBorder="1" applyAlignment="1" applyProtection="1">
      <alignment horizontal="center" vertical="top" wrapText="1"/>
      <protection locked="0"/>
    </xf>
    <xf numFmtId="49" fontId="31" fillId="0" borderId="63" xfId="0" applyNumberFormat="1" applyFont="1" applyBorder="1" applyAlignment="1" applyProtection="1">
      <alignment horizontal="left" vertical="top" wrapText="1"/>
      <protection locked="0"/>
    </xf>
    <xf numFmtId="14" fontId="51" fillId="0" borderId="104" xfId="2" applyNumberFormat="1" applyFont="1" applyBorder="1" applyAlignment="1" applyProtection="1">
      <alignment horizontal="left" vertical="top"/>
      <protection locked="0"/>
    </xf>
    <xf numFmtId="0" fontId="51" fillId="0" borderId="104" xfId="2" applyFont="1" applyBorder="1" applyAlignment="1" applyProtection="1">
      <alignment horizontal="left" vertical="top" wrapText="1"/>
      <protection locked="0"/>
    </xf>
    <xf numFmtId="170" fontId="51" fillId="0" borderId="104" xfId="2" applyNumberFormat="1" applyFont="1" applyBorder="1" applyAlignment="1" applyProtection="1">
      <alignment horizontal="center" vertical="top" wrapText="1"/>
      <protection locked="0"/>
    </xf>
    <xf numFmtId="3" fontId="51" fillId="0" borderId="104" xfId="2" applyNumberFormat="1" applyFont="1" applyBorder="1" applyAlignment="1" applyProtection="1">
      <alignment horizontal="center" vertical="top"/>
      <protection locked="0"/>
    </xf>
    <xf numFmtId="0" fontId="51" fillId="0" borderId="104" xfId="2" applyFont="1" applyBorder="1" applyAlignment="1" applyProtection="1">
      <alignment horizontal="left" vertical="top"/>
      <protection locked="0"/>
    </xf>
    <xf numFmtId="0" fontId="51" fillId="0" borderId="104" xfId="2" applyFont="1" applyBorder="1" applyAlignment="1" applyProtection="1">
      <alignment horizontal="center" vertical="top"/>
      <protection locked="0"/>
    </xf>
    <xf numFmtId="170" fontId="51" fillId="0" borderId="107" xfId="2" applyNumberFormat="1" applyFont="1" applyBorder="1" applyAlignment="1" applyProtection="1">
      <alignment horizontal="center" vertical="top"/>
      <protection locked="0"/>
    </xf>
    <xf numFmtId="9" fontId="31" fillId="0" borderId="106" xfId="15" applyFont="1" applyFill="1" applyBorder="1" applyAlignment="1" applyProtection="1">
      <alignment horizontal="left" vertical="top" wrapText="1"/>
    </xf>
    <xf numFmtId="170" fontId="51" fillId="0" borderId="104" xfId="2" applyNumberFormat="1" applyFont="1" applyBorder="1" applyAlignment="1" applyProtection="1">
      <alignment horizontal="center" vertical="top"/>
      <protection locked="0"/>
    </xf>
    <xf numFmtId="0" fontId="36" fillId="0" borderId="104" xfId="2" applyFont="1" applyBorder="1" applyAlignment="1" applyProtection="1">
      <alignment horizontal="center" vertical="top"/>
      <protection locked="0"/>
    </xf>
    <xf numFmtId="0" fontId="51" fillId="0" borderId="104" xfId="2" quotePrefix="1" applyFont="1" applyBorder="1" applyAlignment="1" applyProtection="1">
      <alignment horizontal="left" vertical="top" wrapText="1"/>
      <protection locked="0"/>
    </xf>
    <xf numFmtId="170" fontId="51" fillId="0" borderId="104" xfId="2" quotePrefix="1" applyNumberFormat="1" applyFont="1" applyBorder="1" applyAlignment="1" applyProtection="1">
      <alignment horizontal="center" vertical="top" wrapText="1"/>
      <protection locked="0"/>
    </xf>
    <xf numFmtId="0" fontId="137" fillId="0" borderId="104" xfId="2" applyFont="1" applyBorder="1" applyAlignment="1" applyProtection="1">
      <alignment horizontal="left" vertical="top" wrapText="1"/>
      <protection locked="0"/>
    </xf>
    <xf numFmtId="170" fontId="137" fillId="0" borderId="104" xfId="2" applyNumberFormat="1" applyFont="1" applyBorder="1" applyAlignment="1" applyProtection="1">
      <alignment horizontal="center" vertical="top" wrapText="1"/>
      <protection locked="0"/>
    </xf>
    <xf numFmtId="0" fontId="70" fillId="54" borderId="45" xfId="2" applyFont="1" applyFill="1" applyBorder="1" applyAlignment="1" applyProtection="1">
      <alignment horizontal="right" vertical="center" wrapText="1"/>
      <protection hidden="1"/>
    </xf>
    <xf numFmtId="0" fontId="155" fillId="0" borderId="105" xfId="0" applyFont="1" applyBorder="1" applyAlignment="1" applyProtection="1">
      <alignment vertical="center"/>
      <protection hidden="1"/>
    </xf>
    <xf numFmtId="0" fontId="31" fillId="0" borderId="106" xfId="15" applyNumberFormat="1" applyFont="1" applyFill="1" applyBorder="1" applyAlignment="1" applyProtection="1">
      <alignment horizontal="left" vertical="top" wrapText="1"/>
    </xf>
    <xf numFmtId="0" fontId="78" fillId="54" borderId="43" xfId="2" applyFont="1" applyFill="1" applyBorder="1" applyAlignment="1" applyProtection="1">
      <alignment horizontal="left" vertical="center" wrapText="1"/>
      <protection hidden="1"/>
    </xf>
    <xf numFmtId="0" fontId="25" fillId="0" borderId="0" xfId="0" applyFont="1" applyAlignment="1" applyProtection="1">
      <alignment horizontal="left" vertical="top" wrapText="1"/>
      <protection locked="0"/>
    </xf>
    <xf numFmtId="14" fontId="25" fillId="0" borderId="0" xfId="0" applyNumberFormat="1" applyFont="1" applyAlignment="1" applyProtection="1">
      <alignment horizontal="left" vertical="top" wrapText="1"/>
      <protection locked="0"/>
    </xf>
    <xf numFmtId="0" fontId="31" fillId="5" borderId="33" xfId="0" applyFont="1" applyFill="1" applyBorder="1" applyAlignment="1" applyProtection="1">
      <alignment horizontal="left" vertical="center" wrapText="1"/>
      <protection hidden="1"/>
    </xf>
    <xf numFmtId="0" fontId="25" fillId="0" borderId="0" xfId="0" applyFont="1" applyAlignment="1" applyProtection="1">
      <alignment horizontal="right" vertical="center"/>
      <protection hidden="1"/>
    </xf>
    <xf numFmtId="0" fontId="156" fillId="0" borderId="7" xfId="0" applyFont="1" applyBorder="1" applyProtection="1">
      <protection hidden="1"/>
    </xf>
    <xf numFmtId="0" fontId="31" fillId="56" borderId="0" xfId="0" applyFont="1" applyFill="1" applyAlignment="1" applyProtection="1">
      <alignment horizontal="left" vertical="center"/>
      <protection hidden="1"/>
    </xf>
    <xf numFmtId="0" fontId="25" fillId="56" borderId="0" xfId="0" applyFont="1" applyFill="1" applyAlignment="1" applyProtection="1">
      <alignment vertical="center"/>
      <protection hidden="1"/>
    </xf>
    <xf numFmtId="4" fontId="66" fillId="56" borderId="0" xfId="11" applyNumberFormat="1" applyFont="1" applyFill="1" applyAlignment="1" applyProtection="1">
      <alignment horizontal="right" vertical="center"/>
      <protection hidden="1"/>
    </xf>
    <xf numFmtId="0" fontId="31" fillId="57" borderId="0" xfId="0" applyFont="1" applyFill="1" applyAlignment="1" applyProtection="1">
      <alignment horizontal="left" vertical="center"/>
      <protection hidden="1"/>
    </xf>
    <xf numFmtId="0" fontId="63" fillId="57" borderId="0" xfId="1" applyFont="1" applyFill="1" applyBorder="1" applyAlignment="1" applyProtection="1">
      <alignment horizontal="left" vertical="center"/>
      <protection hidden="1"/>
    </xf>
    <xf numFmtId="0" fontId="25" fillId="57" borderId="0" xfId="0" applyFont="1" applyFill="1" applyAlignment="1" applyProtection="1">
      <alignment vertical="center"/>
      <protection hidden="1"/>
    </xf>
    <xf numFmtId="4" fontId="64" fillId="57" borderId="0" xfId="11" applyNumberFormat="1" applyFont="1" applyFill="1" applyAlignment="1" applyProtection="1">
      <alignment horizontal="right" vertical="center"/>
      <protection hidden="1"/>
    </xf>
    <xf numFmtId="0" fontId="31" fillId="57" borderId="0" xfId="0" applyFont="1" applyFill="1" applyAlignment="1" applyProtection="1">
      <alignment vertical="center"/>
      <protection hidden="1"/>
    </xf>
    <xf numFmtId="0" fontId="60" fillId="57" borderId="0" xfId="0" applyFont="1" applyFill="1" applyAlignment="1" applyProtection="1">
      <alignment vertical="center" wrapText="1"/>
      <protection hidden="1"/>
    </xf>
    <xf numFmtId="0" fontId="88" fillId="57" borderId="0" xfId="0" applyFont="1" applyFill="1" applyAlignment="1" applyProtection="1">
      <alignment horizontal="left" vertical="center" indent="9"/>
      <protection hidden="1"/>
    </xf>
    <xf numFmtId="0" fontId="25" fillId="57" borderId="0" xfId="0" applyFont="1" applyFill="1" applyAlignment="1" applyProtection="1">
      <alignment horizontal="left" vertical="center"/>
      <protection hidden="1"/>
    </xf>
    <xf numFmtId="0" fontId="31" fillId="57" borderId="0" xfId="0" applyFont="1" applyFill="1" applyAlignment="1" applyProtection="1">
      <alignment horizontal="right" vertical="center" indent="4"/>
      <protection hidden="1"/>
    </xf>
    <xf numFmtId="0" fontId="88" fillId="57" borderId="0" xfId="0" applyFont="1" applyFill="1" applyAlignment="1" applyProtection="1">
      <alignment vertical="center"/>
      <protection hidden="1"/>
    </xf>
    <xf numFmtId="0" fontId="65" fillId="56" borderId="0" xfId="1" applyFont="1" applyFill="1" applyBorder="1" applyAlignment="1" applyProtection="1">
      <alignment horizontal="left" vertical="center"/>
      <protection hidden="1"/>
    </xf>
    <xf numFmtId="49" fontId="88" fillId="59" borderId="38" xfId="0" applyNumberFormat="1" applyFont="1" applyFill="1" applyBorder="1" applyAlignment="1" applyProtection="1">
      <alignment horizontal="left" vertical="center"/>
      <protection hidden="1"/>
    </xf>
    <xf numFmtId="0" fontId="31" fillId="59" borderId="38" xfId="0" applyFont="1" applyFill="1" applyBorder="1" applyAlignment="1" applyProtection="1">
      <alignment horizontal="left" vertical="center" wrapText="1"/>
      <protection hidden="1"/>
    </xf>
    <xf numFmtId="0" fontId="88" fillId="59" borderId="38" xfId="0" applyFont="1" applyFill="1" applyBorder="1" applyAlignment="1" applyProtection="1">
      <alignment horizontal="left" vertical="center" wrapText="1"/>
      <protection hidden="1"/>
    </xf>
    <xf numFmtId="14" fontId="31" fillId="59" borderId="38" xfId="0" applyNumberFormat="1" applyFont="1" applyFill="1" applyBorder="1" applyAlignment="1" applyProtection="1">
      <alignment horizontal="left" vertical="center"/>
      <protection hidden="1"/>
    </xf>
    <xf numFmtId="0" fontId="40" fillId="59" borderId="38" xfId="0" applyFont="1" applyFill="1" applyBorder="1" applyAlignment="1" applyProtection="1">
      <alignment horizontal="left" vertical="center" wrapText="1"/>
      <protection hidden="1"/>
    </xf>
    <xf numFmtId="14" fontId="31" fillId="59" borderId="38" xfId="0" applyNumberFormat="1" applyFont="1" applyFill="1" applyBorder="1" applyAlignment="1" applyProtection="1">
      <alignment horizontal="left" vertical="center" wrapText="1"/>
      <protection hidden="1"/>
    </xf>
    <xf numFmtId="14" fontId="88" fillId="59" borderId="38" xfId="0" applyNumberFormat="1" applyFont="1" applyFill="1" applyBorder="1" applyAlignment="1" applyProtection="1">
      <alignment horizontal="center" vertical="top" wrapText="1"/>
      <protection hidden="1"/>
    </xf>
    <xf numFmtId="49" fontId="108" fillId="59" borderId="39" xfId="0" applyNumberFormat="1" applyFont="1" applyFill="1" applyBorder="1" applyAlignment="1" applyProtection="1">
      <alignment horizontal="left" vertical="center"/>
      <protection hidden="1"/>
    </xf>
    <xf numFmtId="0" fontId="31" fillId="59" borderId="39" xfId="0" applyFont="1" applyFill="1" applyBorder="1" applyAlignment="1" applyProtection="1">
      <alignment horizontal="left" vertical="center" wrapText="1"/>
      <protection hidden="1"/>
    </xf>
    <xf numFmtId="0" fontId="88" fillId="59" borderId="39" xfId="0" applyFont="1" applyFill="1" applyBorder="1" applyAlignment="1" applyProtection="1">
      <alignment horizontal="left" vertical="center"/>
      <protection hidden="1"/>
    </xf>
    <xf numFmtId="9" fontId="153" fillId="59" borderId="40" xfId="15" applyFont="1" applyFill="1" applyBorder="1" applyAlignment="1" applyProtection="1">
      <alignment horizontal="left" vertical="top" wrapText="1"/>
      <protection hidden="1"/>
    </xf>
    <xf numFmtId="0" fontId="31" fillId="59" borderId="39" xfId="0" applyFont="1" applyFill="1" applyBorder="1" applyAlignment="1" applyProtection="1">
      <alignment horizontal="left" vertical="center"/>
      <protection hidden="1"/>
    </xf>
    <xf numFmtId="0" fontId="40" fillId="59" borderId="39" xfId="0" applyFont="1" applyFill="1" applyBorder="1" applyAlignment="1" applyProtection="1">
      <alignment horizontal="left" vertical="center" wrapText="1"/>
      <protection hidden="1"/>
    </xf>
    <xf numFmtId="0" fontId="40" fillId="59" borderId="40" xfId="0" applyFont="1" applyFill="1" applyBorder="1" applyAlignment="1" applyProtection="1">
      <alignment horizontal="left" vertical="top" wrapText="1"/>
      <protection hidden="1"/>
    </xf>
    <xf numFmtId="0" fontId="88" fillId="59" borderId="40" xfId="0" applyFont="1" applyFill="1" applyBorder="1" applyAlignment="1" applyProtection="1">
      <alignment horizontal="center" vertical="top" wrapText="1"/>
      <protection hidden="1"/>
    </xf>
    <xf numFmtId="0" fontId="78" fillId="60" borderId="43" xfId="2" applyFont="1" applyFill="1" applyBorder="1" applyAlignment="1" applyProtection="1">
      <alignment vertical="center"/>
      <protection hidden="1"/>
    </xf>
    <xf numFmtId="0" fontId="78" fillId="60" borderId="43" xfId="2" applyFont="1" applyFill="1" applyBorder="1" applyAlignment="1" applyProtection="1">
      <alignment horizontal="center" vertical="center"/>
      <protection hidden="1"/>
    </xf>
    <xf numFmtId="165" fontId="70" fillId="60" borderId="44" xfId="2" applyNumberFormat="1" applyFont="1" applyFill="1" applyBorder="1" applyAlignment="1" applyProtection="1">
      <alignment horizontal="center" vertical="center"/>
      <protection hidden="1"/>
    </xf>
    <xf numFmtId="0" fontId="86" fillId="60" borderId="45" xfId="2" applyFont="1" applyFill="1" applyBorder="1" applyAlignment="1" applyProtection="1">
      <alignment horizontal="center" vertical="center" wrapText="1"/>
      <protection hidden="1"/>
    </xf>
    <xf numFmtId="0" fontId="70" fillId="60" borderId="44" xfId="2" applyFont="1" applyFill="1" applyBorder="1" applyAlignment="1" applyProtection="1">
      <alignment horizontal="center" vertical="center" wrapText="1"/>
      <protection hidden="1"/>
    </xf>
    <xf numFmtId="0" fontId="78" fillId="60" borderId="44" xfId="2" applyFont="1" applyFill="1" applyBorder="1" applyAlignment="1" applyProtection="1">
      <alignment horizontal="center" vertical="center" wrapText="1"/>
      <protection hidden="1"/>
    </xf>
    <xf numFmtId="0" fontId="70" fillId="60" borderId="45" xfId="2" applyFont="1" applyFill="1" applyBorder="1" applyAlignment="1" applyProtection="1">
      <alignment horizontal="right" vertical="center" wrapText="1"/>
      <protection hidden="1"/>
    </xf>
    <xf numFmtId="0" fontId="78" fillId="60" borderId="43" xfId="2" applyFont="1" applyFill="1" applyBorder="1" applyAlignment="1" applyProtection="1">
      <alignment horizontal="left" vertical="center" wrapText="1"/>
      <protection hidden="1"/>
    </xf>
    <xf numFmtId="0" fontId="51" fillId="0" borderId="104" xfId="2" applyFont="1" applyBorder="1" applyAlignment="1" applyProtection="1">
      <alignment horizontal="center" vertical="top" wrapText="1"/>
      <protection locked="0"/>
    </xf>
    <xf numFmtId="0" fontId="51" fillId="0" borderId="104" xfId="2" quotePrefix="1" applyFont="1" applyBorder="1" applyAlignment="1" applyProtection="1">
      <alignment horizontal="center" vertical="top" wrapText="1"/>
      <protection locked="0"/>
    </xf>
    <xf numFmtId="0" fontId="137" fillId="0" borderId="104" xfId="2" applyFont="1" applyBorder="1" applyAlignment="1" applyProtection="1">
      <alignment horizontal="center" vertical="top" wrapText="1"/>
      <protection locked="0"/>
    </xf>
    <xf numFmtId="0" fontId="78" fillId="61" borderId="108" xfId="2" applyFont="1" applyFill="1" applyBorder="1" applyAlignment="1" applyProtection="1">
      <alignment horizontal="center" vertical="center" wrapText="1"/>
      <protection hidden="1"/>
    </xf>
    <xf numFmtId="0" fontId="51" fillId="59" borderId="108" xfId="2" applyFont="1" applyFill="1" applyBorder="1" applyAlignment="1" applyProtection="1">
      <alignment horizontal="left" vertical="top"/>
      <protection hidden="1"/>
    </xf>
    <xf numFmtId="0" fontId="40" fillId="59" borderId="40" xfId="0" applyFont="1" applyFill="1" applyBorder="1" applyAlignment="1" applyProtection="1">
      <alignment horizontal="left" vertical="top"/>
      <protection hidden="1"/>
    </xf>
    <xf numFmtId="49" fontId="88" fillId="59" borderId="39" xfId="0" applyNumberFormat="1" applyFont="1" applyFill="1" applyBorder="1" applyAlignment="1" applyProtection="1">
      <alignment horizontal="left" vertical="center"/>
      <protection hidden="1"/>
    </xf>
    <xf numFmtId="0" fontId="88" fillId="59" borderId="38" xfId="0" applyFont="1" applyFill="1" applyBorder="1" applyAlignment="1" applyProtection="1">
      <alignment horizontal="left" vertical="center"/>
      <protection hidden="1"/>
    </xf>
    <xf numFmtId="0" fontId="108" fillId="59" borderId="39" xfId="0" applyFont="1" applyFill="1" applyBorder="1" applyAlignment="1" applyProtection="1">
      <alignment horizontal="left" vertical="center"/>
      <protection hidden="1"/>
    </xf>
    <xf numFmtId="0" fontId="88" fillId="59" borderId="38" xfId="0" applyFont="1" applyFill="1" applyBorder="1" applyAlignment="1" applyProtection="1">
      <alignment horizontal="right" vertical="center"/>
      <protection hidden="1"/>
    </xf>
    <xf numFmtId="14" fontId="88" fillId="62" borderId="38" xfId="0" applyNumberFormat="1" applyFont="1" applyFill="1" applyBorder="1" applyAlignment="1" applyProtection="1">
      <alignment horizontal="left" vertical="center"/>
      <protection hidden="1"/>
    </xf>
    <xf numFmtId="0" fontId="158" fillId="0" borderId="2" xfId="0" applyFont="1" applyBorder="1" applyProtection="1">
      <protection hidden="1"/>
    </xf>
    <xf numFmtId="0" fontId="46" fillId="0" borderId="0" xfId="0" applyFont="1" applyAlignment="1" applyProtection="1">
      <alignment horizontal="right" vertical="top"/>
      <protection hidden="1"/>
    </xf>
    <xf numFmtId="14" fontId="70" fillId="0" borderId="0" xfId="0" applyNumberFormat="1" applyFont="1" applyProtection="1">
      <protection hidden="1"/>
    </xf>
    <xf numFmtId="0" fontId="70" fillId="0" borderId="0" xfId="0" applyFont="1" applyAlignment="1" applyProtection="1">
      <alignment vertical="top"/>
      <protection hidden="1"/>
    </xf>
    <xf numFmtId="0" fontId="159" fillId="0" borderId="0" xfId="2" applyFont="1" applyAlignment="1" applyProtection="1">
      <alignment horizontal="left" vertical="center" wrapText="1"/>
      <protection hidden="1"/>
    </xf>
    <xf numFmtId="0" fontId="35" fillId="0" borderId="0" xfId="2" applyFont="1" applyAlignment="1" applyProtection="1">
      <alignment horizontal="center"/>
      <protection hidden="1"/>
    </xf>
    <xf numFmtId="0" fontId="160" fillId="0" borderId="0" xfId="2" applyFont="1" applyAlignment="1" applyProtection="1">
      <alignment horizontal="center"/>
      <protection hidden="1"/>
    </xf>
    <xf numFmtId="0" fontId="35" fillId="0" borderId="0" xfId="2" applyFont="1" applyAlignment="1" applyProtection="1">
      <alignment vertical="top"/>
      <protection hidden="1"/>
    </xf>
    <xf numFmtId="0" fontId="35" fillId="0" borderId="0" xfId="2" applyFont="1" applyProtection="1">
      <protection hidden="1"/>
    </xf>
    <xf numFmtId="9" fontId="78" fillId="0" borderId="106" xfId="15" applyFont="1" applyFill="1" applyBorder="1" applyAlignment="1" applyProtection="1">
      <alignment horizontal="left" vertical="center" wrapText="1"/>
    </xf>
    <xf numFmtId="170" fontId="84" fillId="0" borderId="38" xfId="2" applyNumberFormat="1" applyFont="1" applyBorder="1" applyAlignment="1" applyProtection="1">
      <alignment horizontal="center" vertical="top"/>
      <protection hidden="1"/>
    </xf>
    <xf numFmtId="170" fontId="70" fillId="0" borderId="39" xfId="2" applyNumberFormat="1" applyFont="1" applyBorder="1" applyAlignment="1" applyProtection="1">
      <alignment horizontal="center" vertical="top"/>
      <protection hidden="1"/>
    </xf>
    <xf numFmtId="170" fontId="70" fillId="0" borderId="39" xfId="2" applyNumberFormat="1" applyFont="1" applyBorder="1" applyAlignment="1" applyProtection="1">
      <alignment horizontal="left" vertical="top"/>
      <protection hidden="1"/>
    </xf>
    <xf numFmtId="14" fontId="70" fillId="0" borderId="39" xfId="2" applyNumberFormat="1" applyFont="1" applyBorder="1" applyAlignment="1" applyProtection="1">
      <alignment horizontal="right" vertical="center"/>
      <protection hidden="1"/>
    </xf>
    <xf numFmtId="0" fontId="51" fillId="0" borderId="108" xfId="2" applyFont="1" applyBorder="1" applyAlignment="1" applyProtection="1">
      <alignment horizontal="left" vertical="center" wrapText="1"/>
      <protection locked="0"/>
    </xf>
    <xf numFmtId="0" fontId="51" fillId="0" borderId="109" xfId="2" applyFont="1" applyBorder="1" applyAlignment="1" applyProtection="1">
      <alignment horizontal="left" vertical="top" wrapText="1"/>
      <protection locked="0"/>
    </xf>
    <xf numFmtId="0" fontId="51" fillId="0" borderId="110" xfId="2" applyFont="1" applyBorder="1" applyAlignment="1" applyProtection="1">
      <alignment horizontal="left" vertical="top" wrapText="1"/>
      <protection locked="0"/>
    </xf>
    <xf numFmtId="0" fontId="51" fillId="0" borderId="111" xfId="2" applyFont="1" applyBorder="1" applyAlignment="1" applyProtection="1">
      <alignment horizontal="left" vertical="center" wrapText="1"/>
      <protection locked="0"/>
    </xf>
    <xf numFmtId="0" fontId="157" fillId="0" borderId="0" xfId="0" applyFont="1" applyAlignment="1" applyProtection="1">
      <alignment horizontal="right" vertical="top"/>
      <protection locked="0"/>
    </xf>
    <xf numFmtId="0" fontId="88" fillId="13" borderId="0" xfId="0" applyFont="1" applyFill="1" applyAlignment="1" applyProtection="1">
      <alignment horizontal="left" vertical="center"/>
      <protection hidden="1"/>
    </xf>
    <xf numFmtId="0" fontId="78" fillId="54" borderId="45" xfId="2" applyFont="1" applyFill="1" applyBorder="1" applyAlignment="1" applyProtection="1">
      <alignment horizontal="right" vertical="center" wrapText="1"/>
      <protection hidden="1"/>
    </xf>
    <xf numFmtId="14" fontId="51" fillId="0" borderId="104" xfId="2" applyNumberFormat="1" applyFont="1" applyBorder="1" applyAlignment="1" applyProtection="1">
      <alignment horizontal="left" vertical="top" wrapText="1"/>
      <protection locked="0"/>
    </xf>
    <xf numFmtId="170" fontId="82" fillId="0" borderId="104" xfId="2" applyNumberFormat="1" applyFont="1" applyBorder="1" applyAlignment="1" applyProtection="1">
      <alignment vertical="top"/>
      <protection hidden="1"/>
    </xf>
    <xf numFmtId="0" fontId="78" fillId="60" borderId="45" xfId="2" applyFont="1" applyFill="1" applyBorder="1" applyAlignment="1" applyProtection="1">
      <alignment horizontal="center" vertical="center" wrapText="1"/>
      <protection hidden="1"/>
    </xf>
    <xf numFmtId="0" fontId="31" fillId="54" borderId="0" xfId="0" applyFont="1" applyFill="1"/>
    <xf numFmtId="0" fontId="31" fillId="0" borderId="112" xfId="0" applyFont="1" applyBorder="1"/>
    <xf numFmtId="0" fontId="31" fillId="0" borderId="113" xfId="0" applyFont="1" applyBorder="1"/>
    <xf numFmtId="0" fontId="31" fillId="0" borderId="115" xfId="0" applyFont="1" applyBorder="1"/>
    <xf numFmtId="0" fontId="31" fillId="0" borderId="114" xfId="0" applyFont="1" applyBorder="1"/>
    <xf numFmtId="0" fontId="31" fillId="0" borderId="116" xfId="0" applyFont="1" applyBorder="1"/>
    <xf numFmtId="0" fontId="31" fillId="0" borderId="105" xfId="0" applyFont="1" applyBorder="1"/>
    <xf numFmtId="0" fontId="31" fillId="0" borderId="117" xfId="0" applyFont="1" applyBorder="1"/>
    <xf numFmtId="0" fontId="164" fillId="0" borderId="114" xfId="0" applyFont="1" applyBorder="1" applyAlignment="1">
      <alignment horizontal="right"/>
    </xf>
    <xf numFmtId="0" fontId="108" fillId="59" borderId="40" xfId="0" applyFont="1" applyFill="1" applyBorder="1" applyAlignment="1" applyProtection="1">
      <alignment horizontal="left" vertical="top"/>
      <protection hidden="1"/>
    </xf>
    <xf numFmtId="1" fontId="51" fillId="0" borderId="107" xfId="2" applyNumberFormat="1" applyFont="1" applyBorder="1" applyAlignment="1" applyProtection="1">
      <alignment horizontal="center" vertical="top"/>
      <protection locked="0"/>
    </xf>
    <xf numFmtId="1" fontId="51" fillId="0" borderId="104" xfId="2" applyNumberFormat="1" applyFont="1" applyBorder="1" applyAlignment="1" applyProtection="1">
      <alignment horizontal="center" vertical="top"/>
      <protection locked="0"/>
    </xf>
    <xf numFmtId="0" fontId="4" fillId="0" borderId="90" xfId="9" applyFont="1" applyBorder="1" applyAlignment="1" applyProtection="1">
      <alignment vertical="top" wrapText="1"/>
      <protection hidden="1"/>
    </xf>
    <xf numFmtId="0" fontId="147" fillId="54" borderId="0" xfId="0" applyFont="1" applyFill="1" applyAlignment="1">
      <alignment horizontal="left"/>
    </xf>
    <xf numFmtId="0" fontId="107" fillId="54" borderId="0" xfId="0" applyFont="1" applyFill="1" applyAlignment="1">
      <alignment horizontal="right"/>
    </xf>
    <xf numFmtId="0" fontId="70" fillId="54" borderId="0" xfId="0" applyFont="1" applyFill="1" applyAlignment="1">
      <alignment wrapText="1"/>
    </xf>
    <xf numFmtId="0" fontId="86" fillId="54" borderId="118" xfId="2" applyFont="1" applyFill="1" applyBorder="1" applyAlignment="1" applyProtection="1">
      <alignment horizontal="center" vertical="center" wrapText="1"/>
      <protection hidden="1"/>
    </xf>
    <xf numFmtId="1" fontId="51" fillId="0" borderId="104" xfId="2" applyNumberFormat="1" applyFont="1" applyBorder="1" applyAlignment="1" applyProtection="1">
      <alignment horizontal="center" vertical="top" wrapText="1"/>
      <protection locked="0"/>
    </xf>
    <xf numFmtId="1" fontId="51" fillId="0" borderId="104" xfId="2" quotePrefix="1" applyNumberFormat="1" applyFont="1" applyBorder="1" applyAlignment="1" applyProtection="1">
      <alignment horizontal="center" vertical="top" wrapText="1"/>
      <protection locked="0"/>
    </xf>
    <xf numFmtId="1" fontId="137" fillId="0" borderId="104" xfId="2" applyNumberFormat="1" applyFont="1" applyBorder="1" applyAlignment="1" applyProtection="1">
      <alignment horizontal="center" vertical="top" wrapText="1"/>
      <protection locked="0"/>
    </xf>
    <xf numFmtId="0" fontId="78" fillId="54" borderId="118" xfId="2" applyFont="1" applyFill="1" applyBorder="1" applyAlignment="1" applyProtection="1">
      <alignment horizontal="center" vertical="center" wrapText="1"/>
      <protection hidden="1"/>
    </xf>
    <xf numFmtId="0" fontId="11" fillId="0" borderId="0" xfId="9" applyFont="1" applyAlignment="1" applyProtection="1">
      <alignment vertical="center" wrapText="1"/>
      <protection locked="0"/>
    </xf>
    <xf numFmtId="49" fontId="31" fillId="0" borderId="69" xfId="0" applyNumberFormat="1" applyFont="1" applyBorder="1" applyAlignment="1" applyProtection="1">
      <alignment horizontal="left" vertical="top" wrapText="1"/>
      <protection locked="0"/>
    </xf>
    <xf numFmtId="49" fontId="31" fillId="0" borderId="10" xfId="0" applyNumberFormat="1" applyFont="1" applyBorder="1" applyAlignment="1" applyProtection="1">
      <alignment horizontal="left" vertical="top" wrapText="1"/>
      <protection locked="0"/>
    </xf>
    <xf numFmtId="14" fontId="51" fillId="0" borderId="69" xfId="1" applyNumberFormat="1" applyFont="1" applyFill="1" applyBorder="1" applyAlignment="1" applyProtection="1">
      <alignment horizontal="center" vertical="top" wrapText="1"/>
      <protection locked="0"/>
    </xf>
    <xf numFmtId="14" fontId="51" fillId="0" borderId="63" xfId="1" applyNumberFormat="1" applyFont="1" applyFill="1" applyBorder="1" applyAlignment="1" applyProtection="1">
      <alignment horizontal="center" vertical="top" wrapText="1"/>
      <protection locked="0"/>
    </xf>
    <xf numFmtId="49" fontId="31" fillId="0" borderId="63" xfId="0" applyNumberFormat="1" applyFont="1" applyBorder="1" applyAlignment="1" applyProtection="1">
      <alignment horizontal="left" vertical="top" wrapText="1"/>
      <protection locked="0"/>
    </xf>
    <xf numFmtId="14" fontId="51" fillId="0" borderId="69" xfId="1" applyNumberFormat="1" applyFont="1" applyFill="1" applyBorder="1" applyAlignment="1" applyProtection="1">
      <alignment horizontal="left" vertical="top" wrapText="1"/>
      <protection locked="0"/>
    </xf>
    <xf numFmtId="14" fontId="51" fillId="0" borderId="63" xfId="1" applyNumberFormat="1" applyFont="1" applyFill="1" applyBorder="1" applyAlignment="1" applyProtection="1">
      <alignment horizontal="left" vertical="top" wrapText="1"/>
      <protection locked="0"/>
    </xf>
    <xf numFmtId="14" fontId="50" fillId="28" borderId="0" xfId="0" applyNumberFormat="1" applyFont="1" applyFill="1" applyAlignment="1" applyProtection="1">
      <alignment horizontal="left" vertical="center"/>
      <protection hidden="1"/>
    </xf>
    <xf numFmtId="0" fontId="27" fillId="0" borderId="0" xfId="0" applyFont="1" applyAlignment="1" applyProtection="1">
      <alignment horizontal="right" vertical="center"/>
      <protection locked="0"/>
    </xf>
    <xf numFmtId="14" fontId="36" fillId="0" borderId="0" xfId="0" applyNumberFormat="1" applyFont="1" applyAlignment="1" applyProtection="1">
      <alignment horizontal="left"/>
      <protection hidden="1"/>
    </xf>
    <xf numFmtId="0" fontId="26" fillId="0" borderId="0" xfId="0" applyFont="1"/>
    <xf numFmtId="14" fontId="50" fillId="28" borderId="69" xfId="0" applyNumberFormat="1" applyFont="1" applyFill="1" applyBorder="1" applyAlignment="1" applyProtection="1">
      <alignment horizontal="left" vertical="center"/>
      <protection hidden="1"/>
    </xf>
    <xf numFmtId="14" fontId="50" fillId="28" borderId="10" xfId="0" applyNumberFormat="1" applyFont="1" applyFill="1" applyBorder="1" applyAlignment="1" applyProtection="1">
      <alignment horizontal="left" vertical="center"/>
      <protection hidden="1"/>
    </xf>
    <xf numFmtId="0" fontId="50" fillId="28" borderId="69" xfId="0" applyFont="1" applyFill="1" applyBorder="1" applyAlignment="1" applyProtection="1">
      <alignment horizontal="left" vertical="center"/>
      <protection hidden="1"/>
    </xf>
    <xf numFmtId="0" fontId="50" fillId="28" borderId="63" xfId="0" applyFont="1" applyFill="1" applyBorder="1" applyAlignment="1" applyProtection="1">
      <alignment horizontal="left" vertical="center"/>
      <protection hidden="1"/>
    </xf>
    <xf numFmtId="14" fontId="31" fillId="5" borderId="38" xfId="0" applyNumberFormat="1" applyFont="1" applyFill="1" applyBorder="1" applyAlignment="1" applyProtection="1">
      <alignment horizontal="left" vertical="center" wrapText="1"/>
      <protection hidden="1"/>
    </xf>
    <xf numFmtId="0" fontId="31" fillId="5" borderId="39" xfId="0" applyFont="1" applyFill="1" applyBorder="1" applyAlignment="1" applyProtection="1">
      <alignment horizontal="left" vertical="center" wrapText="1"/>
      <protection hidden="1"/>
    </xf>
    <xf numFmtId="0" fontId="31" fillId="5" borderId="32" xfId="0" applyFont="1" applyFill="1" applyBorder="1" applyAlignment="1" applyProtection="1">
      <alignment horizontal="left" vertical="center" wrapText="1"/>
      <protection hidden="1"/>
    </xf>
    <xf numFmtId="0" fontId="25" fillId="5" borderId="0" xfId="0" applyFont="1" applyFill="1" applyAlignment="1" applyProtection="1">
      <alignment horizontal="left" vertical="top" wrapText="1"/>
      <protection locked="0"/>
    </xf>
    <xf numFmtId="0" fontId="105" fillId="0" borderId="33" xfId="1" applyFont="1" applyBorder="1" applyAlignment="1" applyProtection="1">
      <alignment horizontal="left" vertical="center" wrapText="1"/>
      <protection locked="0"/>
    </xf>
    <xf numFmtId="0" fontId="40" fillId="0" borderId="33" xfId="0" applyFont="1" applyBorder="1" applyAlignment="1" applyProtection="1">
      <alignment horizontal="left" vertical="center" wrapText="1"/>
      <protection locked="0"/>
    </xf>
    <xf numFmtId="0" fontId="31" fillId="9" borderId="31" xfId="0" applyFont="1" applyFill="1" applyBorder="1" applyAlignment="1" applyProtection="1">
      <alignment horizontal="center" vertical="center" wrapText="1"/>
      <protection hidden="1"/>
    </xf>
    <xf numFmtId="0" fontId="31" fillId="9" borderId="38" xfId="0" applyFont="1" applyFill="1" applyBorder="1" applyAlignment="1" applyProtection="1">
      <alignment horizontal="center" vertical="center" wrapText="1"/>
      <protection hidden="1"/>
    </xf>
    <xf numFmtId="0" fontId="31" fillId="9" borderId="29" xfId="0" applyFont="1" applyFill="1" applyBorder="1" applyAlignment="1" applyProtection="1">
      <alignment horizontal="center" vertical="center" wrapText="1"/>
      <protection hidden="1"/>
    </xf>
    <xf numFmtId="0" fontId="31" fillId="5" borderId="40" xfId="0" applyFont="1" applyFill="1" applyBorder="1" applyAlignment="1" applyProtection="1">
      <alignment horizontal="left" vertical="top"/>
      <protection locked="0"/>
    </xf>
    <xf numFmtId="0" fontId="31" fillId="5" borderId="0" xfId="0" applyFont="1" applyFill="1" applyAlignment="1" applyProtection="1">
      <alignment horizontal="left" vertical="top"/>
      <protection locked="0"/>
    </xf>
    <xf numFmtId="0" fontId="62" fillId="48" borderId="83" xfId="0" applyFont="1" applyFill="1" applyBorder="1" applyAlignment="1">
      <alignment horizontal="center" vertical="center"/>
    </xf>
    <xf numFmtId="0" fontId="62" fillId="48" borderId="84" xfId="0" applyFont="1" applyFill="1" applyBorder="1" applyAlignment="1">
      <alignment horizontal="center" vertical="center"/>
    </xf>
    <xf numFmtId="0" fontId="62" fillId="48" borderId="81" xfId="0" applyFont="1" applyFill="1" applyBorder="1" applyAlignment="1">
      <alignment horizontal="center" vertical="center"/>
    </xf>
    <xf numFmtId="14" fontId="40" fillId="5" borderId="39" xfId="0" applyNumberFormat="1" applyFont="1" applyFill="1" applyBorder="1" applyAlignment="1" applyProtection="1">
      <alignment horizontal="left" vertical="center" wrapText="1"/>
      <protection locked="0"/>
    </xf>
    <xf numFmtId="43" fontId="147" fillId="42" borderId="87" xfId="0" applyNumberFormat="1" applyFont="1" applyFill="1" applyBorder="1" applyAlignment="1" applyProtection="1">
      <alignment horizontal="left" vertical="center"/>
      <protection hidden="1"/>
    </xf>
    <xf numFmtId="43" fontId="147" fillId="42" borderId="86" xfId="0" applyNumberFormat="1" applyFont="1" applyFill="1" applyBorder="1" applyAlignment="1" applyProtection="1">
      <alignment horizontal="left" vertical="center"/>
      <protection hidden="1"/>
    </xf>
    <xf numFmtId="167" fontId="147" fillId="17" borderId="87" xfId="0" applyNumberFormat="1" applyFont="1" applyFill="1" applyBorder="1" applyAlignment="1" applyProtection="1">
      <alignment horizontal="left" vertical="center"/>
      <protection hidden="1"/>
    </xf>
    <xf numFmtId="167" fontId="147" fillId="17" borderId="88" xfId="0" applyNumberFormat="1" applyFont="1" applyFill="1" applyBorder="1" applyAlignment="1" applyProtection="1">
      <alignment horizontal="left" vertical="center"/>
      <protection hidden="1"/>
    </xf>
    <xf numFmtId="167" fontId="147" fillId="17" borderId="86" xfId="0" applyNumberFormat="1" applyFont="1" applyFill="1" applyBorder="1" applyAlignment="1" applyProtection="1">
      <alignment horizontal="left" vertical="center"/>
      <protection hidden="1"/>
    </xf>
    <xf numFmtId="167" fontId="147" fillId="17" borderId="89" xfId="0" applyNumberFormat="1" applyFont="1" applyFill="1" applyBorder="1" applyAlignment="1" applyProtection="1">
      <alignment horizontal="left" vertical="center"/>
      <protection hidden="1"/>
    </xf>
    <xf numFmtId="0" fontId="31" fillId="28" borderId="30" xfId="0" applyFont="1" applyFill="1" applyBorder="1" applyAlignment="1" applyProtection="1">
      <alignment horizontal="left" vertical="center" wrapText="1"/>
      <protection hidden="1"/>
    </xf>
    <xf numFmtId="0" fontId="31" fillId="53" borderId="38" xfId="0" applyFont="1" applyFill="1" applyBorder="1" applyAlignment="1" applyProtection="1">
      <alignment horizontal="left" vertical="center" wrapText="1"/>
      <protection hidden="1"/>
    </xf>
    <xf numFmtId="49" fontId="25" fillId="5" borderId="40" xfId="0" applyNumberFormat="1" applyFont="1" applyFill="1" applyBorder="1" applyAlignment="1" applyProtection="1">
      <alignment horizontal="left" vertical="center" wrapText="1"/>
      <protection locked="0"/>
    </xf>
    <xf numFmtId="0" fontId="40" fillId="0" borderId="72" xfId="0" applyFont="1" applyBorder="1" applyAlignment="1" applyProtection="1">
      <alignment horizontal="left" vertical="center" wrapText="1"/>
      <protection locked="0"/>
    </xf>
    <xf numFmtId="0" fontId="40" fillId="0" borderId="0" xfId="0" applyFont="1" applyAlignment="1" applyProtection="1">
      <alignment horizontal="left" vertical="center" wrapText="1"/>
      <protection locked="0"/>
    </xf>
    <xf numFmtId="0" fontId="40" fillId="0" borderId="71" xfId="0" applyFont="1" applyBorder="1" applyAlignment="1" applyProtection="1">
      <alignment horizontal="left" vertical="center" wrapText="1"/>
      <protection locked="0"/>
    </xf>
    <xf numFmtId="0" fontId="25" fillId="0" borderId="0" xfId="0" applyFont="1" applyAlignment="1" applyProtection="1">
      <alignment horizontal="left" vertical="top" wrapText="1"/>
      <protection locked="0"/>
    </xf>
    <xf numFmtId="0" fontId="25" fillId="0" borderId="0" xfId="0" quotePrefix="1" applyFont="1" applyAlignment="1" applyProtection="1">
      <alignment horizontal="left" vertical="top" wrapText="1"/>
      <protection locked="0"/>
    </xf>
    <xf numFmtId="0" fontId="25" fillId="0" borderId="43" xfId="0" quotePrefix="1" applyFont="1" applyBorder="1" applyAlignment="1" applyProtection="1">
      <alignment horizontal="left" vertical="top" wrapText="1"/>
      <protection locked="0"/>
    </xf>
    <xf numFmtId="14" fontId="31" fillId="0" borderId="6" xfId="0" applyNumberFormat="1" applyFont="1" applyBorder="1" applyAlignment="1" applyProtection="1">
      <alignment horizontal="left" vertical="center"/>
      <protection locked="0"/>
    </xf>
    <xf numFmtId="0" fontId="31" fillId="0" borderId="6" xfId="0" applyFont="1" applyBorder="1" applyAlignment="1" applyProtection="1">
      <alignment horizontal="left" vertical="center"/>
      <protection locked="0"/>
    </xf>
    <xf numFmtId="0" fontId="40" fillId="0" borderId="26" xfId="0" applyFont="1" applyBorder="1" applyAlignment="1" applyProtection="1">
      <alignment horizontal="left" vertical="center"/>
      <protection locked="0"/>
    </xf>
    <xf numFmtId="0" fontId="40" fillId="0" borderId="5" xfId="0" applyFont="1" applyBorder="1" applyAlignment="1" applyProtection="1">
      <alignment horizontal="left" vertical="center"/>
      <protection locked="0"/>
    </xf>
    <xf numFmtId="0" fontId="64" fillId="0" borderId="0" xfId="1" quotePrefix="1" applyNumberFormat="1" applyFont="1" applyBorder="1" applyAlignment="1" applyProtection="1">
      <alignment horizontal="left" vertical="center" wrapText="1"/>
      <protection locked="0"/>
    </xf>
    <xf numFmtId="0" fontId="65" fillId="0" borderId="0" xfId="0" quotePrefix="1" applyFont="1" applyAlignment="1" applyProtection="1">
      <alignment horizontal="left" vertical="center" wrapText="1"/>
      <protection locked="0"/>
    </xf>
    <xf numFmtId="0" fontId="40" fillId="53" borderId="72" xfId="0" applyFont="1" applyFill="1" applyBorder="1" applyAlignment="1" applyProtection="1">
      <alignment horizontal="left" vertical="center" wrapText="1"/>
      <protection locked="0"/>
    </xf>
    <xf numFmtId="0" fontId="40" fillId="53" borderId="0" xfId="0" applyFont="1" applyFill="1" applyAlignment="1" applyProtection="1">
      <alignment horizontal="left" vertical="center" wrapText="1"/>
      <protection locked="0"/>
    </xf>
    <xf numFmtId="0" fontId="40" fillId="53" borderId="71" xfId="0" applyFont="1" applyFill="1" applyBorder="1" applyAlignment="1" applyProtection="1">
      <alignment horizontal="left" vertical="center" wrapText="1"/>
      <protection locked="0"/>
    </xf>
    <xf numFmtId="0" fontId="31" fillId="55" borderId="39" xfId="0" applyFont="1" applyFill="1" applyBorder="1" applyAlignment="1" applyProtection="1">
      <alignment horizontal="left" vertical="center" wrapText="1"/>
      <protection hidden="1"/>
    </xf>
    <xf numFmtId="0" fontId="31" fillId="59" borderId="39" xfId="0" applyFont="1" applyFill="1" applyBorder="1" applyAlignment="1" applyProtection="1">
      <alignment horizontal="left" vertical="center" wrapText="1"/>
      <protection hidden="1"/>
    </xf>
    <xf numFmtId="0" fontId="64" fillId="0" borderId="98" xfId="1" quotePrefix="1" applyNumberFormat="1" applyFont="1" applyBorder="1" applyAlignment="1" applyProtection="1">
      <alignment horizontal="left" vertical="center" wrapText="1"/>
      <protection locked="0"/>
    </xf>
    <xf numFmtId="0" fontId="64" fillId="0" borderId="99" xfId="1" quotePrefix="1" applyNumberFormat="1" applyFont="1" applyBorder="1" applyAlignment="1" applyProtection="1">
      <alignment horizontal="left" vertical="center" wrapText="1"/>
      <protection locked="0"/>
    </xf>
    <xf numFmtId="0" fontId="64" fillId="0" borderId="100" xfId="1" quotePrefix="1" applyNumberFormat="1" applyFont="1" applyBorder="1" applyAlignment="1" applyProtection="1">
      <alignment horizontal="left" vertical="center" wrapText="1"/>
      <protection locked="0"/>
    </xf>
    <xf numFmtId="0" fontId="64" fillId="0" borderId="101" xfId="1" quotePrefix="1" applyNumberFormat="1" applyFont="1" applyBorder="1" applyAlignment="1" applyProtection="1">
      <alignment horizontal="left" vertical="center" wrapText="1"/>
      <protection locked="0"/>
    </xf>
    <xf numFmtId="0" fontId="64" fillId="0" borderId="102" xfId="1" quotePrefix="1" applyNumberFormat="1" applyFont="1" applyBorder="1" applyAlignment="1" applyProtection="1">
      <alignment horizontal="left" vertical="center" wrapText="1"/>
      <protection locked="0"/>
    </xf>
    <xf numFmtId="4" fontId="64" fillId="57" borderId="72" xfId="11" applyNumberFormat="1" applyFont="1" applyFill="1" applyBorder="1" applyAlignment="1" applyProtection="1">
      <alignment horizontal="right" vertical="center"/>
      <protection hidden="1"/>
    </xf>
    <xf numFmtId="4" fontId="64" fillId="57" borderId="70" xfId="11" applyNumberFormat="1" applyFont="1" applyFill="1" applyBorder="1" applyAlignment="1" applyProtection="1">
      <alignment horizontal="right" vertical="center"/>
      <protection hidden="1"/>
    </xf>
    <xf numFmtId="4" fontId="66" fillId="56" borderId="72" xfId="11" applyNumberFormat="1" applyFont="1" applyFill="1" applyBorder="1" applyAlignment="1" applyProtection="1">
      <alignment horizontal="right" vertical="center"/>
      <protection hidden="1"/>
    </xf>
    <xf numFmtId="4" fontId="66" fillId="56" borderId="70" xfId="11" applyNumberFormat="1" applyFont="1" applyFill="1" applyBorder="1" applyAlignment="1" applyProtection="1">
      <alignment horizontal="right" vertical="center"/>
      <protection hidden="1"/>
    </xf>
    <xf numFmtId="0" fontId="64" fillId="0" borderId="95" xfId="1" quotePrefix="1" applyNumberFormat="1" applyFont="1" applyBorder="1" applyAlignment="1" applyProtection="1">
      <alignment horizontal="left" vertical="center" wrapText="1"/>
      <protection locked="0"/>
    </xf>
    <xf numFmtId="0" fontId="64" fillId="0" borderId="96" xfId="1" quotePrefix="1" applyNumberFormat="1" applyFont="1" applyBorder="1" applyAlignment="1" applyProtection="1">
      <alignment horizontal="left" vertical="center" wrapText="1"/>
      <protection locked="0"/>
    </xf>
    <xf numFmtId="0" fontId="64" fillId="0" borderId="97" xfId="1" quotePrefix="1" applyNumberFormat="1" applyFont="1" applyBorder="1" applyAlignment="1" applyProtection="1">
      <alignment horizontal="left" vertical="center" wrapText="1"/>
      <protection locked="0"/>
    </xf>
    <xf numFmtId="0" fontId="88" fillId="0" borderId="77" xfId="0" applyFont="1" applyBorder="1" applyAlignment="1">
      <alignment horizontal="left" vertical="top" wrapText="1"/>
    </xf>
    <xf numFmtId="0" fontId="88" fillId="0" borderId="0" xfId="0" applyFont="1" applyAlignment="1">
      <alignment horizontal="left" vertical="top" wrapText="1"/>
    </xf>
    <xf numFmtId="14" fontId="25" fillId="0" borderId="0" xfId="0" applyNumberFormat="1" applyFont="1" applyAlignment="1" applyProtection="1">
      <alignment horizontal="left" vertical="top" wrapText="1"/>
      <protection locked="0"/>
    </xf>
    <xf numFmtId="0" fontId="31" fillId="57" borderId="0" xfId="0" applyFont="1" applyFill="1" applyAlignment="1" applyProtection="1">
      <alignment vertical="center" wrapText="1"/>
      <protection hidden="1"/>
    </xf>
    <xf numFmtId="0" fontId="31" fillId="57" borderId="0" xfId="0" applyFont="1" applyFill="1" applyAlignment="1" applyProtection="1">
      <alignment vertical="center"/>
      <protection hidden="1"/>
    </xf>
    <xf numFmtId="0" fontId="31" fillId="6" borderId="0" xfId="0" applyFont="1" applyFill="1" applyAlignment="1" applyProtection="1">
      <alignment horizontal="right" vertical="center"/>
      <protection hidden="1"/>
    </xf>
    <xf numFmtId="0" fontId="31" fillId="57" borderId="0" xfId="0" applyFont="1" applyFill="1" applyAlignment="1" applyProtection="1">
      <alignment horizontal="left" vertical="center" wrapText="1"/>
      <protection hidden="1"/>
    </xf>
    <xf numFmtId="0" fontId="25" fillId="0" borderId="0" xfId="0" quotePrefix="1" applyFont="1" applyAlignment="1" applyProtection="1">
      <alignment horizontal="left" vertical="top" wrapText="1"/>
      <protection hidden="1"/>
    </xf>
    <xf numFmtId="0" fontId="31" fillId="57" borderId="29" xfId="0" applyFont="1" applyFill="1" applyBorder="1" applyAlignment="1" applyProtection="1">
      <alignment horizontal="left" vertical="center" wrapText="1"/>
      <protection hidden="1"/>
    </xf>
    <xf numFmtId="0" fontId="31" fillId="57" borderId="30" xfId="0" applyFont="1" applyFill="1" applyBorder="1" applyAlignment="1" applyProtection="1">
      <alignment horizontal="left" vertical="center" wrapText="1"/>
      <protection hidden="1"/>
    </xf>
    <xf numFmtId="0" fontId="31" fillId="57" borderId="34" xfId="0" applyFont="1" applyFill="1" applyBorder="1" applyAlignment="1" applyProtection="1">
      <alignment horizontal="left" vertical="center" wrapText="1"/>
      <protection hidden="1"/>
    </xf>
    <xf numFmtId="0" fontId="31" fillId="57" borderId="39" xfId="0" applyFont="1" applyFill="1" applyBorder="1" applyAlignment="1" applyProtection="1">
      <alignment horizontal="left" vertical="center" wrapText="1"/>
      <protection hidden="1"/>
    </xf>
    <xf numFmtId="0" fontId="31" fillId="57" borderId="32" xfId="0" applyFont="1" applyFill="1" applyBorder="1" applyAlignment="1" applyProtection="1">
      <alignment horizontal="left" vertical="center" wrapText="1"/>
      <protection hidden="1"/>
    </xf>
    <xf numFmtId="14" fontId="31" fillId="5" borderId="33" xfId="0" applyNumberFormat="1" applyFont="1" applyFill="1" applyBorder="1" applyAlignment="1" applyProtection="1">
      <alignment horizontal="left" vertical="center" wrapText="1"/>
      <protection locked="0"/>
    </xf>
    <xf numFmtId="0" fontId="31" fillId="57" borderId="33" xfId="0" applyFont="1" applyFill="1" applyBorder="1" applyAlignment="1" applyProtection="1">
      <alignment horizontal="left" vertical="center" wrapText="1"/>
      <protection hidden="1"/>
    </xf>
    <xf numFmtId="0" fontId="70" fillId="58" borderId="29" xfId="0" applyFont="1" applyFill="1" applyBorder="1" applyAlignment="1" applyProtection="1">
      <alignment horizontal="left" vertical="center" wrapText="1"/>
      <protection hidden="1"/>
    </xf>
    <xf numFmtId="0" fontId="70" fillId="58" borderId="30" xfId="0" applyFont="1" applyFill="1" applyBorder="1" applyAlignment="1" applyProtection="1">
      <alignment horizontal="left" vertical="center" wrapText="1"/>
      <protection hidden="1"/>
    </xf>
    <xf numFmtId="0" fontId="25" fillId="5" borderId="36" xfId="0" applyFont="1" applyFill="1" applyBorder="1" applyAlignment="1" applyProtection="1">
      <alignment horizontal="left" vertical="center" wrapText="1"/>
      <protection locked="0"/>
    </xf>
    <xf numFmtId="0" fontId="25" fillId="5" borderId="37" xfId="0" applyFont="1" applyFill="1" applyBorder="1" applyAlignment="1" applyProtection="1">
      <alignment horizontal="left" vertical="center" wrapText="1"/>
      <protection locked="0"/>
    </xf>
    <xf numFmtId="0" fontId="31" fillId="57" borderId="31" xfId="0" applyFont="1" applyFill="1" applyBorder="1" applyAlignment="1" applyProtection="1">
      <alignment horizontal="left" vertical="center" wrapText="1"/>
      <protection hidden="1"/>
    </xf>
    <xf numFmtId="0" fontId="31" fillId="57" borderId="38" xfId="0" applyFont="1" applyFill="1" applyBorder="1" applyAlignment="1" applyProtection="1">
      <alignment horizontal="left" vertical="center" wrapText="1"/>
      <protection hidden="1"/>
    </xf>
    <xf numFmtId="14" fontId="31" fillId="5" borderId="30" xfId="0" applyNumberFormat="1" applyFont="1" applyFill="1" applyBorder="1" applyAlignment="1" applyProtection="1">
      <alignment horizontal="left" vertical="center" wrapText="1"/>
      <protection hidden="1"/>
    </xf>
    <xf numFmtId="0" fontId="31" fillId="5" borderId="30" xfId="0" applyFont="1" applyFill="1" applyBorder="1" applyAlignment="1" applyProtection="1">
      <alignment horizontal="left" vertical="center" wrapText="1"/>
      <protection hidden="1"/>
    </xf>
    <xf numFmtId="0" fontId="31" fillId="5" borderId="33" xfId="0" applyFont="1" applyFill="1" applyBorder="1" applyAlignment="1" applyProtection="1">
      <alignment horizontal="left" vertical="center" wrapText="1"/>
      <protection hidden="1"/>
    </xf>
    <xf numFmtId="0" fontId="40" fillId="0" borderId="0" xfId="0" quotePrefix="1" applyFont="1" applyAlignment="1" applyProtection="1">
      <alignment horizontal="left" vertical="top" wrapText="1"/>
      <protection locked="0"/>
    </xf>
    <xf numFmtId="0" fontId="40" fillId="13" borderId="39" xfId="0" applyFont="1" applyFill="1" applyBorder="1" applyAlignment="1" applyProtection="1">
      <alignment horizontal="left" vertical="center" wrapText="1"/>
      <protection hidden="1"/>
    </xf>
    <xf numFmtId="0" fontId="40" fillId="5" borderId="39" xfId="0" applyFont="1" applyFill="1" applyBorder="1" applyAlignment="1" applyProtection="1">
      <alignment horizontal="left" vertical="center" wrapText="1"/>
      <protection hidden="1"/>
    </xf>
    <xf numFmtId="0" fontId="31" fillId="8" borderId="0" xfId="0" applyFont="1" applyFill="1" applyAlignment="1" applyProtection="1">
      <alignment horizontal="left" vertical="center" wrapText="1"/>
      <protection hidden="1"/>
    </xf>
    <xf numFmtId="0" fontId="31" fillId="19" borderId="0" xfId="0" applyFont="1" applyFill="1" applyAlignment="1" applyProtection="1">
      <alignment horizontal="left" vertical="center"/>
      <protection hidden="1"/>
    </xf>
    <xf numFmtId="4" fontId="64" fillId="13" borderId="44" xfId="11" applyNumberFormat="1" applyFont="1" applyFill="1" applyBorder="1" applyAlignment="1" applyProtection="1">
      <alignment horizontal="right" vertical="center"/>
      <protection hidden="1"/>
    </xf>
    <xf numFmtId="4" fontId="66" fillId="8" borderId="44" xfId="11" applyNumberFormat="1" applyFont="1" applyFill="1" applyBorder="1" applyAlignment="1" applyProtection="1">
      <alignment horizontal="right" vertical="center"/>
      <protection hidden="1"/>
    </xf>
    <xf numFmtId="0" fontId="62" fillId="6" borderId="0" xfId="0" applyFont="1" applyFill="1" applyAlignment="1" applyProtection="1">
      <alignment horizontal="right" vertical="center"/>
      <protection hidden="1"/>
    </xf>
    <xf numFmtId="0" fontId="40" fillId="13" borderId="38" xfId="0" applyFont="1" applyFill="1" applyBorder="1" applyAlignment="1" applyProtection="1">
      <alignment horizontal="left" vertical="center" wrapText="1"/>
      <protection hidden="1"/>
    </xf>
    <xf numFmtId="14" fontId="40" fillId="5" borderId="38" xfId="0" applyNumberFormat="1" applyFont="1" applyFill="1" applyBorder="1" applyAlignment="1" applyProtection="1">
      <alignment horizontal="left" vertical="center" wrapText="1"/>
      <protection hidden="1"/>
    </xf>
    <xf numFmtId="0" fontId="40" fillId="5" borderId="38" xfId="0" applyFont="1" applyFill="1" applyBorder="1" applyAlignment="1" applyProtection="1">
      <alignment horizontal="left" vertical="center" wrapText="1"/>
      <protection hidden="1"/>
    </xf>
    <xf numFmtId="0" fontId="108" fillId="13" borderId="40" xfId="0" applyFont="1" applyFill="1" applyBorder="1" applyAlignment="1" applyProtection="1">
      <alignment horizontal="left" vertical="center" wrapText="1"/>
      <protection hidden="1"/>
    </xf>
    <xf numFmtId="0" fontId="40" fillId="5" borderId="40" xfId="0" applyFont="1" applyFill="1" applyBorder="1" applyAlignment="1" applyProtection="1">
      <alignment horizontal="left" vertical="center" wrapText="1"/>
      <protection hidden="1"/>
    </xf>
    <xf numFmtId="0" fontId="25" fillId="8" borderId="0" xfId="0" applyFont="1" applyFill="1" applyAlignment="1" applyProtection="1">
      <alignment horizontal="left" vertical="center" wrapText="1"/>
      <protection hidden="1"/>
    </xf>
    <xf numFmtId="0" fontId="31" fillId="13" borderId="0" xfId="0" applyFont="1" applyFill="1" applyAlignment="1" applyProtection="1">
      <alignment horizontal="left" vertical="center" wrapText="1"/>
      <protection hidden="1"/>
    </xf>
    <xf numFmtId="0" fontId="40" fillId="0" borderId="9" xfId="0" applyFont="1" applyBorder="1" applyAlignment="1" applyProtection="1">
      <alignment horizontal="center" vertical="center"/>
      <protection locked="0"/>
    </xf>
    <xf numFmtId="0" fontId="31" fillId="13" borderId="25" xfId="0" applyFont="1" applyFill="1" applyBorder="1" applyAlignment="1" applyProtection="1">
      <alignment horizontal="left" vertical="center" wrapText="1"/>
      <protection hidden="1"/>
    </xf>
    <xf numFmtId="14" fontId="31" fillId="0" borderId="25" xfId="0" applyNumberFormat="1" applyFont="1" applyBorder="1" applyAlignment="1" applyProtection="1">
      <alignment horizontal="left" vertical="center"/>
      <protection locked="0"/>
    </xf>
    <xf numFmtId="0" fontId="31" fillId="0" borderId="25" xfId="0" applyFont="1" applyBorder="1" applyAlignment="1" applyProtection="1">
      <alignment horizontal="left" vertical="center"/>
      <protection locked="0"/>
    </xf>
    <xf numFmtId="0" fontId="40" fillId="0" borderId="0" xfId="0" applyFont="1" applyAlignment="1" applyProtection="1">
      <alignment horizontal="center" vertical="center"/>
      <protection locked="0"/>
    </xf>
    <xf numFmtId="0" fontId="64" fillId="0" borderId="15" xfId="11" applyFont="1" applyBorder="1" applyAlignment="1" applyProtection="1">
      <alignment horizontal="left" vertical="center" wrapText="1"/>
      <protection locked="0"/>
    </xf>
    <xf numFmtId="0" fontId="64" fillId="0" borderId="15" xfId="11" applyFont="1" applyBorder="1" applyAlignment="1" applyProtection="1">
      <alignment horizontal="left" wrapText="1"/>
      <protection locked="0"/>
    </xf>
    <xf numFmtId="4" fontId="51" fillId="0" borderId="15" xfId="11" applyNumberFormat="1" applyFont="1" applyBorder="1" applyAlignment="1" applyProtection="1">
      <alignment vertical="center"/>
      <protection locked="0"/>
    </xf>
    <xf numFmtId="4" fontId="51" fillId="0" borderId="15" xfId="11" applyNumberFormat="1" applyFont="1" applyBorder="1" applyProtection="1">
      <protection locked="0"/>
    </xf>
    <xf numFmtId="4" fontId="51" fillId="0" borderId="15" xfId="11" applyNumberFormat="1" applyFont="1" applyBorder="1" applyAlignment="1" applyProtection="1">
      <alignment vertical="center"/>
      <protection hidden="1"/>
    </xf>
    <xf numFmtId="4" fontId="51" fillId="0" borderId="15" xfId="11" applyNumberFormat="1" applyFont="1" applyBorder="1" applyProtection="1">
      <protection hidden="1"/>
    </xf>
    <xf numFmtId="49" fontId="65" fillId="0" borderId="15" xfId="11" applyNumberFormat="1" applyFont="1" applyBorder="1" applyAlignment="1" applyProtection="1">
      <alignment vertical="center" wrapText="1"/>
      <protection locked="0"/>
    </xf>
    <xf numFmtId="49" fontId="65" fillId="0" borderId="15" xfId="11" applyNumberFormat="1" applyFont="1" applyBorder="1" applyAlignment="1" applyProtection="1">
      <alignment wrapText="1"/>
      <protection locked="0"/>
    </xf>
    <xf numFmtId="0" fontId="137" fillId="0" borderId="17" xfId="11" applyFont="1" applyBorder="1" applyAlignment="1" applyProtection="1">
      <alignment vertical="center"/>
      <protection hidden="1"/>
    </xf>
    <xf numFmtId="0" fontId="137" fillId="0" borderId="17" xfId="11" applyFont="1" applyBorder="1" applyProtection="1">
      <protection hidden="1"/>
    </xf>
    <xf numFmtId="4" fontId="137" fillId="0" borderId="17" xfId="11" applyNumberFormat="1" applyFont="1" applyBorder="1" applyAlignment="1" applyProtection="1">
      <alignment vertical="center"/>
      <protection hidden="1"/>
    </xf>
    <xf numFmtId="4" fontId="137" fillId="0" borderId="17" xfId="11" applyNumberFormat="1" applyFont="1" applyBorder="1" applyProtection="1">
      <protection hidden="1"/>
    </xf>
    <xf numFmtId="9" fontId="51" fillId="0" borderId="18" xfId="11" applyNumberFormat="1" applyFont="1" applyBorder="1" applyAlignment="1" applyProtection="1">
      <alignment horizontal="center" vertical="center"/>
      <protection hidden="1"/>
    </xf>
    <xf numFmtId="9" fontId="51" fillId="0" borderId="18" xfId="11" applyNumberFormat="1" applyFont="1" applyBorder="1" applyAlignment="1" applyProtection="1">
      <alignment horizontal="center"/>
      <protection hidden="1"/>
    </xf>
    <xf numFmtId="0" fontId="135" fillId="17" borderId="0" xfId="11" applyFont="1" applyFill="1" applyAlignment="1" applyProtection="1">
      <alignment vertical="center"/>
      <protection hidden="1"/>
    </xf>
    <xf numFmtId="0" fontId="136" fillId="17" borderId="0" xfId="11" applyFont="1" applyFill="1" applyAlignment="1" applyProtection="1">
      <alignment horizontal="right" vertical="center"/>
      <protection hidden="1"/>
    </xf>
    <xf numFmtId="0" fontId="136" fillId="17" borderId="0" xfId="11" applyFont="1" applyFill="1" applyAlignment="1" applyProtection="1">
      <alignment horizontal="left" vertical="center"/>
      <protection hidden="1"/>
    </xf>
    <xf numFmtId="0" fontId="65" fillId="0" borderId="15" xfId="11" applyFont="1" applyBorder="1" applyAlignment="1" applyProtection="1">
      <alignment vertical="center" wrapText="1"/>
      <protection locked="0"/>
    </xf>
    <xf numFmtId="0" fontId="65" fillId="0" borderId="15" xfId="11" applyFont="1" applyBorder="1" applyAlignment="1" applyProtection="1">
      <alignment wrapText="1"/>
      <protection locked="0"/>
    </xf>
    <xf numFmtId="49" fontId="65" fillId="6" borderId="23" xfId="11" applyNumberFormat="1" applyFont="1" applyFill="1" applyBorder="1" applyAlignment="1" applyProtection="1">
      <alignment horizontal="right" vertical="center"/>
      <protection locked="0"/>
    </xf>
    <xf numFmtId="0" fontId="105" fillId="0" borderId="15" xfId="1" applyNumberFormat="1" applyFont="1" applyFill="1" applyBorder="1" applyProtection="1">
      <alignment vertical="center"/>
      <protection locked="0"/>
    </xf>
    <xf numFmtId="0" fontId="51" fillId="6" borderId="24" xfId="11" applyFont="1" applyFill="1" applyBorder="1" applyAlignment="1" applyProtection="1">
      <alignment horizontal="right" vertical="center"/>
      <protection hidden="1"/>
    </xf>
    <xf numFmtId="4" fontId="137" fillId="0" borderId="21" xfId="11" applyNumberFormat="1" applyFont="1" applyBorder="1" applyAlignment="1" applyProtection="1">
      <alignment horizontal="right" vertical="center"/>
      <protection hidden="1"/>
    </xf>
    <xf numFmtId="0" fontId="137" fillId="0" borderId="21" xfId="11" applyFont="1" applyBorder="1" applyAlignment="1" applyProtection="1">
      <alignment vertical="center"/>
      <protection hidden="1"/>
    </xf>
    <xf numFmtId="0" fontId="66" fillId="0" borderId="15" xfId="11" applyFont="1" applyBorder="1" applyAlignment="1" applyProtection="1">
      <alignment horizontal="left" vertical="center" wrapText="1"/>
      <protection hidden="1"/>
    </xf>
    <xf numFmtId="0" fontId="51" fillId="6" borderId="24" xfId="11" applyFont="1" applyFill="1" applyBorder="1" applyAlignment="1" applyProtection="1">
      <alignment vertical="center"/>
      <protection hidden="1"/>
    </xf>
    <xf numFmtId="0" fontId="64" fillId="0" borderId="0" xfId="11" applyFont="1" applyAlignment="1" applyProtection="1">
      <alignment horizontal="left" vertical="center" wrapText="1"/>
      <protection locked="0"/>
    </xf>
    <xf numFmtId="0" fontId="64" fillId="0" borderId="0" xfId="11" applyFont="1" applyAlignment="1" applyProtection="1">
      <alignment horizontal="left" wrapText="1"/>
      <protection locked="0"/>
    </xf>
    <xf numFmtId="0" fontId="66" fillId="0" borderId="0" xfId="11" applyFont="1" applyAlignment="1" applyProtection="1">
      <alignment horizontal="left" vertical="center" wrapText="1"/>
      <protection hidden="1"/>
    </xf>
    <xf numFmtId="0" fontId="66" fillId="0" borderId="0" xfId="11" applyFont="1" applyAlignment="1" applyProtection="1">
      <alignment horizontal="left" wrapText="1"/>
      <protection hidden="1"/>
    </xf>
    <xf numFmtId="14" fontId="81" fillId="0" borderId="40" xfId="17" applyNumberFormat="1" applyFont="1" applyFill="1" applyBorder="1" applyAlignment="1" applyProtection="1">
      <alignment horizontal="right" vertical="center"/>
      <protection hidden="1"/>
    </xf>
    <xf numFmtId="49" fontId="31" fillId="7" borderId="35" xfId="0" applyNumberFormat="1" applyFont="1" applyFill="1" applyBorder="1" applyAlignment="1" applyProtection="1">
      <alignment horizontal="left" vertical="top" wrapText="1"/>
      <protection locked="0"/>
    </xf>
    <xf numFmtId="49" fontId="31" fillId="7" borderId="43" xfId="0" applyNumberFormat="1" applyFont="1" applyFill="1" applyBorder="1" applyAlignment="1" applyProtection="1">
      <alignment horizontal="left" vertical="top" wrapText="1"/>
      <protection locked="0"/>
    </xf>
    <xf numFmtId="49" fontId="31" fillId="18" borderId="36" xfId="0" applyNumberFormat="1" applyFont="1" applyFill="1" applyBorder="1" applyAlignment="1" applyProtection="1">
      <alignment horizontal="left" vertical="top" wrapText="1"/>
      <protection locked="0"/>
    </xf>
    <xf numFmtId="49" fontId="31" fillId="18" borderId="44" xfId="0" applyNumberFormat="1" applyFont="1" applyFill="1" applyBorder="1" applyAlignment="1" applyProtection="1">
      <alignment horizontal="left" vertical="top" wrapText="1"/>
      <protection locked="0"/>
    </xf>
    <xf numFmtId="49" fontId="31" fillId="18" borderId="30" xfId="0" applyNumberFormat="1" applyFont="1" applyFill="1" applyBorder="1" applyAlignment="1" applyProtection="1">
      <alignment horizontal="left" vertical="top" wrapText="1"/>
      <protection locked="0"/>
    </xf>
    <xf numFmtId="14" fontId="97" fillId="17" borderId="46" xfId="0" applyNumberFormat="1" applyFont="1" applyFill="1" applyBorder="1" applyAlignment="1" applyProtection="1">
      <alignment horizontal="center" vertical="center"/>
      <protection hidden="1"/>
    </xf>
    <xf numFmtId="14" fontId="97" fillId="17" borderId="47" xfId="0" applyNumberFormat="1" applyFont="1" applyFill="1" applyBorder="1" applyAlignment="1" applyProtection="1">
      <alignment horizontal="center" vertical="center"/>
      <protection hidden="1"/>
    </xf>
    <xf numFmtId="14" fontId="97" fillId="17" borderId="48" xfId="0" applyNumberFormat="1" applyFont="1" applyFill="1" applyBorder="1" applyAlignment="1" applyProtection="1">
      <alignment horizontal="center" vertical="center"/>
      <protection hidden="1"/>
    </xf>
    <xf numFmtId="14" fontId="94" fillId="0" borderId="0" xfId="0" applyNumberFormat="1" applyFont="1" applyAlignment="1" applyProtection="1">
      <alignment horizontal="center" vertical="center"/>
      <protection locked="0"/>
    </xf>
    <xf numFmtId="14" fontId="92" fillId="0" borderId="0" xfId="19" applyNumberFormat="1" applyFont="1" applyBorder="1" applyAlignment="1" applyProtection="1">
      <alignment horizontal="left"/>
      <protection hidden="1"/>
    </xf>
    <xf numFmtId="172" fontId="97" fillId="17" borderId="46" xfId="0" applyNumberFormat="1" applyFont="1" applyFill="1" applyBorder="1" applyAlignment="1" applyProtection="1">
      <alignment horizontal="center" vertical="center"/>
      <protection hidden="1"/>
    </xf>
    <xf numFmtId="172" fontId="97" fillId="17" borderId="47" xfId="0" applyNumberFormat="1" applyFont="1" applyFill="1" applyBorder="1" applyAlignment="1" applyProtection="1">
      <alignment horizontal="center" vertical="center"/>
      <protection hidden="1"/>
    </xf>
    <xf numFmtId="172" fontId="97" fillId="17" borderId="48" xfId="0" applyNumberFormat="1" applyFont="1" applyFill="1" applyBorder="1" applyAlignment="1" applyProtection="1">
      <alignment horizontal="center" vertical="center"/>
      <protection hidden="1"/>
    </xf>
    <xf numFmtId="0" fontId="92" fillId="0" borderId="0" xfId="19" applyFont="1" applyBorder="1" applyAlignment="1" applyProtection="1">
      <alignment horizontal="left"/>
      <protection hidden="1"/>
    </xf>
    <xf numFmtId="0" fontId="94" fillId="0" borderId="0" xfId="0" applyFont="1" applyAlignment="1" applyProtection="1">
      <alignment horizontal="center" vertical="center"/>
      <protection locked="0"/>
    </xf>
    <xf numFmtId="0" fontId="163" fillId="54" borderId="0" xfId="0" applyFont="1" applyFill="1" applyAlignment="1">
      <alignment horizontal="center"/>
    </xf>
    <xf numFmtId="0" fontId="31" fillId="0" borderId="0" xfId="0" applyFont="1" applyAlignment="1">
      <alignment horizontal="left" vertical="top" wrapText="1"/>
    </xf>
    <xf numFmtId="0" fontId="31" fillId="0" borderId="0" xfId="0" applyFont="1" applyAlignment="1">
      <alignment horizontal="left" vertical="top" wrapText="1" indent="3"/>
    </xf>
    <xf numFmtId="0" fontId="78" fillId="54" borderId="0" xfId="0" applyFont="1" applyFill="1" applyAlignment="1">
      <alignment horizontal="center" vertical="center" wrapText="1"/>
    </xf>
    <xf numFmtId="0" fontId="78" fillId="54" borderId="0" xfId="0" applyFont="1" applyFill="1" applyAlignment="1">
      <alignment horizontal="center" vertical="center"/>
    </xf>
    <xf numFmtId="0" fontId="165" fillId="0" borderId="113" xfId="0" applyFont="1" applyBorder="1" applyAlignment="1">
      <alignment horizontal="left" wrapText="1"/>
    </xf>
    <xf numFmtId="0" fontId="78" fillId="54" borderId="0" xfId="0" applyFont="1" applyFill="1" applyAlignment="1">
      <alignment horizontal="center" vertical="top" wrapText="1"/>
    </xf>
  </cellXfs>
  <cellStyles count="30">
    <cellStyle name="20 % - Akzent3" xfId="18" builtinId="38"/>
    <cellStyle name="40 % - Akzent3" xfId="16" builtinId="39"/>
    <cellStyle name="40 % - Akzent4" xfId="17" builtinId="43"/>
    <cellStyle name="Euro" xfId="12" xr:uid="{00000000-0005-0000-0000-000003000000}"/>
    <cellStyle name="Hyperlink 2" xfId="3" xr:uid="{00000000-0005-0000-0000-000004000000}"/>
    <cellStyle name="Hyperlink 3" xfId="7" xr:uid="{00000000-0005-0000-0000-000005000000}"/>
    <cellStyle name="Hyperlink 4" xfId="10" xr:uid="{00000000-0005-0000-0000-000006000000}"/>
    <cellStyle name="Komma" xfId="5" builtinId="3"/>
    <cellStyle name="Komma 2" xfId="4" xr:uid="{00000000-0005-0000-0000-000008000000}"/>
    <cellStyle name="Komma 3" xfId="24" xr:uid="{A20CF935-281B-47A3-BF89-CE235EAC6C77}"/>
    <cellStyle name="Link" xfId="1" builtinId="8" customBuiltin="1"/>
    <cellStyle name="Link 2" xfId="19" xr:uid="{00000000-0005-0000-0000-00000A000000}"/>
    <cellStyle name="Link 3" xfId="21" xr:uid="{00000000-0005-0000-0000-00000B000000}"/>
    <cellStyle name="Normal 2" xfId="6" xr:uid="{00000000-0005-0000-0000-00000C000000}"/>
    <cellStyle name="Prozent" xfId="15" builtinId="5"/>
    <cellStyle name="Prozent 2" xfId="14" xr:uid="{00000000-0005-0000-0000-00000E000000}"/>
    <cellStyle name="Prozent 4" xfId="29" xr:uid="{C1C2D90E-2485-4ECF-9EA6-C1F51AC376D2}"/>
    <cellStyle name="Standard" xfId="0" builtinId="0"/>
    <cellStyle name="Standard 15" xfId="26" xr:uid="{4CCB0D8E-4AF8-427A-96CC-D7CDA51E28DD}"/>
    <cellStyle name="Standard 16" xfId="27" xr:uid="{F8072A5E-2F5E-46B0-A5EB-2A9715511F56}"/>
    <cellStyle name="Standard 18" xfId="22" xr:uid="{7E64FAD3-9853-47E1-86F7-1E5C01FBFF59}"/>
    <cellStyle name="Standard 19" xfId="23" xr:uid="{06793950-92A8-4866-AA11-C063B80CB79E}"/>
    <cellStyle name="Standard 2" xfId="2" xr:uid="{00000000-0005-0000-0000-000010000000}"/>
    <cellStyle name="Standard 25" xfId="28" xr:uid="{7CD64D6A-E717-45C6-9C77-13DC2F23F752}"/>
    <cellStyle name="Standard 3" xfId="8" xr:uid="{00000000-0005-0000-0000-000011000000}"/>
    <cellStyle name="Standard 3 2" xfId="9" xr:uid="{00000000-0005-0000-0000-000012000000}"/>
    <cellStyle name="Standard 4" xfId="11" xr:uid="{00000000-0005-0000-0000-000013000000}"/>
    <cellStyle name="Standard 5" xfId="20" xr:uid="{00000000-0005-0000-0000-000014000000}"/>
    <cellStyle name="Standard 6" xfId="25" xr:uid="{38D8AEA5-6AAC-4BCC-9309-EA2478392802}"/>
    <cellStyle name="Währung 2" xfId="13" xr:uid="{00000000-0005-0000-0000-000015000000}"/>
  </cellStyles>
  <dxfs count="239">
    <dxf>
      <fill>
        <patternFill>
          <bgColor theme="5" tint="0.59996337778862885"/>
        </patternFill>
      </fill>
    </dxf>
    <dxf>
      <fill>
        <patternFill>
          <bgColor rgb="FFFF9999"/>
        </patternFill>
      </fill>
    </dxf>
    <dxf>
      <fill>
        <patternFill>
          <bgColor theme="3" tint="0.79998168889431442"/>
        </patternFill>
      </fill>
    </dxf>
    <dxf>
      <fill>
        <patternFill>
          <bgColor rgb="FFFF9999"/>
        </patternFill>
      </fill>
    </dxf>
    <dxf>
      <fill>
        <patternFill>
          <bgColor theme="3" tint="0.79998168889431442"/>
        </patternFill>
      </fill>
    </dxf>
    <dxf>
      <fill>
        <patternFill>
          <bgColor rgb="FFFF9999"/>
        </patternFill>
      </fill>
    </dxf>
    <dxf>
      <fill>
        <patternFill>
          <bgColor theme="3" tint="0.79998168889431442"/>
        </patternFill>
      </fill>
    </dxf>
    <dxf>
      <fill>
        <patternFill>
          <bgColor rgb="FFFF9999"/>
        </patternFill>
      </fill>
    </dxf>
    <dxf>
      <fill>
        <patternFill>
          <bgColor theme="3" tint="0.79998168889431442"/>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theme="3" tint="0.79998168889431442"/>
        </patternFill>
      </fill>
    </dxf>
    <dxf>
      <fill>
        <patternFill>
          <bgColor theme="5" tint="0.59996337778862885"/>
        </patternFill>
      </fill>
    </dxf>
    <dxf>
      <fill>
        <patternFill>
          <bgColor theme="5" tint="0.7999816888943144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9" tint="0.79998168889431442"/>
        </patternFill>
      </fill>
    </dxf>
    <dxf>
      <fill>
        <patternFill>
          <bgColor theme="9" tint="0.59996337778862885"/>
        </patternFill>
      </fill>
    </dxf>
    <dxf>
      <fill>
        <patternFill>
          <bgColor theme="4" tint="0.79998168889431442"/>
        </patternFill>
      </fill>
    </dxf>
    <dxf>
      <fill>
        <patternFill>
          <bgColor theme="4" tint="0.59996337778862885"/>
        </patternFill>
      </fill>
    </dxf>
    <dxf>
      <fill>
        <patternFill>
          <bgColor theme="5" tint="0.59996337778862885"/>
        </patternFill>
      </fill>
    </dxf>
    <dxf>
      <fill>
        <patternFill>
          <bgColor theme="5" tint="0.79998168889431442"/>
        </patternFill>
      </fill>
    </dxf>
    <dxf>
      <fill>
        <patternFill>
          <bgColor theme="7" tint="0.79998168889431442"/>
        </patternFill>
      </fill>
    </dxf>
    <dxf>
      <fill>
        <patternFill>
          <bgColor theme="7" tint="0.59996337778862885"/>
        </patternFill>
      </fill>
    </dxf>
    <dxf>
      <fill>
        <patternFill>
          <bgColor theme="5" tint="0.79998168889431442"/>
        </patternFill>
      </fill>
    </dxf>
    <dxf>
      <fill>
        <patternFill>
          <bgColor rgb="FFFFCC99"/>
        </patternFill>
      </fill>
    </dxf>
    <dxf>
      <fill>
        <patternFill>
          <bgColor theme="5" tint="0.79998168889431442"/>
        </patternFill>
      </fill>
    </dxf>
    <dxf>
      <fill>
        <patternFill>
          <bgColor theme="3" tint="0.39994506668294322"/>
        </patternFill>
      </fill>
    </dxf>
    <dxf>
      <fill>
        <patternFill>
          <bgColor theme="3" tint="0.59996337778862885"/>
        </patternFill>
      </fill>
    </dxf>
    <dxf>
      <fill>
        <patternFill>
          <bgColor theme="3" tint="0.79998168889431442"/>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5" tint="0.79998168889431442"/>
        </patternFill>
      </fill>
    </dxf>
    <dxf>
      <fill>
        <patternFill>
          <bgColor rgb="FFFFCC99"/>
        </patternFill>
      </fill>
    </dxf>
    <dxf>
      <fill>
        <patternFill>
          <bgColor theme="5" tint="0.79998168889431442"/>
        </patternFill>
      </fill>
    </dxf>
    <dxf>
      <fill>
        <patternFill>
          <bgColor theme="5" tint="0.79998168889431442"/>
        </patternFill>
      </fill>
    </dxf>
    <dxf>
      <fill>
        <patternFill>
          <bgColor rgb="FFFFCC99"/>
        </patternFill>
      </fill>
    </dxf>
    <dxf>
      <fill>
        <patternFill>
          <bgColor theme="5" tint="0.79998168889431442"/>
        </patternFill>
      </fill>
    </dxf>
    <dxf>
      <fill>
        <patternFill>
          <bgColor theme="3" tint="0.39994506668294322"/>
        </patternFill>
      </fill>
    </dxf>
    <dxf>
      <fill>
        <patternFill>
          <bgColor theme="3" tint="0.59996337778862885"/>
        </patternFill>
      </fill>
    </dxf>
    <dxf>
      <fill>
        <patternFill>
          <bgColor theme="3" tint="0.79998168889431442"/>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2" tint="-0.499984740745262"/>
        </patternFill>
      </fill>
    </dxf>
    <dxf>
      <fill>
        <patternFill>
          <bgColor theme="2" tint="-0.24994659260841701"/>
        </patternFill>
      </fill>
    </dxf>
    <dxf>
      <fill>
        <patternFill>
          <bgColor theme="2" tint="-9.9948118533890809E-2"/>
        </patternFill>
      </fill>
    </dxf>
    <dxf>
      <fill>
        <patternFill>
          <bgColor theme="5" tint="0.79998168889431442"/>
        </patternFill>
      </fill>
    </dxf>
    <dxf>
      <fill>
        <patternFill>
          <bgColor rgb="FFFFCC99"/>
        </patternFill>
      </fill>
    </dxf>
    <dxf>
      <fill>
        <patternFill>
          <bgColor theme="5" tint="0.79998168889431442"/>
        </patternFill>
      </fill>
    </dxf>
    <dxf>
      <fill>
        <patternFill>
          <bgColor theme="5" tint="0.79998168889431442"/>
        </patternFill>
      </fill>
    </dxf>
    <dxf>
      <fill>
        <patternFill>
          <bgColor rgb="FFFFCC99"/>
        </patternFill>
      </fill>
    </dxf>
    <dxf>
      <fill>
        <patternFill>
          <bgColor theme="5" tint="0.79998168889431442"/>
        </patternFill>
      </fill>
    </dxf>
    <dxf>
      <fill>
        <patternFill>
          <bgColor theme="3" tint="0.39994506668294322"/>
        </patternFill>
      </fill>
    </dxf>
    <dxf>
      <fill>
        <patternFill>
          <bgColor theme="3" tint="0.59996337778862885"/>
        </patternFill>
      </fill>
    </dxf>
    <dxf>
      <fill>
        <patternFill>
          <bgColor theme="3" tint="0.79998168889431442"/>
        </patternFill>
      </fill>
    </dxf>
    <dxf>
      <fill>
        <patternFill>
          <bgColor theme="2" tint="-0.499984740745262"/>
        </patternFill>
      </fill>
    </dxf>
    <dxf>
      <fill>
        <patternFill>
          <bgColor theme="2" tint="-0.24994659260841701"/>
        </patternFill>
      </fill>
    </dxf>
    <dxf>
      <fill>
        <patternFill>
          <bgColor theme="2" tint="-9.9948118533890809E-2"/>
        </patternFill>
      </fill>
    </dxf>
    <dxf>
      <fill>
        <patternFill>
          <bgColor theme="0" tint="-0.14996795556505021"/>
        </patternFill>
      </fill>
    </dxf>
    <dxf>
      <fill>
        <patternFill>
          <bgColor theme="0" tint="-4.9989318521683403E-2"/>
        </patternFill>
      </fill>
    </dxf>
    <dxf>
      <fill>
        <patternFill>
          <bgColor theme="3" tint="0.39994506668294322"/>
        </patternFill>
      </fill>
    </dxf>
    <dxf>
      <fill>
        <patternFill>
          <bgColor theme="3" tint="0.59996337778862885"/>
        </patternFill>
      </fill>
    </dxf>
    <dxf>
      <fill>
        <patternFill>
          <bgColor theme="3" tint="0.79998168889431442"/>
        </patternFill>
      </fill>
    </dxf>
    <dxf>
      <fill>
        <patternFill>
          <bgColor theme="0" tint="-0.14996795556505021"/>
        </patternFill>
      </fill>
    </dxf>
    <dxf>
      <fill>
        <patternFill>
          <bgColor theme="0" tint="-4.9989318521683403E-2"/>
        </patternFill>
      </fill>
    </dxf>
    <dxf>
      <fill>
        <patternFill>
          <bgColor theme="3" tint="0.39994506668294322"/>
        </patternFill>
      </fill>
    </dxf>
    <dxf>
      <fill>
        <patternFill>
          <bgColor theme="3" tint="0.59996337778862885"/>
        </patternFill>
      </fill>
    </dxf>
    <dxf>
      <fill>
        <patternFill>
          <bgColor theme="3" tint="0.79998168889431442"/>
        </patternFill>
      </fill>
    </dxf>
    <dxf>
      <fill>
        <patternFill>
          <bgColor theme="0" tint="-4.9989318521683403E-2"/>
        </patternFill>
      </fill>
    </dxf>
    <dxf>
      <fill>
        <patternFill>
          <bgColor theme="0" tint="-0.14996795556505021"/>
        </patternFill>
      </fill>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border>
        <top style="hair">
          <color theme="0" tint="-0.34998626667073579"/>
        </top>
        <bottom style="hair">
          <color theme="0" tint="-0.34998626667073579"/>
        </bottom>
        <vertical/>
        <horizontal/>
      </border>
    </dxf>
    <dxf>
      <fill>
        <patternFill>
          <bgColor theme="4" tint="0.79998168889431442"/>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rgb="FFFFF2C9"/>
        </patternFill>
      </fill>
    </dxf>
    <dxf>
      <fill>
        <patternFill>
          <bgColor theme="5" tint="0.79998168889431442"/>
        </patternFill>
      </fill>
    </dxf>
    <dxf>
      <fill>
        <patternFill>
          <bgColor theme="5" tint="0.79998168889431442"/>
        </patternFill>
      </fill>
    </dxf>
    <dxf>
      <fill>
        <patternFill>
          <bgColor rgb="FFFFF2C9"/>
        </patternFill>
      </fill>
    </dxf>
    <dxf>
      <fill>
        <patternFill>
          <bgColor theme="5" tint="0.79998168889431442"/>
        </patternFill>
      </fill>
    </dxf>
    <dxf>
      <fill>
        <patternFill>
          <bgColor theme="5" tint="0.79998168889431442"/>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rgb="FFFF0000"/>
        </patternFill>
      </fill>
    </dxf>
    <dxf>
      <font>
        <color rgb="FF9C0006"/>
      </font>
      <fill>
        <patternFill>
          <bgColor rgb="FFFFC7CE"/>
        </patternFill>
      </fill>
    </dxf>
    <dxf>
      <fill>
        <patternFill>
          <bgColor rgb="FFDEF1F2"/>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theme="5" tint="0.59996337778862885"/>
        </patternFill>
      </fill>
    </dxf>
    <dxf>
      <fill>
        <patternFill>
          <bgColor theme="5" tint="0.59996337778862885"/>
        </patternFill>
      </fill>
    </dxf>
    <dxf>
      <fill>
        <patternFill>
          <bgColor theme="6" tint="0.79998168889431442"/>
        </patternFill>
      </fill>
    </dxf>
    <dxf>
      <fill>
        <patternFill>
          <bgColor theme="6" tint="0.39994506668294322"/>
        </patternFill>
      </fill>
    </dxf>
    <dxf>
      <fill>
        <patternFill>
          <bgColor theme="4" tint="0.79998168889431442"/>
        </patternFill>
      </fill>
    </dxf>
    <dxf>
      <fill>
        <patternFill>
          <bgColor theme="4"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0.34998626667073579"/>
        </patternFill>
      </fill>
    </dxf>
    <dxf>
      <fill>
        <patternFill>
          <bgColor theme="0" tint="-0.14996795556505021"/>
        </patternFill>
      </fill>
    </dxf>
    <dxf>
      <fill>
        <patternFill>
          <bgColor theme="0" tint="-0.34998626667073579"/>
        </patternFill>
      </fill>
    </dxf>
    <dxf>
      <fill>
        <patternFill>
          <bgColor theme="0" tint="-4.9989318521683403E-2"/>
        </patternFill>
      </fill>
    </dxf>
    <dxf>
      <fill>
        <patternFill>
          <bgColor theme="0" tint="-0.14996795556505021"/>
        </patternFill>
      </fill>
    </dxf>
    <dxf>
      <fill>
        <patternFill>
          <bgColor theme="6" tint="0.79998168889431442"/>
        </patternFill>
      </fill>
    </dxf>
    <dxf>
      <fill>
        <patternFill>
          <bgColor theme="6"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0" tint="-4.9989318521683403E-2"/>
        </patternFill>
      </fill>
    </dxf>
    <dxf>
      <fill>
        <patternFill>
          <bgColor theme="0" tint="-0.14996795556505021"/>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79998168889431442"/>
        </patternFill>
      </fill>
    </dxf>
    <dxf>
      <font>
        <color rgb="FFFF3300"/>
      </font>
    </dxf>
    <dxf>
      <font>
        <color rgb="FFFF0000"/>
      </font>
    </dxf>
  </dxfs>
  <tableStyles count="0" defaultTableStyle="TableStyleMedium9" defaultPivotStyle="PivotStyleLight16"/>
  <colors>
    <mruColors>
      <color rgb="FFADDADD"/>
      <color rgb="FF3984A3"/>
      <color rgb="FF8B98B3"/>
      <color rgb="FFC5CCD9"/>
      <color rgb="FF6F80A1"/>
      <color rgb="FF4C5974"/>
      <color rgb="FF5C6D8E"/>
      <color rgb="FF566584"/>
      <color rgb="FF75BFC5"/>
      <color rgb="FF3D8D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_rels/chart9.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26.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tx2">
                    <a:lumMod val="60000"/>
                    <a:lumOff val="40000"/>
                  </a:schemeClr>
                </a:gs>
                <a:gs pos="50000">
                  <a:schemeClr val="tx2">
                    <a:lumMod val="40000"/>
                    <a:lumOff val="60000"/>
                  </a:schemeClr>
                </a:gs>
                <a:gs pos="100000">
                  <a:schemeClr val="tx2">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rgbClr val="486492"/>
                  </a:gs>
                  <a:gs pos="50000">
                    <a:srgbClr val="748FBA"/>
                  </a:gs>
                  <a:gs pos="100000">
                    <a:srgbClr val="BFCBDF"/>
                  </a:gs>
                </a:gsLst>
                <a:lin ang="10800000" scaled="1"/>
                <a:tileRect/>
              </a:gradFill>
              <a:ln>
                <a:noFill/>
              </a:ln>
            </c:spPr>
            <c:extLst>
              <c:ext xmlns:c16="http://schemas.microsoft.com/office/drawing/2014/chart" uri="{C3380CC4-5D6E-409C-BE32-E72D297353CC}">
                <c16:uniqueId val="{00000001-030C-4247-834C-4A556FB76621}"/>
              </c:ext>
            </c:extLst>
          </c:dPt>
          <c:dLbls>
            <c:dLbl>
              <c:idx val="0"/>
              <c:layout>
                <c:manualLayout>
                  <c:x val="-4.7068756592341894E-2"/>
                  <c:y val="-1.732456710237953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30C-4247-834C-4A556FB76621}"/>
                </c:ext>
              </c:extLst>
            </c:dLbl>
            <c:spPr>
              <a:noFill/>
              <a:ln>
                <a:noFill/>
              </a:ln>
              <a:effectLst/>
            </c:spPr>
            <c:txPr>
              <a:bodyPr/>
              <a:lstStyle/>
              <a:p>
                <a:pPr>
                  <a:defRPr sz="140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Detailplan!$F$5</c:f>
              <c:numCache>
                <c:formatCode>0%</c:formatCode>
                <c:ptCount val="1"/>
                <c:pt idx="0">
                  <c:v>0</c:v>
                </c:pt>
              </c:numCache>
            </c:numRef>
          </c:val>
          <c:extLst>
            <c:ext xmlns:c16="http://schemas.microsoft.com/office/drawing/2014/chart" uri="{C3380CC4-5D6E-409C-BE32-E72D297353CC}">
              <c16:uniqueId val="{00000002-030C-4247-834C-4A556FB76621}"/>
            </c:ext>
          </c:extLst>
        </c:ser>
        <c:dLbls>
          <c:showLegendKey val="0"/>
          <c:showVal val="0"/>
          <c:showCatName val="0"/>
          <c:showSerName val="0"/>
          <c:showPercent val="0"/>
          <c:showBubbleSize val="0"/>
        </c:dLbls>
        <c:gapWidth val="0"/>
        <c:axId val="216789344"/>
        <c:axId val="216781184"/>
      </c:barChart>
      <c:catAx>
        <c:axId val="216789344"/>
        <c:scaling>
          <c:orientation val="minMax"/>
        </c:scaling>
        <c:delete val="1"/>
        <c:axPos val="l"/>
        <c:majorTickMark val="out"/>
        <c:minorTickMark val="none"/>
        <c:tickLblPos val="nextTo"/>
        <c:crossAx val="216781184"/>
        <c:crosses val="autoZero"/>
        <c:auto val="1"/>
        <c:lblAlgn val="ctr"/>
        <c:lblOffset val="100"/>
        <c:noMultiLvlLbl val="0"/>
      </c:catAx>
      <c:valAx>
        <c:axId val="216781184"/>
        <c:scaling>
          <c:orientation val="minMax"/>
          <c:max val="1"/>
          <c:min val="0"/>
        </c:scaling>
        <c:delete val="1"/>
        <c:axPos val="b"/>
        <c:majorGridlines>
          <c:spPr>
            <a:ln>
              <a:noFill/>
            </a:ln>
          </c:spPr>
        </c:majorGridlines>
        <c:numFmt formatCode="0%" sourceLinked="1"/>
        <c:majorTickMark val="out"/>
        <c:minorTickMark val="none"/>
        <c:tickLblPos val="nextTo"/>
        <c:crossAx val="216789344"/>
        <c:crosses val="autoZero"/>
        <c:crossBetween val="between"/>
        <c:majorUnit val="0.2"/>
        <c:minorUnit val="4.0000000000000008E-2"/>
      </c:valAx>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7392804753635555E-2"/>
          <c:y val="0.25731051744545796"/>
          <c:w val="0.95428311157898549"/>
          <c:h val="0.4853801169590643"/>
        </c:manualLayout>
      </c:layout>
      <c:barChart>
        <c:barDir val="bar"/>
        <c:grouping val="clustered"/>
        <c:varyColors val="0"/>
        <c:ser>
          <c:idx val="0"/>
          <c:order val="0"/>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0800000" scaled="1"/>
              <a:tileRect/>
            </a:gradFill>
            <a:ln>
              <a:solidFill>
                <a:schemeClr val="accent4">
                  <a:lumMod val="50000"/>
                </a:schemeClr>
              </a:solidFill>
            </a:ln>
          </c:spPr>
          <c:invertIfNegative val="0"/>
          <c:dPt>
            <c:idx val="0"/>
            <c:invertIfNegative val="0"/>
            <c:bubble3D val="0"/>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0800000" scaled="1"/>
                <a:tileRect/>
              </a:gradFill>
              <a:ln>
                <a:noFill/>
              </a:ln>
            </c:spPr>
            <c:extLst>
              <c:ext xmlns:c16="http://schemas.microsoft.com/office/drawing/2014/chart" uri="{C3380CC4-5D6E-409C-BE32-E72D297353CC}">
                <c16:uniqueId val="{00000001-AAC1-4F0C-BA0B-180AE7B6570F}"/>
              </c:ext>
            </c:extLst>
          </c:dPt>
          <c:dLbls>
            <c:spPr>
              <a:noFill/>
              <a:ln>
                <a:noFill/>
              </a:ln>
              <a:effectLst/>
            </c:spPr>
            <c:txPr>
              <a:bodyPr wrap="square" lIns="38100" tIns="19050" rIns="38100" bIns="19050" anchor="ctr">
                <a:spAutoFit/>
              </a:bodyPr>
              <a:lstStyle/>
              <a:p>
                <a:pPr>
                  <a:defRPr>
                    <a:latin typeface="Calibri Light" panose="020F0302020204030204" pitchFamily="34" charset="0"/>
                    <a:cs typeface="Calibri Light" panose="020F0302020204030204" pitchFamily="34" charset="0"/>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Detailplan!$M$8</c:f>
              <c:numCache>
                <c:formatCode>0%</c:formatCode>
                <c:ptCount val="1"/>
              </c:numCache>
            </c:numRef>
          </c:val>
          <c:extLst>
            <c:ext xmlns:c16="http://schemas.microsoft.com/office/drawing/2014/chart" uri="{C3380CC4-5D6E-409C-BE32-E72D297353CC}">
              <c16:uniqueId val="{00000002-AAC1-4F0C-BA0B-180AE7B6570F}"/>
            </c:ext>
          </c:extLst>
        </c:ser>
        <c:dLbls>
          <c:showLegendKey val="0"/>
          <c:showVal val="0"/>
          <c:showCatName val="0"/>
          <c:showSerName val="0"/>
          <c:showPercent val="0"/>
          <c:showBubbleSize val="0"/>
        </c:dLbls>
        <c:gapWidth val="0"/>
        <c:axId val="217633424"/>
        <c:axId val="327811696"/>
      </c:barChart>
      <c:catAx>
        <c:axId val="217633424"/>
        <c:scaling>
          <c:orientation val="minMax"/>
        </c:scaling>
        <c:delete val="1"/>
        <c:axPos val="l"/>
        <c:majorTickMark val="out"/>
        <c:minorTickMark val="none"/>
        <c:tickLblPos val="nextTo"/>
        <c:crossAx val="327811696"/>
        <c:crosses val="autoZero"/>
        <c:auto val="1"/>
        <c:lblAlgn val="ctr"/>
        <c:lblOffset val="100"/>
        <c:noMultiLvlLbl val="0"/>
      </c:catAx>
      <c:valAx>
        <c:axId val="327811696"/>
        <c:scaling>
          <c:orientation val="minMax"/>
          <c:max val="1"/>
          <c:min val="0"/>
        </c:scaling>
        <c:delete val="1"/>
        <c:axPos val="b"/>
        <c:majorGridlines/>
        <c:numFmt formatCode="0%" sourceLinked="1"/>
        <c:majorTickMark val="out"/>
        <c:minorTickMark val="none"/>
        <c:tickLblPos val="nextTo"/>
        <c:crossAx val="217633424"/>
        <c:crosses val="autoZero"/>
        <c:crossBetween val="between"/>
        <c:majorUnit val="0.2"/>
        <c:minorUnit val="4.0000000000000008E-2"/>
      </c:valAx>
    </c:plotArea>
    <c:plotVisOnly val="1"/>
    <c:dispBlanksAs val="gap"/>
    <c:showDLblsOverMax val="0"/>
  </c:chart>
  <c:spPr>
    <a:noFill/>
    <a:ln>
      <a:noFill/>
    </a:ln>
  </c:spPr>
  <c:txPr>
    <a:bodyPr/>
    <a:lstStyle/>
    <a:p>
      <a:pPr>
        <a:defRPr sz="1100"/>
      </a:pPr>
      <a:endParaRPr lang="de-DE"/>
    </a:p>
  </c:txPr>
  <c:printSettings>
    <c:headerFooter/>
    <c:pageMargins b="0.78740157499999996" l="0.7" r="0.7" t="0.78740157499999996"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rgbClr val="459EA5"/>
                </a:gs>
                <a:gs pos="50000">
                  <a:srgbClr val="ACD9DC"/>
                </a:gs>
                <a:gs pos="100000">
                  <a:srgbClr val="D0EAEC"/>
                </a:gs>
              </a:gsLst>
              <a:lin ang="0" scaled="1"/>
              <a:tileRect/>
            </a:gradFill>
            <a:ln>
              <a:solidFill>
                <a:schemeClr val="accent4">
                  <a:lumMod val="50000"/>
                </a:schemeClr>
              </a:solidFill>
            </a:ln>
          </c:spPr>
          <c:invertIfNegative val="0"/>
          <c:dPt>
            <c:idx val="0"/>
            <c:invertIfNegative val="0"/>
            <c:bubble3D val="0"/>
            <c:spPr>
              <a:gradFill flip="none" rotWithShape="1">
                <a:gsLst>
                  <a:gs pos="0">
                    <a:srgbClr val="459EA5"/>
                  </a:gs>
                  <a:gs pos="50000">
                    <a:srgbClr val="ACD9DC"/>
                  </a:gs>
                  <a:gs pos="100000">
                    <a:srgbClr val="D0EAEC"/>
                  </a:gs>
                </a:gsLst>
                <a:lin ang="10800000" scaled="1"/>
                <a:tileRect/>
              </a:gradFill>
              <a:ln>
                <a:noFill/>
              </a:ln>
            </c:spPr>
            <c:extLst>
              <c:ext xmlns:c16="http://schemas.microsoft.com/office/drawing/2014/chart" uri="{C3380CC4-5D6E-409C-BE32-E72D297353CC}">
                <c16:uniqueId val="{00000001-6E37-42D9-B316-0CA493244FFB}"/>
              </c:ext>
            </c:extLst>
          </c:dPt>
          <c:dLbls>
            <c:dLbl>
              <c:idx val="0"/>
              <c:layout>
                <c:manualLayout>
                  <c:x val="-0.16341133414661196"/>
                  <c:y val="-2.0585662086356854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E37-42D9-B316-0CA493244FFB}"/>
                </c:ext>
              </c:extLst>
            </c:dLbl>
            <c:spPr>
              <a:noFill/>
              <a:ln>
                <a:noFill/>
              </a:ln>
              <a:effectLst/>
            </c:spPr>
            <c:txPr>
              <a:bodyPr/>
              <a:lstStyle/>
              <a:p>
                <a:pPr>
                  <a:defRPr sz="110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Projektbudget!$CO$24</c:f>
              <c:numCache>
                <c:formatCode>0%</c:formatCode>
                <c:ptCount val="1"/>
                <c:pt idx="0">
                  <c:v>1</c:v>
                </c:pt>
              </c:numCache>
            </c:numRef>
          </c:val>
          <c:extLst>
            <c:ext xmlns:c16="http://schemas.microsoft.com/office/drawing/2014/chart" uri="{C3380CC4-5D6E-409C-BE32-E72D297353CC}">
              <c16:uniqueId val="{00000002-6E37-42D9-B316-0CA493244FFB}"/>
            </c:ext>
          </c:extLst>
        </c:ser>
        <c:dLbls>
          <c:showLegendKey val="0"/>
          <c:showVal val="0"/>
          <c:showCatName val="0"/>
          <c:showSerName val="0"/>
          <c:showPercent val="0"/>
          <c:showBubbleSize val="0"/>
        </c:dLbls>
        <c:gapWidth val="0"/>
        <c:axId val="216781728"/>
        <c:axId val="216779008"/>
      </c:barChart>
      <c:catAx>
        <c:axId val="216781728"/>
        <c:scaling>
          <c:orientation val="minMax"/>
        </c:scaling>
        <c:delete val="1"/>
        <c:axPos val="l"/>
        <c:majorTickMark val="out"/>
        <c:minorTickMark val="none"/>
        <c:tickLblPos val="nextTo"/>
        <c:crossAx val="216779008"/>
        <c:crosses val="autoZero"/>
        <c:auto val="1"/>
        <c:lblAlgn val="ctr"/>
        <c:lblOffset val="100"/>
        <c:noMultiLvlLbl val="0"/>
      </c:catAx>
      <c:valAx>
        <c:axId val="216779008"/>
        <c:scaling>
          <c:orientation val="minMax"/>
          <c:max val="1"/>
          <c:min val="0"/>
        </c:scaling>
        <c:delete val="1"/>
        <c:axPos val="b"/>
        <c:majorGridlines/>
        <c:numFmt formatCode="0%" sourceLinked="1"/>
        <c:majorTickMark val="out"/>
        <c:minorTickMark val="none"/>
        <c:tickLblPos val="nextTo"/>
        <c:crossAx val="216781728"/>
        <c:crosses val="autoZero"/>
        <c:crossBetween val="between"/>
        <c:majorUnit val="0.2"/>
        <c:minorUnit val="4.0000000000000008E-2"/>
      </c:valAx>
      <c:spPr>
        <a:gradFill>
          <a:gsLst>
            <a:gs pos="0">
              <a:srgbClr val="DEF1F2"/>
            </a:gs>
            <a:gs pos="50000">
              <a:srgbClr val="98D0D4"/>
            </a:gs>
            <a:gs pos="100000">
              <a:srgbClr val="4DADB5"/>
            </a:gs>
          </a:gsLst>
          <a:lin ang="1080000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rgbClr val="459EA5"/>
                </a:gs>
                <a:gs pos="50000">
                  <a:srgbClr val="ACD9DC"/>
                </a:gs>
                <a:gs pos="100000">
                  <a:srgbClr val="D0EAEC"/>
                </a:gs>
              </a:gsLst>
              <a:lin ang="0" scaled="1"/>
              <a:tileRect/>
            </a:gradFill>
            <a:ln>
              <a:solidFill>
                <a:schemeClr val="accent4">
                  <a:lumMod val="50000"/>
                </a:schemeClr>
              </a:solidFill>
            </a:ln>
          </c:spPr>
          <c:invertIfNegative val="0"/>
          <c:dPt>
            <c:idx val="0"/>
            <c:invertIfNegative val="0"/>
            <c:bubble3D val="0"/>
            <c:spPr>
              <a:gradFill flip="none" rotWithShape="1">
                <a:gsLst>
                  <a:gs pos="0">
                    <a:srgbClr val="459EA5"/>
                  </a:gs>
                  <a:gs pos="50000">
                    <a:srgbClr val="ACD9DC"/>
                  </a:gs>
                  <a:gs pos="100000">
                    <a:srgbClr val="D0EAEC"/>
                  </a:gs>
                </a:gsLst>
                <a:lin ang="10800000" scaled="1"/>
                <a:tileRect/>
              </a:gradFill>
              <a:ln>
                <a:noFill/>
              </a:ln>
            </c:spPr>
            <c:extLst>
              <c:ext xmlns:c16="http://schemas.microsoft.com/office/drawing/2014/chart" uri="{C3380CC4-5D6E-409C-BE32-E72D297353CC}">
                <c16:uniqueId val="{00000001-832E-4D96-82D4-A08F7FE3F89B}"/>
              </c:ext>
            </c:extLst>
          </c:dPt>
          <c:dLbls>
            <c:dLbl>
              <c:idx val="0"/>
              <c:layout>
                <c:manualLayout>
                  <c:x val="-0.16341133414661196"/>
                  <c:y val="-2.0585662086356854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32E-4D96-82D4-A08F7FE3F89B}"/>
                </c:ext>
              </c:extLst>
            </c:dLbl>
            <c:spPr>
              <a:noFill/>
              <a:ln>
                <a:noFill/>
              </a:ln>
              <a:effectLst/>
            </c:spPr>
            <c:txPr>
              <a:bodyPr/>
              <a:lstStyle/>
              <a:p>
                <a:pPr>
                  <a:defRPr sz="110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Projektbudget!$CO$59</c:f>
              <c:numCache>
                <c:formatCode>0%</c:formatCode>
                <c:ptCount val="1"/>
                <c:pt idx="0">
                  <c:v>0</c:v>
                </c:pt>
              </c:numCache>
            </c:numRef>
          </c:val>
          <c:extLst>
            <c:ext xmlns:c16="http://schemas.microsoft.com/office/drawing/2014/chart" uri="{C3380CC4-5D6E-409C-BE32-E72D297353CC}">
              <c16:uniqueId val="{00000002-832E-4D96-82D4-A08F7FE3F89B}"/>
            </c:ext>
          </c:extLst>
        </c:ser>
        <c:dLbls>
          <c:showLegendKey val="0"/>
          <c:showVal val="0"/>
          <c:showCatName val="0"/>
          <c:showSerName val="0"/>
          <c:showPercent val="0"/>
          <c:showBubbleSize val="0"/>
        </c:dLbls>
        <c:gapWidth val="0"/>
        <c:axId val="216783904"/>
        <c:axId val="216784448"/>
      </c:barChart>
      <c:catAx>
        <c:axId val="216783904"/>
        <c:scaling>
          <c:orientation val="minMax"/>
        </c:scaling>
        <c:delete val="1"/>
        <c:axPos val="l"/>
        <c:majorTickMark val="out"/>
        <c:minorTickMark val="none"/>
        <c:tickLblPos val="nextTo"/>
        <c:crossAx val="216784448"/>
        <c:crosses val="autoZero"/>
        <c:auto val="1"/>
        <c:lblAlgn val="ctr"/>
        <c:lblOffset val="100"/>
        <c:noMultiLvlLbl val="0"/>
      </c:catAx>
      <c:valAx>
        <c:axId val="216784448"/>
        <c:scaling>
          <c:orientation val="minMax"/>
          <c:max val="1"/>
          <c:min val="0"/>
        </c:scaling>
        <c:delete val="1"/>
        <c:axPos val="b"/>
        <c:majorGridlines/>
        <c:numFmt formatCode="0%" sourceLinked="1"/>
        <c:majorTickMark val="out"/>
        <c:minorTickMark val="none"/>
        <c:tickLblPos val="nextTo"/>
        <c:crossAx val="216783904"/>
        <c:crosses val="autoZero"/>
        <c:crossBetween val="between"/>
        <c:majorUnit val="0.2"/>
        <c:minorUnit val="4.0000000000000008E-2"/>
      </c:valAx>
      <c:spPr>
        <a:gradFill>
          <a:gsLst>
            <a:gs pos="0">
              <a:srgbClr val="DEF1F2"/>
            </a:gs>
            <a:gs pos="50000">
              <a:srgbClr val="98D0D4"/>
            </a:gs>
            <a:gs pos="100000">
              <a:srgbClr val="4DADB5"/>
            </a:gs>
          </a:gsLst>
          <a:lin ang="1080000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rgbClr val="459EA5"/>
                </a:gs>
                <a:gs pos="50000">
                  <a:srgbClr val="ACD9DC"/>
                </a:gs>
                <a:gs pos="100000">
                  <a:srgbClr val="D0EAEC"/>
                </a:gs>
              </a:gsLst>
              <a:lin ang="0" scaled="1"/>
              <a:tileRect/>
            </a:gradFill>
            <a:ln>
              <a:solidFill>
                <a:schemeClr val="accent4">
                  <a:lumMod val="50000"/>
                </a:schemeClr>
              </a:solidFill>
            </a:ln>
          </c:spPr>
          <c:invertIfNegative val="0"/>
          <c:dPt>
            <c:idx val="0"/>
            <c:invertIfNegative val="0"/>
            <c:bubble3D val="0"/>
            <c:spPr>
              <a:gradFill flip="none" rotWithShape="1">
                <a:gsLst>
                  <a:gs pos="0">
                    <a:srgbClr val="459EA5"/>
                  </a:gs>
                  <a:gs pos="50000">
                    <a:srgbClr val="ACD9DC"/>
                  </a:gs>
                  <a:gs pos="100000">
                    <a:srgbClr val="D0EAEC"/>
                  </a:gs>
                </a:gsLst>
                <a:lin ang="10800000" scaled="1"/>
                <a:tileRect/>
              </a:gradFill>
              <a:ln>
                <a:noFill/>
              </a:ln>
            </c:spPr>
            <c:extLst>
              <c:ext xmlns:c16="http://schemas.microsoft.com/office/drawing/2014/chart" uri="{C3380CC4-5D6E-409C-BE32-E72D297353CC}">
                <c16:uniqueId val="{00000001-76E3-4695-9AEE-1F603C4883BF}"/>
              </c:ext>
            </c:extLst>
          </c:dPt>
          <c:dLbls>
            <c:dLbl>
              <c:idx val="0"/>
              <c:layout>
                <c:manualLayout>
                  <c:x val="-0.16341133414661196"/>
                  <c:y val="-2.0585662086356854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6E3-4695-9AEE-1F603C4883BF}"/>
                </c:ext>
              </c:extLst>
            </c:dLbl>
            <c:spPr>
              <a:noFill/>
              <a:ln>
                <a:noFill/>
              </a:ln>
              <a:effectLst/>
            </c:spPr>
            <c:txPr>
              <a:bodyPr/>
              <a:lstStyle/>
              <a:p>
                <a:pPr>
                  <a:defRPr sz="110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Projektbudget!$CO$61</c:f>
              <c:numCache>
                <c:formatCode>0%</c:formatCode>
                <c:ptCount val="1"/>
                <c:pt idx="0">
                  <c:v>1</c:v>
                </c:pt>
              </c:numCache>
            </c:numRef>
          </c:val>
          <c:extLst>
            <c:ext xmlns:c16="http://schemas.microsoft.com/office/drawing/2014/chart" uri="{C3380CC4-5D6E-409C-BE32-E72D297353CC}">
              <c16:uniqueId val="{00000002-76E3-4695-9AEE-1F603C4883BF}"/>
            </c:ext>
          </c:extLst>
        </c:ser>
        <c:dLbls>
          <c:showLegendKey val="0"/>
          <c:showVal val="0"/>
          <c:showCatName val="0"/>
          <c:showSerName val="0"/>
          <c:showPercent val="0"/>
          <c:showBubbleSize val="0"/>
        </c:dLbls>
        <c:gapWidth val="0"/>
        <c:axId val="216787712"/>
        <c:axId val="216792608"/>
      </c:barChart>
      <c:catAx>
        <c:axId val="216787712"/>
        <c:scaling>
          <c:orientation val="minMax"/>
        </c:scaling>
        <c:delete val="1"/>
        <c:axPos val="l"/>
        <c:majorTickMark val="out"/>
        <c:minorTickMark val="none"/>
        <c:tickLblPos val="nextTo"/>
        <c:crossAx val="216792608"/>
        <c:crosses val="autoZero"/>
        <c:auto val="1"/>
        <c:lblAlgn val="ctr"/>
        <c:lblOffset val="100"/>
        <c:noMultiLvlLbl val="0"/>
      </c:catAx>
      <c:valAx>
        <c:axId val="216792608"/>
        <c:scaling>
          <c:orientation val="minMax"/>
          <c:max val="1"/>
          <c:min val="0"/>
        </c:scaling>
        <c:delete val="1"/>
        <c:axPos val="b"/>
        <c:majorGridlines/>
        <c:numFmt formatCode="0%" sourceLinked="1"/>
        <c:majorTickMark val="out"/>
        <c:minorTickMark val="none"/>
        <c:tickLblPos val="nextTo"/>
        <c:crossAx val="216787712"/>
        <c:crosses val="autoZero"/>
        <c:crossBetween val="between"/>
        <c:majorUnit val="0.2"/>
        <c:minorUnit val="4.0000000000000008E-2"/>
      </c:valAx>
      <c:spPr>
        <a:gradFill>
          <a:gsLst>
            <a:gs pos="0">
              <a:srgbClr val="DEF1F2"/>
            </a:gs>
            <a:gs pos="50000">
              <a:srgbClr val="98D0D4"/>
            </a:gs>
            <a:gs pos="100000">
              <a:srgbClr val="4DADB5"/>
            </a:gs>
          </a:gsLst>
          <a:lin ang="1080000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6304402409049613E-2"/>
          <c:y val="0.36781609195402298"/>
          <c:w val="0.93344192891674238"/>
          <c:h val="0.4942528735632184"/>
        </c:manualLayout>
      </c:layout>
      <c:barChart>
        <c:barDir val="bar"/>
        <c:grouping val="clustered"/>
        <c:varyColors val="0"/>
        <c:ser>
          <c:idx val="0"/>
          <c:order val="0"/>
          <c:spPr>
            <a:gradFill flip="none" rotWithShape="1">
              <a:gsLst>
                <a:gs pos="0">
                  <a:schemeClr val="accent4">
                    <a:lumMod val="75000"/>
                  </a:schemeClr>
                </a:gs>
                <a:gs pos="50000">
                  <a:schemeClr val="accent4">
                    <a:lumMod val="60000"/>
                    <a:lumOff val="40000"/>
                  </a:schemeClr>
                </a:gs>
                <a:gs pos="100000">
                  <a:schemeClr val="accent4">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rgbClr val="3984A3"/>
                  </a:gs>
                  <a:gs pos="50000">
                    <a:srgbClr val="55A4C3"/>
                  </a:gs>
                  <a:gs pos="100000">
                    <a:srgbClr val="C1DEE9"/>
                  </a:gs>
                </a:gsLst>
                <a:lin ang="10800000" scaled="1"/>
                <a:tileRect/>
              </a:gradFill>
              <a:ln>
                <a:noFill/>
              </a:ln>
            </c:spPr>
            <c:extLst>
              <c:ext xmlns:c16="http://schemas.microsoft.com/office/drawing/2014/chart" uri="{C3380CC4-5D6E-409C-BE32-E72D297353CC}">
                <c16:uniqueId val="{00000001-6378-4CD2-8A0F-78AEF0840CBE}"/>
              </c:ext>
            </c:extLst>
          </c:dPt>
          <c:dLbls>
            <c:dLbl>
              <c:idx val="0"/>
              <c:layout>
                <c:manualLayout>
                  <c:x val="-4.9115736374900465E-2"/>
                  <c:y val="-1.8101185627658612E-6"/>
                </c:manualLayout>
              </c:layout>
              <c:spPr>
                <a:noFill/>
                <a:ln>
                  <a:noFill/>
                </a:ln>
                <a:effectLst/>
              </c:spPr>
              <c:txPr>
                <a:bodyPr/>
                <a:lstStyle/>
                <a:p>
                  <a:pPr>
                    <a:defRPr sz="1400">
                      <a:solidFill>
                        <a:schemeClr val="bg1"/>
                      </a:solidFill>
                      <a:latin typeface="+mn-lt"/>
                    </a:defRPr>
                  </a:pPr>
                  <a:endParaRPr lang="de-DE"/>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378-4CD2-8A0F-78AEF0840CBE}"/>
                </c:ext>
              </c:extLst>
            </c:dLbl>
            <c:spPr>
              <a:noFill/>
              <a:ln>
                <a:noFill/>
              </a:ln>
              <a:effectLst/>
            </c:spPr>
            <c:txPr>
              <a:bodyPr/>
              <a:lstStyle/>
              <a:p>
                <a:pPr>
                  <a:defRPr sz="140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Detailplan!$F$5</c:f>
              <c:numCache>
                <c:formatCode>0%</c:formatCode>
                <c:ptCount val="1"/>
                <c:pt idx="0">
                  <c:v>0</c:v>
                </c:pt>
              </c:numCache>
            </c:numRef>
          </c:val>
          <c:extLst>
            <c:ext xmlns:c16="http://schemas.microsoft.com/office/drawing/2014/chart" uri="{C3380CC4-5D6E-409C-BE32-E72D297353CC}">
              <c16:uniqueId val="{00000002-6378-4CD2-8A0F-78AEF0840CBE}"/>
            </c:ext>
          </c:extLst>
        </c:ser>
        <c:dLbls>
          <c:showLegendKey val="0"/>
          <c:showVal val="0"/>
          <c:showCatName val="0"/>
          <c:showSerName val="0"/>
          <c:showPercent val="0"/>
          <c:showBubbleSize val="0"/>
        </c:dLbls>
        <c:gapWidth val="0"/>
        <c:axId val="216793696"/>
        <c:axId val="216792064"/>
      </c:barChart>
      <c:catAx>
        <c:axId val="216793696"/>
        <c:scaling>
          <c:orientation val="minMax"/>
        </c:scaling>
        <c:delete val="1"/>
        <c:axPos val="l"/>
        <c:majorTickMark val="out"/>
        <c:minorTickMark val="none"/>
        <c:tickLblPos val="nextTo"/>
        <c:crossAx val="216792064"/>
        <c:crosses val="autoZero"/>
        <c:auto val="1"/>
        <c:lblAlgn val="ctr"/>
        <c:lblOffset val="100"/>
        <c:noMultiLvlLbl val="0"/>
      </c:catAx>
      <c:valAx>
        <c:axId val="216792064"/>
        <c:scaling>
          <c:orientation val="minMax"/>
          <c:max val="1"/>
          <c:min val="0"/>
        </c:scaling>
        <c:delete val="1"/>
        <c:axPos val="b"/>
        <c:majorGridlines/>
        <c:numFmt formatCode="0%" sourceLinked="1"/>
        <c:majorTickMark val="out"/>
        <c:minorTickMark val="none"/>
        <c:tickLblPos val="nextTo"/>
        <c:crossAx val="216793696"/>
        <c:crosses val="autoZero"/>
        <c:crossBetween val="between"/>
        <c:majorUnit val="0.2"/>
        <c:minorUnit val="4.0000000000000008E-2"/>
      </c:valAx>
      <c:spPr>
        <a:noFill/>
        <a:ln w="25400">
          <a:noFill/>
        </a:ln>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6304402409049613E-2"/>
          <c:y val="0.36781609195402298"/>
          <c:w val="0.93344192891674238"/>
          <c:h val="0.4942528735632184"/>
        </c:manualLayout>
      </c:layout>
      <c:barChart>
        <c:barDir val="bar"/>
        <c:grouping val="clustered"/>
        <c:varyColors val="0"/>
        <c:ser>
          <c:idx val="0"/>
          <c:order val="0"/>
          <c:spPr>
            <a:gradFill flip="none" rotWithShape="1">
              <a:gsLst>
                <a:gs pos="0">
                  <a:schemeClr val="accent4">
                    <a:lumMod val="75000"/>
                  </a:schemeClr>
                </a:gs>
                <a:gs pos="50000">
                  <a:schemeClr val="accent4">
                    <a:lumMod val="60000"/>
                    <a:lumOff val="40000"/>
                  </a:schemeClr>
                </a:gs>
                <a:gs pos="100000">
                  <a:schemeClr val="accent4">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rgbClr val="7691BC"/>
                  </a:gs>
                  <a:gs pos="50000">
                    <a:srgbClr val="839BC3"/>
                  </a:gs>
                  <a:gs pos="99000">
                    <a:srgbClr val="B4C2DA"/>
                  </a:gs>
                </a:gsLst>
                <a:lin ang="10800000" scaled="1"/>
                <a:tileRect/>
              </a:gradFill>
              <a:ln>
                <a:noFill/>
              </a:ln>
            </c:spPr>
            <c:extLst>
              <c:ext xmlns:c16="http://schemas.microsoft.com/office/drawing/2014/chart" uri="{C3380CC4-5D6E-409C-BE32-E72D297353CC}">
                <c16:uniqueId val="{00000001-E30A-4041-82A4-46A0DF61D804}"/>
              </c:ext>
            </c:extLst>
          </c:dPt>
          <c:dLbls>
            <c:dLbl>
              <c:idx val="0"/>
              <c:layout>
                <c:manualLayout>
                  <c:x val="-4.9115736374900465E-2"/>
                  <c:y val="-1.8101185627658612E-6"/>
                </c:manualLayout>
              </c:layout>
              <c:spPr>
                <a:noFill/>
                <a:ln>
                  <a:noFill/>
                </a:ln>
                <a:effectLst/>
              </c:spPr>
              <c:txPr>
                <a:bodyPr/>
                <a:lstStyle/>
                <a:p>
                  <a:pPr>
                    <a:defRPr sz="1400">
                      <a:solidFill>
                        <a:schemeClr val="bg1"/>
                      </a:solidFill>
                      <a:latin typeface="+mn-lt"/>
                    </a:defRPr>
                  </a:pPr>
                  <a:endParaRPr lang="de-DE"/>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30A-4041-82A4-46A0DF61D804}"/>
                </c:ext>
              </c:extLst>
            </c:dLbl>
            <c:spPr>
              <a:noFill/>
              <a:ln>
                <a:noFill/>
              </a:ln>
              <a:effectLst/>
            </c:spPr>
            <c:txPr>
              <a:bodyPr/>
              <a:lstStyle/>
              <a:p>
                <a:pPr>
                  <a:defRPr sz="140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SprintBacklog!$F$5</c:f>
              <c:numCache>
                <c:formatCode>0%</c:formatCode>
                <c:ptCount val="1"/>
                <c:pt idx="0">
                  <c:v>0</c:v>
                </c:pt>
              </c:numCache>
            </c:numRef>
          </c:val>
          <c:extLst>
            <c:ext xmlns:c16="http://schemas.microsoft.com/office/drawing/2014/chart" uri="{C3380CC4-5D6E-409C-BE32-E72D297353CC}">
              <c16:uniqueId val="{00000002-E30A-4041-82A4-46A0DF61D804}"/>
            </c:ext>
          </c:extLst>
        </c:ser>
        <c:dLbls>
          <c:showLegendKey val="0"/>
          <c:showVal val="0"/>
          <c:showCatName val="0"/>
          <c:showSerName val="0"/>
          <c:showPercent val="0"/>
          <c:showBubbleSize val="0"/>
        </c:dLbls>
        <c:gapWidth val="0"/>
        <c:axId val="216793696"/>
        <c:axId val="216792064"/>
      </c:barChart>
      <c:catAx>
        <c:axId val="216793696"/>
        <c:scaling>
          <c:orientation val="minMax"/>
        </c:scaling>
        <c:delete val="1"/>
        <c:axPos val="l"/>
        <c:majorTickMark val="out"/>
        <c:minorTickMark val="none"/>
        <c:tickLblPos val="nextTo"/>
        <c:crossAx val="216792064"/>
        <c:crosses val="autoZero"/>
        <c:auto val="1"/>
        <c:lblAlgn val="ctr"/>
        <c:lblOffset val="100"/>
        <c:noMultiLvlLbl val="0"/>
      </c:catAx>
      <c:valAx>
        <c:axId val="216792064"/>
        <c:scaling>
          <c:orientation val="minMax"/>
          <c:max val="1"/>
          <c:min val="0"/>
        </c:scaling>
        <c:delete val="1"/>
        <c:axPos val="b"/>
        <c:majorGridlines/>
        <c:numFmt formatCode="0%" sourceLinked="1"/>
        <c:majorTickMark val="out"/>
        <c:minorTickMark val="none"/>
        <c:tickLblPos val="nextTo"/>
        <c:crossAx val="216793696"/>
        <c:crosses val="autoZero"/>
        <c:crossBetween val="between"/>
        <c:majorUnit val="0.2"/>
        <c:minorUnit val="4.0000000000000008E-2"/>
      </c:valAx>
      <c:spPr>
        <a:noFill/>
        <a:ln w="25400">
          <a:noFill/>
        </a:ln>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rgbClr val="357A7F"/>
                </a:gs>
                <a:gs pos="50000">
                  <a:srgbClr val="54B1B8"/>
                </a:gs>
                <a:gs pos="100000">
                  <a:srgbClr val="BBE0E3"/>
                </a:gs>
              </a:gsLst>
              <a:lin ang="0" scaled="1"/>
              <a:tileRect/>
            </a:gradFill>
            <a:ln>
              <a:solidFill>
                <a:schemeClr val="accent4">
                  <a:lumMod val="50000"/>
                </a:schemeClr>
              </a:solidFill>
            </a:ln>
          </c:spPr>
          <c:invertIfNegative val="0"/>
          <c:dPt>
            <c:idx val="0"/>
            <c:invertIfNegative val="0"/>
            <c:bubble3D val="0"/>
            <c:spPr>
              <a:gradFill flip="none" rotWithShape="1">
                <a:gsLst>
                  <a:gs pos="0">
                    <a:srgbClr val="357A7F"/>
                  </a:gs>
                  <a:gs pos="50000">
                    <a:srgbClr val="54B1B8"/>
                  </a:gs>
                  <a:gs pos="100000">
                    <a:srgbClr val="BBE0E3"/>
                  </a:gs>
                </a:gsLst>
                <a:lin ang="0" scaled="1"/>
                <a:tileRect/>
              </a:gradFill>
              <a:ln>
                <a:noFill/>
              </a:ln>
            </c:spPr>
            <c:extLst>
              <c:ext xmlns:c16="http://schemas.microsoft.com/office/drawing/2014/chart" uri="{C3380CC4-5D6E-409C-BE32-E72D297353CC}">
                <c16:uniqueId val="{00000001-7E67-4C4A-A26B-BE14BC35A7D0}"/>
              </c:ext>
            </c:extLst>
          </c:dPt>
          <c:dLbls>
            <c:dLbl>
              <c:idx val="0"/>
              <c:layout>
                <c:manualLayout>
                  <c:x val="-0.11333333333333333"/>
                  <c:y val="-1.5478821875458887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E67-4C4A-A26B-BE14BC35A7D0}"/>
                </c:ext>
              </c:extLst>
            </c:dLbl>
            <c:spPr>
              <a:noFill/>
              <a:ln>
                <a:noFill/>
              </a:ln>
              <a:effectLst/>
            </c:spPr>
            <c:txPr>
              <a:bodyPr/>
              <a:lstStyle/>
              <a:p>
                <a:pPr>
                  <a:defRPr sz="1100" b="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Projektbudget!$CO$59</c:f>
              <c:numCache>
                <c:formatCode>0%</c:formatCode>
                <c:ptCount val="1"/>
                <c:pt idx="0">
                  <c:v>0</c:v>
                </c:pt>
              </c:numCache>
            </c:numRef>
          </c:val>
          <c:extLst>
            <c:ext xmlns:c16="http://schemas.microsoft.com/office/drawing/2014/chart" uri="{C3380CC4-5D6E-409C-BE32-E72D297353CC}">
              <c16:uniqueId val="{00000002-7E67-4C4A-A26B-BE14BC35A7D0}"/>
            </c:ext>
          </c:extLst>
        </c:ser>
        <c:dLbls>
          <c:showLegendKey val="0"/>
          <c:showVal val="0"/>
          <c:showCatName val="0"/>
          <c:showSerName val="0"/>
          <c:showPercent val="0"/>
          <c:showBubbleSize val="0"/>
        </c:dLbls>
        <c:gapWidth val="0"/>
        <c:axId val="217640496"/>
        <c:axId val="217634512"/>
      </c:barChart>
      <c:catAx>
        <c:axId val="217640496"/>
        <c:scaling>
          <c:orientation val="minMax"/>
        </c:scaling>
        <c:delete val="1"/>
        <c:axPos val="l"/>
        <c:majorTickMark val="out"/>
        <c:minorTickMark val="none"/>
        <c:tickLblPos val="nextTo"/>
        <c:crossAx val="217634512"/>
        <c:crosses val="autoZero"/>
        <c:auto val="1"/>
        <c:lblAlgn val="ctr"/>
        <c:lblOffset val="100"/>
        <c:noMultiLvlLbl val="0"/>
      </c:catAx>
      <c:valAx>
        <c:axId val="217634512"/>
        <c:scaling>
          <c:orientation val="minMax"/>
          <c:max val="1"/>
          <c:min val="0"/>
        </c:scaling>
        <c:delete val="1"/>
        <c:axPos val="b"/>
        <c:majorGridlines>
          <c:spPr>
            <a:ln>
              <a:solidFill>
                <a:srgbClr val="486492"/>
              </a:solidFill>
            </a:ln>
          </c:spPr>
        </c:majorGridlines>
        <c:numFmt formatCode="0%" sourceLinked="1"/>
        <c:majorTickMark val="out"/>
        <c:minorTickMark val="none"/>
        <c:tickLblPos val="nextTo"/>
        <c:crossAx val="217640496"/>
        <c:crosses val="autoZero"/>
        <c:crossBetween val="between"/>
        <c:majorUnit val="0.2"/>
        <c:minorUnit val="4.0000000000000008E-2"/>
      </c:valAx>
      <c:spPr>
        <a:gradFill>
          <a:gsLst>
            <a:gs pos="0">
              <a:srgbClr val="357A7F"/>
            </a:gs>
            <a:gs pos="50000">
              <a:srgbClr val="54B1B8"/>
            </a:gs>
            <a:gs pos="100000">
              <a:srgbClr val="BBE0E3"/>
            </a:gs>
          </a:gsLst>
          <a:lin ang="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tx>
            <c:strRef>
              <c:f>Logo!$D$40</c:f>
              <c:strCache>
                <c:ptCount val="1"/>
              </c:strCache>
            </c:strRef>
          </c:tx>
          <c:spPr>
            <a:gradFill>
              <a:gsLst>
                <a:gs pos="0">
                  <a:srgbClr val="C00000"/>
                </a:gs>
                <a:gs pos="100000">
                  <a:srgbClr val="00B050"/>
                </a:gs>
              </a:gsLst>
              <a:lin ang="5400000" scaled="1"/>
            </a:gradFill>
          </c:spPr>
          <c:dPt>
            <c:idx val="0"/>
            <c:bubble3D val="0"/>
            <c:spPr>
              <a:gradFill>
                <a:gsLst>
                  <a:gs pos="0">
                    <a:srgbClr val="C00000"/>
                  </a:gs>
                  <a:gs pos="100000">
                    <a:srgbClr val="FFC000"/>
                  </a:gs>
                  <a:gs pos="52000">
                    <a:srgbClr val="FF0000"/>
                  </a:gs>
                </a:gsLst>
                <a:lin ang="18900000" scaled="1"/>
              </a:gradFill>
              <a:ln w="6350">
                <a:noFill/>
              </a:ln>
              <a:effectLst/>
            </c:spPr>
            <c:extLst>
              <c:ext xmlns:c16="http://schemas.microsoft.com/office/drawing/2014/chart" uri="{C3380CC4-5D6E-409C-BE32-E72D297353CC}">
                <c16:uniqueId val="{00000001-2ACD-41BE-8462-3C094D8E7180}"/>
              </c:ext>
            </c:extLst>
          </c:dPt>
          <c:dPt>
            <c:idx val="1"/>
            <c:bubble3D val="0"/>
            <c:spPr>
              <a:gradFill flip="none" rotWithShape="1">
                <a:gsLst>
                  <a:gs pos="0">
                    <a:srgbClr val="FFC000"/>
                  </a:gs>
                  <a:gs pos="100000">
                    <a:srgbClr val="92D050"/>
                  </a:gs>
                  <a:gs pos="54000">
                    <a:srgbClr val="FFFF00"/>
                  </a:gs>
                </a:gsLst>
                <a:lin ang="0" scaled="1"/>
                <a:tileRect/>
              </a:gradFill>
              <a:ln w="12700">
                <a:noFill/>
              </a:ln>
              <a:effectLst/>
            </c:spPr>
            <c:extLst>
              <c:ext xmlns:c16="http://schemas.microsoft.com/office/drawing/2014/chart" uri="{C3380CC4-5D6E-409C-BE32-E72D297353CC}">
                <c16:uniqueId val="{00000003-2ACD-41BE-8462-3C094D8E7180}"/>
              </c:ext>
            </c:extLst>
          </c:dPt>
          <c:dPt>
            <c:idx val="2"/>
            <c:bubble3D val="0"/>
            <c:spPr>
              <a:gradFill flip="none" rotWithShape="1">
                <a:gsLst>
                  <a:gs pos="0">
                    <a:srgbClr val="92D050"/>
                  </a:gs>
                  <a:gs pos="100000">
                    <a:srgbClr val="006600"/>
                  </a:gs>
                </a:gsLst>
                <a:lin ang="5400000" scaled="1"/>
                <a:tileRect/>
              </a:gradFill>
              <a:ln w="12700">
                <a:noFill/>
              </a:ln>
              <a:effectLst/>
            </c:spPr>
            <c:extLst>
              <c:ext xmlns:c16="http://schemas.microsoft.com/office/drawing/2014/chart" uri="{C3380CC4-5D6E-409C-BE32-E72D297353CC}">
                <c16:uniqueId val="{00000005-2ACD-41BE-8462-3C094D8E7180}"/>
              </c:ext>
            </c:extLst>
          </c:dPt>
          <c:dPt>
            <c:idx val="3"/>
            <c:bubble3D val="0"/>
            <c:spPr>
              <a:noFill/>
              <a:ln w="19050">
                <a:noFill/>
              </a:ln>
              <a:effectLst/>
            </c:spPr>
            <c:extLst>
              <c:ext xmlns:c16="http://schemas.microsoft.com/office/drawing/2014/chart" uri="{C3380CC4-5D6E-409C-BE32-E72D297353CC}">
                <c16:uniqueId val="{00000007-2ACD-41BE-8462-3C094D8E7180}"/>
              </c:ext>
            </c:extLst>
          </c:dPt>
          <c:cat>
            <c:strRef>
              <c:f>Logo!$B$14:$B$17</c:f>
              <c:strCache>
                <c:ptCount val="4"/>
                <c:pt idx="0">
                  <c:v>red</c:v>
                </c:pt>
                <c:pt idx="1">
                  <c:v>orange</c:v>
                </c:pt>
                <c:pt idx="2">
                  <c:v>green</c:v>
                </c:pt>
                <c:pt idx="3">
                  <c:v>Leer</c:v>
                </c:pt>
              </c:strCache>
            </c:strRef>
          </c:cat>
          <c:val>
            <c:numRef>
              <c:f>Logo!$D$14:$D$17</c:f>
              <c:numCache>
                <c:formatCode>0%</c:formatCode>
                <c:ptCount val="4"/>
                <c:pt idx="0">
                  <c:v>0.5</c:v>
                </c:pt>
                <c:pt idx="1">
                  <c:v>0.3</c:v>
                </c:pt>
                <c:pt idx="2">
                  <c:v>0.2</c:v>
                </c:pt>
                <c:pt idx="3">
                  <c:v>1</c:v>
                </c:pt>
              </c:numCache>
            </c:numRef>
          </c:val>
          <c:extLst>
            <c:ext xmlns:c16="http://schemas.microsoft.com/office/drawing/2014/chart" uri="{C3380CC4-5D6E-409C-BE32-E72D297353CC}">
              <c16:uniqueId val="{00000008-2ACD-41BE-8462-3C094D8E7180}"/>
            </c:ext>
          </c:extLst>
        </c:ser>
        <c:dLbls>
          <c:showLegendKey val="0"/>
          <c:showVal val="0"/>
          <c:showCatName val="0"/>
          <c:showSerName val="0"/>
          <c:showPercent val="0"/>
          <c:showBubbleSize val="0"/>
          <c:showLeaderLines val="1"/>
        </c:dLbls>
        <c:firstSliceAng val="270"/>
        <c:holeSize val="4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0"/>
        <c:ser>
          <c:idx val="0"/>
          <c:order val="0"/>
          <c:tx>
            <c:strRef>
              <c:f>SprintRetrospective!$P$9</c:f>
              <c:strCache>
                <c:ptCount val="1"/>
                <c:pt idx="0">
                  <c:v>88%</c:v>
                </c:pt>
              </c:strCache>
            </c:strRef>
          </c:tx>
          <c:spPr>
            <a:solidFill>
              <a:schemeClr val="accent1"/>
            </a:solidFill>
            <a:ln w="25400">
              <a:noFill/>
            </a:ln>
            <a:effectLst/>
          </c:spPr>
          <c:explosion val="20"/>
          <c:dPt>
            <c:idx val="0"/>
            <c:bubble3D val="0"/>
            <c:spPr>
              <a:noFill/>
              <a:ln w="25400">
                <a:noFill/>
              </a:ln>
              <a:effectLst/>
            </c:spPr>
            <c:extLst>
              <c:ext xmlns:c16="http://schemas.microsoft.com/office/drawing/2014/chart" uri="{C3380CC4-5D6E-409C-BE32-E72D297353CC}">
                <c16:uniqueId val="{00000001-D0EA-43BE-85C0-2F0503B8B7D3}"/>
              </c:ext>
            </c:extLst>
          </c:dPt>
          <c:dPt>
            <c:idx val="1"/>
            <c:bubble3D val="0"/>
            <c:spPr>
              <a:solidFill>
                <a:schemeClr val="tx1"/>
              </a:solidFill>
              <a:ln w="38100" cap="flat" cmpd="sng">
                <a:solidFill>
                  <a:schemeClr val="tx1"/>
                </a:solidFill>
                <a:round/>
              </a:ln>
              <a:effectLst>
                <a:outerShdw blurRad="50800" dist="38100" dir="2700000" algn="tl" rotWithShape="0">
                  <a:prstClr val="black">
                    <a:alpha val="40000"/>
                  </a:prstClr>
                </a:outerShdw>
              </a:effectLst>
            </c:spPr>
            <c:extLst>
              <c:ext xmlns:c16="http://schemas.microsoft.com/office/drawing/2014/chart" uri="{C3380CC4-5D6E-409C-BE32-E72D297353CC}">
                <c16:uniqueId val="{00000003-D0EA-43BE-85C0-2F0503B8B7D3}"/>
              </c:ext>
            </c:extLst>
          </c:dPt>
          <c:dPt>
            <c:idx val="2"/>
            <c:bubble3D val="0"/>
            <c:spPr>
              <a:noFill/>
              <a:ln w="25400">
                <a:noFill/>
              </a:ln>
              <a:effectLst/>
            </c:spPr>
            <c:extLst>
              <c:ext xmlns:c16="http://schemas.microsoft.com/office/drawing/2014/chart" uri="{C3380CC4-5D6E-409C-BE32-E72D297353CC}">
                <c16:uniqueId val="{00000005-D0EA-43BE-85C0-2F0503B8B7D3}"/>
              </c:ext>
            </c:extLst>
          </c:dPt>
          <c:cat>
            <c:strRef>
              <c:f>SprintRetrospective!$O$9:$O$11</c:f>
              <c:strCache>
                <c:ptCount val="3"/>
                <c:pt idx="0">
                  <c:v>Wert</c:v>
                </c:pt>
                <c:pt idx="1">
                  <c:v>Breite</c:v>
                </c:pt>
                <c:pt idx="2">
                  <c:v>Ende</c:v>
                </c:pt>
              </c:strCache>
            </c:strRef>
          </c:cat>
          <c:val>
            <c:numRef>
              <c:f>SprintRetrospective!$P$9:$P$11</c:f>
              <c:numCache>
                <c:formatCode>0%</c:formatCode>
                <c:ptCount val="3"/>
                <c:pt idx="0">
                  <c:v>0.875</c:v>
                </c:pt>
                <c:pt idx="1">
                  <c:v>3.0000000000000001E-3</c:v>
                </c:pt>
                <c:pt idx="2">
                  <c:v>1.1220000000000001</c:v>
                </c:pt>
              </c:numCache>
            </c:numRef>
          </c:val>
          <c:extLst>
            <c:ext xmlns:c16="http://schemas.microsoft.com/office/drawing/2014/chart" uri="{C3380CC4-5D6E-409C-BE32-E72D297353CC}">
              <c16:uniqueId val="{00000006-D0EA-43BE-85C0-2F0503B8B7D3}"/>
            </c:ext>
          </c:extLst>
        </c:ser>
        <c:dLbls>
          <c:showLegendKey val="0"/>
          <c:showVal val="0"/>
          <c:showCatName val="0"/>
          <c:showSerName val="0"/>
          <c:showPercent val="0"/>
          <c:showBubbleSize val="0"/>
          <c:showLeaderLines val="0"/>
        </c:dLbls>
        <c:firstSliceAng val="27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accent4">
                    <a:lumMod val="75000"/>
                  </a:schemeClr>
                </a:gs>
                <a:gs pos="50000">
                  <a:schemeClr val="accent4">
                    <a:lumMod val="60000"/>
                    <a:lumOff val="40000"/>
                  </a:schemeClr>
                </a:gs>
                <a:gs pos="100000">
                  <a:schemeClr val="accent4">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rgbClr val="3D8D93"/>
                  </a:gs>
                  <a:gs pos="50000">
                    <a:srgbClr val="75BFC5"/>
                  </a:gs>
                  <a:gs pos="100000">
                    <a:srgbClr val="ADDADD"/>
                  </a:gs>
                </a:gsLst>
                <a:lin ang="10800000" scaled="1"/>
                <a:tileRect/>
              </a:gradFill>
              <a:ln>
                <a:noFill/>
              </a:ln>
            </c:spPr>
            <c:extLst>
              <c:ext xmlns:c16="http://schemas.microsoft.com/office/drawing/2014/chart" uri="{C3380CC4-5D6E-409C-BE32-E72D297353CC}">
                <c16:uniqueId val="{00000001-1B4E-4A0A-A7E4-9CAC5CAB8B4C}"/>
              </c:ext>
            </c:extLst>
          </c:dPt>
          <c:dLbls>
            <c:spPr>
              <a:noFill/>
              <a:ln>
                <a:noFill/>
              </a:ln>
              <a:effectLst/>
            </c:spPr>
            <c:txPr>
              <a:bodyPr wrap="square" lIns="38100" tIns="19050" rIns="38100" bIns="19050" anchor="ctr">
                <a:spAutoFit/>
              </a:bodyPr>
              <a:lstStyle/>
              <a:p>
                <a:pPr>
                  <a:defRPr>
                    <a:solidFill>
                      <a:srgbClr val="E6EBF2"/>
                    </a:solidFill>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Detailplan!$F$5</c:f>
              <c:numCache>
                <c:formatCode>0%</c:formatCode>
                <c:ptCount val="1"/>
                <c:pt idx="0">
                  <c:v>0</c:v>
                </c:pt>
              </c:numCache>
            </c:numRef>
          </c:val>
          <c:extLst>
            <c:ext xmlns:c16="http://schemas.microsoft.com/office/drawing/2014/chart" uri="{C3380CC4-5D6E-409C-BE32-E72D297353CC}">
              <c16:uniqueId val="{00000002-1B4E-4A0A-A7E4-9CAC5CAB8B4C}"/>
            </c:ext>
          </c:extLst>
        </c:ser>
        <c:dLbls>
          <c:showLegendKey val="0"/>
          <c:showVal val="0"/>
          <c:showCatName val="0"/>
          <c:showSerName val="0"/>
          <c:showPercent val="0"/>
          <c:showBubbleSize val="0"/>
        </c:dLbls>
        <c:gapWidth val="0"/>
        <c:axId val="217646480"/>
        <c:axId val="217637232"/>
      </c:barChart>
      <c:catAx>
        <c:axId val="217646480"/>
        <c:scaling>
          <c:orientation val="minMax"/>
        </c:scaling>
        <c:delete val="1"/>
        <c:axPos val="l"/>
        <c:majorTickMark val="out"/>
        <c:minorTickMark val="none"/>
        <c:tickLblPos val="nextTo"/>
        <c:crossAx val="217637232"/>
        <c:crosses val="autoZero"/>
        <c:auto val="1"/>
        <c:lblAlgn val="ctr"/>
        <c:lblOffset val="100"/>
        <c:noMultiLvlLbl val="0"/>
      </c:catAx>
      <c:valAx>
        <c:axId val="217637232"/>
        <c:scaling>
          <c:orientation val="minMax"/>
          <c:max val="1"/>
          <c:min val="0"/>
        </c:scaling>
        <c:delete val="1"/>
        <c:axPos val="b"/>
        <c:numFmt formatCode="0%" sourceLinked="1"/>
        <c:majorTickMark val="out"/>
        <c:minorTickMark val="none"/>
        <c:tickLblPos val="nextTo"/>
        <c:crossAx val="217646480"/>
        <c:crosses val="autoZero"/>
        <c:crossBetween val="between"/>
        <c:majorUnit val="0.2"/>
        <c:minorUnit val="4.0000000000000008E-2"/>
      </c:valAx>
    </c:plotArea>
    <c:plotVisOnly val="1"/>
    <c:dispBlanksAs val="gap"/>
    <c:showDLblsOverMax val="0"/>
  </c:chart>
  <c:spPr>
    <a:noFill/>
    <a:ln>
      <a:noFill/>
    </a:ln>
  </c:spPr>
  <c:txPr>
    <a:bodyPr/>
    <a:lstStyle/>
    <a:p>
      <a:pPr>
        <a:defRPr sz="1100"/>
      </a:pPr>
      <a:endParaRPr lang="de-DE"/>
    </a:p>
  </c:txPr>
  <c:printSettings>
    <c:headerFooter/>
    <c:pageMargins b="0.78740157499999996" l="0.7" r="0.7" t="0.78740157499999996" header="0.3" footer="0.3"/>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rgbClr val="357A7F"/>
                </a:gs>
                <a:gs pos="50000">
                  <a:srgbClr val="54B1B8"/>
                </a:gs>
                <a:gs pos="100000">
                  <a:srgbClr val="BBE0E3"/>
                </a:gs>
              </a:gsLst>
              <a:lin ang="0" scaled="1"/>
              <a:tileRect/>
            </a:gradFill>
            <a:ln>
              <a:solidFill>
                <a:schemeClr val="accent4">
                  <a:lumMod val="50000"/>
                </a:schemeClr>
              </a:solidFill>
            </a:ln>
          </c:spPr>
          <c:invertIfNegative val="0"/>
          <c:dPt>
            <c:idx val="0"/>
            <c:invertIfNegative val="0"/>
            <c:bubble3D val="0"/>
            <c:spPr>
              <a:gradFill flip="none" rotWithShape="1">
                <a:gsLst>
                  <a:gs pos="0">
                    <a:srgbClr val="357A7F"/>
                  </a:gs>
                  <a:gs pos="50000">
                    <a:srgbClr val="54B1B8"/>
                  </a:gs>
                  <a:gs pos="100000">
                    <a:srgbClr val="BBE0E3"/>
                  </a:gs>
                </a:gsLst>
                <a:lin ang="0" scaled="1"/>
                <a:tileRect/>
              </a:gradFill>
              <a:ln>
                <a:noFill/>
              </a:ln>
            </c:spPr>
            <c:extLst>
              <c:ext xmlns:c16="http://schemas.microsoft.com/office/drawing/2014/chart" uri="{C3380CC4-5D6E-409C-BE32-E72D297353CC}">
                <c16:uniqueId val="{00000001-9F31-478B-9C08-8B63C2BCE21C}"/>
              </c:ext>
            </c:extLst>
          </c:dPt>
          <c:dLbls>
            <c:dLbl>
              <c:idx val="0"/>
              <c:layout>
                <c:manualLayout>
                  <c:x val="-0.11333333333333333"/>
                  <c:y val="-1.5478821875458887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F31-478B-9C08-8B63C2BCE21C}"/>
                </c:ext>
              </c:extLst>
            </c:dLbl>
            <c:spPr>
              <a:noFill/>
              <a:ln>
                <a:noFill/>
              </a:ln>
              <a:effectLst/>
            </c:spPr>
            <c:txPr>
              <a:bodyPr/>
              <a:lstStyle/>
              <a:p>
                <a:pPr>
                  <a:defRPr sz="1100" b="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Projektbudget!$CO$61</c:f>
              <c:numCache>
                <c:formatCode>0%</c:formatCode>
                <c:ptCount val="1"/>
                <c:pt idx="0">
                  <c:v>1</c:v>
                </c:pt>
              </c:numCache>
            </c:numRef>
          </c:val>
          <c:extLst>
            <c:ext xmlns:c16="http://schemas.microsoft.com/office/drawing/2014/chart" uri="{C3380CC4-5D6E-409C-BE32-E72D297353CC}">
              <c16:uniqueId val="{00000002-9F31-478B-9C08-8B63C2BCE21C}"/>
            </c:ext>
          </c:extLst>
        </c:ser>
        <c:dLbls>
          <c:showLegendKey val="0"/>
          <c:showVal val="0"/>
          <c:showCatName val="0"/>
          <c:showSerName val="0"/>
          <c:showPercent val="0"/>
          <c:showBubbleSize val="0"/>
        </c:dLbls>
        <c:gapWidth val="0"/>
        <c:axId val="217635056"/>
        <c:axId val="217643760"/>
      </c:barChart>
      <c:catAx>
        <c:axId val="217635056"/>
        <c:scaling>
          <c:orientation val="minMax"/>
        </c:scaling>
        <c:delete val="1"/>
        <c:axPos val="l"/>
        <c:majorTickMark val="out"/>
        <c:minorTickMark val="none"/>
        <c:tickLblPos val="nextTo"/>
        <c:crossAx val="217643760"/>
        <c:crosses val="autoZero"/>
        <c:auto val="1"/>
        <c:lblAlgn val="ctr"/>
        <c:lblOffset val="100"/>
        <c:noMultiLvlLbl val="0"/>
      </c:catAx>
      <c:valAx>
        <c:axId val="217643760"/>
        <c:scaling>
          <c:orientation val="minMax"/>
          <c:max val="1"/>
          <c:min val="0"/>
        </c:scaling>
        <c:delete val="1"/>
        <c:axPos val="b"/>
        <c:majorGridlines/>
        <c:numFmt formatCode="0%" sourceLinked="1"/>
        <c:majorTickMark val="out"/>
        <c:minorTickMark val="none"/>
        <c:tickLblPos val="nextTo"/>
        <c:crossAx val="217635056"/>
        <c:crosses val="autoZero"/>
        <c:crossBetween val="between"/>
        <c:majorUnit val="0.2"/>
        <c:minorUnit val="4.0000000000000008E-2"/>
      </c:valAx>
      <c:spPr>
        <a:gradFill>
          <a:gsLst>
            <a:gs pos="0">
              <a:srgbClr val="357A7F"/>
            </a:gs>
            <a:gs pos="50000">
              <a:srgbClr val="54B1B8"/>
            </a:gs>
            <a:gs pos="100000">
              <a:srgbClr val="BBE0E3"/>
            </a:gs>
          </a:gsLst>
          <a:lin ang="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rgbClr val="357A7F"/>
                </a:gs>
                <a:gs pos="50000">
                  <a:srgbClr val="54B1B8"/>
                </a:gs>
                <a:gs pos="100000">
                  <a:srgbClr val="BBE0E3"/>
                </a:gs>
              </a:gsLst>
              <a:lin ang="0" scaled="1"/>
              <a:tileRect/>
            </a:gradFill>
            <a:ln>
              <a:solidFill>
                <a:schemeClr val="accent4">
                  <a:lumMod val="50000"/>
                </a:schemeClr>
              </a:solidFill>
            </a:ln>
          </c:spPr>
          <c:invertIfNegative val="0"/>
          <c:dPt>
            <c:idx val="0"/>
            <c:invertIfNegative val="0"/>
            <c:bubble3D val="0"/>
            <c:spPr>
              <a:gradFill flip="none" rotWithShape="1">
                <a:gsLst>
                  <a:gs pos="0">
                    <a:srgbClr val="357A7F"/>
                  </a:gs>
                  <a:gs pos="50000">
                    <a:srgbClr val="54B1B8"/>
                  </a:gs>
                  <a:gs pos="100000">
                    <a:srgbClr val="BBE0E3"/>
                  </a:gs>
                </a:gsLst>
                <a:lin ang="0" scaled="1"/>
                <a:tileRect/>
              </a:gradFill>
              <a:ln>
                <a:noFill/>
              </a:ln>
            </c:spPr>
            <c:extLst>
              <c:ext xmlns:c16="http://schemas.microsoft.com/office/drawing/2014/chart" uri="{C3380CC4-5D6E-409C-BE32-E72D297353CC}">
                <c16:uniqueId val="{00000001-4578-4723-92E7-0EC56D9A2D9A}"/>
              </c:ext>
            </c:extLst>
          </c:dPt>
          <c:dLbls>
            <c:dLbl>
              <c:idx val="0"/>
              <c:layout>
                <c:manualLayout>
                  <c:x val="-0.11333333333333333"/>
                  <c:y val="-1.5478821875458887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578-4723-92E7-0EC56D9A2D9A}"/>
                </c:ext>
              </c:extLst>
            </c:dLbl>
            <c:spPr>
              <a:noFill/>
              <a:ln>
                <a:noFill/>
              </a:ln>
              <a:effectLst/>
            </c:spPr>
            <c:txPr>
              <a:bodyPr/>
              <a:lstStyle/>
              <a:p>
                <a:pPr>
                  <a:defRPr sz="1100" b="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Projektbudget!$CO$24</c:f>
              <c:numCache>
                <c:formatCode>0%</c:formatCode>
                <c:ptCount val="1"/>
                <c:pt idx="0">
                  <c:v>1</c:v>
                </c:pt>
              </c:numCache>
            </c:numRef>
          </c:val>
          <c:extLst>
            <c:ext xmlns:c16="http://schemas.microsoft.com/office/drawing/2014/chart" uri="{C3380CC4-5D6E-409C-BE32-E72D297353CC}">
              <c16:uniqueId val="{00000002-4578-4723-92E7-0EC56D9A2D9A}"/>
            </c:ext>
          </c:extLst>
        </c:ser>
        <c:dLbls>
          <c:showLegendKey val="0"/>
          <c:showVal val="0"/>
          <c:showCatName val="0"/>
          <c:showSerName val="0"/>
          <c:showPercent val="0"/>
          <c:showBubbleSize val="0"/>
        </c:dLbls>
        <c:gapWidth val="0"/>
        <c:axId val="217640496"/>
        <c:axId val="217634512"/>
      </c:barChart>
      <c:catAx>
        <c:axId val="217640496"/>
        <c:scaling>
          <c:orientation val="minMax"/>
        </c:scaling>
        <c:delete val="1"/>
        <c:axPos val="l"/>
        <c:majorTickMark val="out"/>
        <c:minorTickMark val="none"/>
        <c:tickLblPos val="nextTo"/>
        <c:crossAx val="217634512"/>
        <c:crosses val="autoZero"/>
        <c:auto val="1"/>
        <c:lblAlgn val="ctr"/>
        <c:lblOffset val="100"/>
        <c:noMultiLvlLbl val="0"/>
      </c:catAx>
      <c:valAx>
        <c:axId val="217634512"/>
        <c:scaling>
          <c:orientation val="minMax"/>
          <c:max val="1"/>
          <c:min val="0"/>
        </c:scaling>
        <c:delete val="1"/>
        <c:axPos val="b"/>
        <c:majorGridlines>
          <c:spPr>
            <a:ln>
              <a:solidFill>
                <a:srgbClr val="486492"/>
              </a:solidFill>
            </a:ln>
          </c:spPr>
        </c:majorGridlines>
        <c:numFmt formatCode="0%" sourceLinked="1"/>
        <c:majorTickMark val="out"/>
        <c:minorTickMark val="none"/>
        <c:tickLblPos val="nextTo"/>
        <c:crossAx val="217640496"/>
        <c:crosses val="autoZero"/>
        <c:crossBetween val="between"/>
        <c:majorUnit val="0.2"/>
        <c:minorUnit val="4.0000000000000008E-2"/>
      </c:valAx>
      <c:spPr>
        <a:gradFill>
          <a:gsLst>
            <a:gs pos="0">
              <a:srgbClr val="357A7F"/>
            </a:gs>
            <a:gs pos="50000">
              <a:srgbClr val="54B1B8"/>
            </a:gs>
            <a:gs pos="100000">
              <a:srgbClr val="BBE0E3"/>
            </a:gs>
          </a:gsLst>
          <a:lin ang="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tx2">
                    <a:lumMod val="60000"/>
                    <a:lumOff val="40000"/>
                  </a:schemeClr>
                </a:gs>
                <a:gs pos="50000">
                  <a:schemeClr val="tx2">
                    <a:lumMod val="40000"/>
                    <a:lumOff val="60000"/>
                  </a:schemeClr>
                </a:gs>
                <a:gs pos="100000">
                  <a:schemeClr val="tx2">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chemeClr val="accent4">
                      <a:lumMod val="75000"/>
                    </a:schemeClr>
                  </a:gs>
                  <a:gs pos="50000">
                    <a:schemeClr val="accent4">
                      <a:lumMod val="60000"/>
                      <a:lumOff val="40000"/>
                    </a:schemeClr>
                  </a:gs>
                  <a:gs pos="100000">
                    <a:schemeClr val="accent4">
                      <a:lumMod val="40000"/>
                      <a:lumOff val="60000"/>
                    </a:schemeClr>
                  </a:gs>
                </a:gsLst>
                <a:lin ang="10800000" scaled="1"/>
                <a:tileRect/>
              </a:gradFill>
              <a:ln>
                <a:noFill/>
              </a:ln>
            </c:spPr>
            <c:extLst>
              <c:ext xmlns:c16="http://schemas.microsoft.com/office/drawing/2014/chart" uri="{C3380CC4-5D6E-409C-BE32-E72D297353CC}">
                <c16:uniqueId val="{00000001-8EE7-43D5-8552-B19211EC9515}"/>
              </c:ext>
            </c:extLst>
          </c:dPt>
          <c:dLbls>
            <c:dLbl>
              <c:idx val="0"/>
              <c:layout>
                <c:manualLayout>
                  <c:x val="-0.11333333333333333"/>
                  <c:y val="-1.5478821875458887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EE7-43D5-8552-B19211EC9515}"/>
                </c:ext>
              </c:extLst>
            </c:dLbl>
            <c:spPr>
              <a:noFill/>
              <a:ln>
                <a:noFill/>
              </a:ln>
              <a:effectLst/>
            </c:spPr>
            <c:txPr>
              <a:bodyPr/>
              <a:lstStyle/>
              <a:p>
                <a:pPr>
                  <a:defRPr sz="1100" b="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Projektbudget!$CO$24</c:f>
              <c:numCache>
                <c:formatCode>0%</c:formatCode>
                <c:ptCount val="1"/>
                <c:pt idx="0">
                  <c:v>1</c:v>
                </c:pt>
              </c:numCache>
            </c:numRef>
          </c:val>
          <c:extLst>
            <c:ext xmlns:c16="http://schemas.microsoft.com/office/drawing/2014/chart" uri="{C3380CC4-5D6E-409C-BE32-E72D297353CC}">
              <c16:uniqueId val="{00000002-8EE7-43D5-8552-B19211EC9515}"/>
            </c:ext>
          </c:extLst>
        </c:ser>
        <c:dLbls>
          <c:showLegendKey val="0"/>
          <c:showVal val="0"/>
          <c:showCatName val="0"/>
          <c:showSerName val="0"/>
          <c:showPercent val="0"/>
          <c:showBubbleSize val="0"/>
        </c:dLbls>
        <c:gapWidth val="0"/>
        <c:axId val="217642672"/>
        <c:axId val="217633968"/>
      </c:barChart>
      <c:catAx>
        <c:axId val="217642672"/>
        <c:scaling>
          <c:orientation val="minMax"/>
        </c:scaling>
        <c:delete val="1"/>
        <c:axPos val="l"/>
        <c:majorTickMark val="out"/>
        <c:minorTickMark val="none"/>
        <c:tickLblPos val="nextTo"/>
        <c:crossAx val="217633968"/>
        <c:crosses val="autoZero"/>
        <c:auto val="1"/>
        <c:lblAlgn val="ctr"/>
        <c:lblOffset val="100"/>
        <c:noMultiLvlLbl val="0"/>
      </c:catAx>
      <c:valAx>
        <c:axId val="217633968"/>
        <c:scaling>
          <c:orientation val="minMax"/>
          <c:max val="1"/>
          <c:min val="0"/>
        </c:scaling>
        <c:delete val="1"/>
        <c:axPos val="b"/>
        <c:majorGridlines/>
        <c:numFmt formatCode="0%" sourceLinked="1"/>
        <c:majorTickMark val="out"/>
        <c:minorTickMark val="none"/>
        <c:tickLblPos val="nextTo"/>
        <c:crossAx val="217642672"/>
        <c:crosses val="autoZero"/>
        <c:crossBetween val="between"/>
        <c:majorUnit val="0.2"/>
        <c:minorUnit val="4.0000000000000008E-2"/>
      </c:valAx>
      <c:spPr>
        <a:gradFill>
          <a:gsLst>
            <a:gs pos="0">
              <a:schemeClr val="accent4">
                <a:lumMod val="60000"/>
                <a:lumOff val="40000"/>
              </a:schemeClr>
            </a:gs>
            <a:gs pos="50000">
              <a:schemeClr val="accent4">
                <a:lumMod val="40000"/>
                <a:lumOff val="60000"/>
              </a:schemeClr>
            </a:gs>
            <a:gs pos="100000">
              <a:schemeClr val="accent4">
                <a:lumMod val="20000"/>
                <a:lumOff val="80000"/>
              </a:schemeClr>
            </a:gs>
          </a:gsLst>
          <a:lin ang="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tx2">
                    <a:lumMod val="60000"/>
                    <a:lumOff val="40000"/>
                  </a:schemeClr>
                </a:gs>
                <a:gs pos="50000">
                  <a:schemeClr val="tx2">
                    <a:lumMod val="40000"/>
                    <a:lumOff val="60000"/>
                  </a:schemeClr>
                </a:gs>
                <a:gs pos="100000">
                  <a:schemeClr val="tx2">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chemeClr val="accent4">
                      <a:lumMod val="75000"/>
                    </a:schemeClr>
                  </a:gs>
                  <a:gs pos="50000">
                    <a:schemeClr val="accent4">
                      <a:lumMod val="60000"/>
                      <a:lumOff val="40000"/>
                    </a:schemeClr>
                  </a:gs>
                  <a:gs pos="100000">
                    <a:schemeClr val="accent4">
                      <a:lumMod val="40000"/>
                      <a:lumOff val="60000"/>
                    </a:schemeClr>
                  </a:gs>
                </a:gsLst>
                <a:lin ang="10800000" scaled="1"/>
                <a:tileRect/>
              </a:gradFill>
              <a:ln>
                <a:noFill/>
              </a:ln>
            </c:spPr>
            <c:extLst>
              <c:ext xmlns:c16="http://schemas.microsoft.com/office/drawing/2014/chart" uri="{C3380CC4-5D6E-409C-BE32-E72D297353CC}">
                <c16:uniqueId val="{00000001-F73B-44E7-B142-1EA3A7E2D45F}"/>
              </c:ext>
            </c:extLst>
          </c:dPt>
          <c:dLbls>
            <c:dLbl>
              <c:idx val="0"/>
              <c:layout>
                <c:manualLayout>
                  <c:x val="-0.11333333333333333"/>
                  <c:y val="-1.5478821875458887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73B-44E7-B142-1EA3A7E2D45F}"/>
                </c:ext>
              </c:extLst>
            </c:dLbl>
            <c:spPr>
              <a:noFill/>
              <a:ln>
                <a:noFill/>
              </a:ln>
              <a:effectLst/>
            </c:spPr>
            <c:txPr>
              <a:bodyPr/>
              <a:lstStyle/>
              <a:p>
                <a:pPr>
                  <a:defRPr sz="1100" b="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Projektbudget!$CO$59</c:f>
              <c:numCache>
                <c:formatCode>0%</c:formatCode>
                <c:ptCount val="1"/>
                <c:pt idx="0">
                  <c:v>0</c:v>
                </c:pt>
              </c:numCache>
            </c:numRef>
          </c:val>
          <c:extLst>
            <c:ext xmlns:c16="http://schemas.microsoft.com/office/drawing/2014/chart" uri="{C3380CC4-5D6E-409C-BE32-E72D297353CC}">
              <c16:uniqueId val="{00000002-F73B-44E7-B142-1EA3A7E2D45F}"/>
            </c:ext>
          </c:extLst>
        </c:ser>
        <c:dLbls>
          <c:showLegendKey val="0"/>
          <c:showVal val="0"/>
          <c:showCatName val="0"/>
          <c:showSerName val="0"/>
          <c:showPercent val="0"/>
          <c:showBubbleSize val="0"/>
        </c:dLbls>
        <c:gapWidth val="0"/>
        <c:axId val="217637776"/>
        <c:axId val="217645936"/>
      </c:barChart>
      <c:catAx>
        <c:axId val="217637776"/>
        <c:scaling>
          <c:orientation val="minMax"/>
        </c:scaling>
        <c:delete val="1"/>
        <c:axPos val="l"/>
        <c:majorTickMark val="out"/>
        <c:minorTickMark val="none"/>
        <c:tickLblPos val="nextTo"/>
        <c:crossAx val="217645936"/>
        <c:crosses val="autoZero"/>
        <c:auto val="1"/>
        <c:lblAlgn val="ctr"/>
        <c:lblOffset val="100"/>
        <c:noMultiLvlLbl val="0"/>
      </c:catAx>
      <c:valAx>
        <c:axId val="217645936"/>
        <c:scaling>
          <c:orientation val="minMax"/>
          <c:max val="1"/>
          <c:min val="0"/>
        </c:scaling>
        <c:delete val="1"/>
        <c:axPos val="b"/>
        <c:majorGridlines/>
        <c:numFmt formatCode="0%" sourceLinked="1"/>
        <c:majorTickMark val="out"/>
        <c:minorTickMark val="none"/>
        <c:tickLblPos val="nextTo"/>
        <c:crossAx val="217637776"/>
        <c:crosses val="autoZero"/>
        <c:crossBetween val="between"/>
        <c:majorUnit val="0.2"/>
        <c:minorUnit val="4.0000000000000008E-2"/>
      </c:valAx>
      <c:spPr>
        <a:gradFill>
          <a:gsLst>
            <a:gs pos="0">
              <a:schemeClr val="accent4">
                <a:lumMod val="60000"/>
                <a:lumOff val="40000"/>
              </a:schemeClr>
            </a:gs>
            <a:gs pos="50000">
              <a:schemeClr val="accent4">
                <a:lumMod val="40000"/>
                <a:lumOff val="60000"/>
              </a:schemeClr>
            </a:gs>
            <a:gs pos="100000">
              <a:schemeClr val="accent4">
                <a:lumMod val="20000"/>
                <a:lumOff val="80000"/>
              </a:schemeClr>
            </a:gs>
          </a:gsLst>
          <a:lin ang="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tx2">
                    <a:lumMod val="60000"/>
                    <a:lumOff val="40000"/>
                  </a:schemeClr>
                </a:gs>
                <a:gs pos="50000">
                  <a:schemeClr val="tx2">
                    <a:lumMod val="40000"/>
                    <a:lumOff val="60000"/>
                  </a:schemeClr>
                </a:gs>
                <a:gs pos="100000">
                  <a:schemeClr val="tx2">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chemeClr val="accent4">
                      <a:lumMod val="75000"/>
                    </a:schemeClr>
                  </a:gs>
                  <a:gs pos="50000">
                    <a:schemeClr val="accent4">
                      <a:lumMod val="60000"/>
                      <a:lumOff val="40000"/>
                    </a:schemeClr>
                  </a:gs>
                  <a:gs pos="100000">
                    <a:schemeClr val="accent4">
                      <a:lumMod val="40000"/>
                      <a:lumOff val="60000"/>
                    </a:schemeClr>
                  </a:gs>
                </a:gsLst>
                <a:lin ang="10800000" scaled="1"/>
                <a:tileRect/>
              </a:gradFill>
              <a:ln>
                <a:noFill/>
              </a:ln>
            </c:spPr>
            <c:extLst>
              <c:ext xmlns:c16="http://schemas.microsoft.com/office/drawing/2014/chart" uri="{C3380CC4-5D6E-409C-BE32-E72D297353CC}">
                <c16:uniqueId val="{00000001-6E60-4545-B815-C3451B842863}"/>
              </c:ext>
            </c:extLst>
          </c:dPt>
          <c:dLbls>
            <c:dLbl>
              <c:idx val="0"/>
              <c:layout>
                <c:manualLayout>
                  <c:x val="-0.11333333333333333"/>
                  <c:y val="-1.5478821875458887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E60-4545-B815-C3451B842863}"/>
                </c:ext>
              </c:extLst>
            </c:dLbl>
            <c:spPr>
              <a:noFill/>
              <a:ln>
                <a:noFill/>
              </a:ln>
              <a:effectLst/>
            </c:spPr>
            <c:txPr>
              <a:bodyPr/>
              <a:lstStyle/>
              <a:p>
                <a:pPr>
                  <a:defRPr sz="1100" b="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Projektbudget!$CO$61</c:f>
              <c:numCache>
                <c:formatCode>0%</c:formatCode>
                <c:ptCount val="1"/>
                <c:pt idx="0">
                  <c:v>1</c:v>
                </c:pt>
              </c:numCache>
            </c:numRef>
          </c:val>
          <c:extLst>
            <c:ext xmlns:c16="http://schemas.microsoft.com/office/drawing/2014/chart" uri="{C3380CC4-5D6E-409C-BE32-E72D297353CC}">
              <c16:uniqueId val="{00000002-6E60-4545-B815-C3451B842863}"/>
            </c:ext>
          </c:extLst>
        </c:ser>
        <c:dLbls>
          <c:showLegendKey val="0"/>
          <c:showVal val="0"/>
          <c:showCatName val="0"/>
          <c:showSerName val="0"/>
          <c:showPercent val="0"/>
          <c:showBubbleSize val="0"/>
        </c:dLbls>
        <c:gapWidth val="0"/>
        <c:axId val="217638320"/>
        <c:axId val="217638864"/>
      </c:barChart>
      <c:catAx>
        <c:axId val="217638320"/>
        <c:scaling>
          <c:orientation val="minMax"/>
        </c:scaling>
        <c:delete val="1"/>
        <c:axPos val="l"/>
        <c:majorTickMark val="out"/>
        <c:minorTickMark val="none"/>
        <c:tickLblPos val="nextTo"/>
        <c:crossAx val="217638864"/>
        <c:crosses val="autoZero"/>
        <c:auto val="1"/>
        <c:lblAlgn val="ctr"/>
        <c:lblOffset val="100"/>
        <c:noMultiLvlLbl val="0"/>
      </c:catAx>
      <c:valAx>
        <c:axId val="217638864"/>
        <c:scaling>
          <c:orientation val="minMax"/>
          <c:max val="1"/>
          <c:min val="0"/>
        </c:scaling>
        <c:delete val="1"/>
        <c:axPos val="b"/>
        <c:majorGridlines/>
        <c:numFmt formatCode="0%" sourceLinked="1"/>
        <c:majorTickMark val="out"/>
        <c:minorTickMark val="none"/>
        <c:tickLblPos val="nextTo"/>
        <c:crossAx val="217638320"/>
        <c:crosses val="autoZero"/>
        <c:crossBetween val="between"/>
        <c:majorUnit val="0.2"/>
        <c:minorUnit val="4.0000000000000008E-2"/>
      </c:valAx>
      <c:spPr>
        <a:gradFill>
          <a:gsLst>
            <a:gs pos="0">
              <a:schemeClr val="accent4">
                <a:lumMod val="60000"/>
                <a:lumOff val="40000"/>
              </a:schemeClr>
            </a:gs>
            <a:gs pos="50000">
              <a:schemeClr val="accent4">
                <a:lumMod val="40000"/>
                <a:lumOff val="60000"/>
              </a:schemeClr>
            </a:gs>
            <a:gs pos="100000">
              <a:schemeClr val="accent4">
                <a:lumMod val="20000"/>
                <a:lumOff val="80000"/>
              </a:schemeClr>
            </a:gs>
          </a:gsLst>
          <a:lin ang="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tx2">
                    <a:lumMod val="60000"/>
                    <a:lumOff val="40000"/>
                  </a:schemeClr>
                </a:gs>
                <a:gs pos="50000">
                  <a:schemeClr val="tx2">
                    <a:lumMod val="40000"/>
                    <a:lumOff val="60000"/>
                  </a:schemeClr>
                </a:gs>
                <a:gs pos="100000">
                  <a:schemeClr val="tx2">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chemeClr val="accent1">
                      <a:lumMod val="75000"/>
                    </a:schemeClr>
                  </a:gs>
                  <a:gs pos="50000">
                    <a:schemeClr val="accent1">
                      <a:lumMod val="60000"/>
                      <a:lumOff val="40000"/>
                    </a:schemeClr>
                  </a:gs>
                  <a:gs pos="100000">
                    <a:schemeClr val="accent1">
                      <a:lumMod val="40000"/>
                      <a:lumOff val="60000"/>
                    </a:schemeClr>
                  </a:gs>
                </a:gsLst>
                <a:lin ang="10800000" scaled="1"/>
                <a:tileRect/>
              </a:gradFill>
              <a:ln>
                <a:noFill/>
              </a:ln>
            </c:spPr>
            <c:extLst>
              <c:ext xmlns:c16="http://schemas.microsoft.com/office/drawing/2014/chart" uri="{C3380CC4-5D6E-409C-BE32-E72D297353CC}">
                <c16:uniqueId val="{00000001-E6D5-4606-B6D7-CE185D333C21}"/>
              </c:ext>
            </c:extLst>
          </c:dPt>
          <c:dLbls>
            <c:dLbl>
              <c:idx val="0"/>
              <c:layout>
                <c:manualLayout>
                  <c:x val="-3.7634408602150539E-2"/>
                  <c:y val="-2.0189783969311527E-6"/>
                </c:manualLayout>
              </c:layout>
              <c:spPr/>
              <c:txPr>
                <a:bodyPr/>
                <a:lstStyle/>
                <a:p>
                  <a:pPr>
                    <a:defRPr sz="1100">
                      <a:solidFill>
                        <a:schemeClr val="bg1"/>
                      </a:solidFill>
                    </a:defRPr>
                  </a:pPr>
                  <a:endParaRPr lang="de-DE"/>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6D5-4606-B6D7-CE185D333C21}"/>
                </c:ext>
              </c:extLst>
            </c:dLbl>
            <c:spPr>
              <a:noFill/>
              <a:ln>
                <a:noFill/>
              </a:ln>
              <a:effectLst/>
            </c:spPr>
            <c:txPr>
              <a:bodyPr/>
              <a:lstStyle/>
              <a:p>
                <a:pPr>
                  <a:defRPr sz="1100">
                    <a:solidFill>
                      <a:schemeClr val="bg1">
                        <a:lumMod val="85000"/>
                      </a:schemeClr>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Projektbudget!$CO$24</c:f>
              <c:numCache>
                <c:formatCode>0%</c:formatCode>
                <c:ptCount val="1"/>
                <c:pt idx="0">
                  <c:v>1</c:v>
                </c:pt>
              </c:numCache>
            </c:numRef>
          </c:val>
          <c:extLst>
            <c:ext xmlns:c16="http://schemas.microsoft.com/office/drawing/2014/chart" uri="{C3380CC4-5D6E-409C-BE32-E72D297353CC}">
              <c16:uniqueId val="{00000002-E6D5-4606-B6D7-CE185D333C21}"/>
            </c:ext>
          </c:extLst>
        </c:ser>
        <c:dLbls>
          <c:showLegendKey val="0"/>
          <c:showVal val="0"/>
          <c:showCatName val="0"/>
          <c:showSerName val="0"/>
          <c:showPercent val="0"/>
          <c:showBubbleSize val="0"/>
        </c:dLbls>
        <c:gapWidth val="0"/>
        <c:axId val="327802992"/>
        <c:axId val="327803536"/>
      </c:barChart>
      <c:catAx>
        <c:axId val="327802992"/>
        <c:scaling>
          <c:orientation val="minMax"/>
        </c:scaling>
        <c:delete val="1"/>
        <c:axPos val="l"/>
        <c:majorTickMark val="out"/>
        <c:minorTickMark val="none"/>
        <c:tickLblPos val="nextTo"/>
        <c:crossAx val="327803536"/>
        <c:crosses val="autoZero"/>
        <c:auto val="1"/>
        <c:lblAlgn val="ctr"/>
        <c:lblOffset val="100"/>
        <c:noMultiLvlLbl val="0"/>
      </c:catAx>
      <c:valAx>
        <c:axId val="327803536"/>
        <c:scaling>
          <c:orientation val="minMax"/>
          <c:max val="1"/>
          <c:min val="0"/>
        </c:scaling>
        <c:delete val="1"/>
        <c:axPos val="b"/>
        <c:majorGridlines/>
        <c:numFmt formatCode="0%" sourceLinked="1"/>
        <c:majorTickMark val="out"/>
        <c:minorTickMark val="none"/>
        <c:tickLblPos val="nextTo"/>
        <c:crossAx val="327802992"/>
        <c:crosses val="autoZero"/>
        <c:crossBetween val="between"/>
        <c:majorUnit val="0.2"/>
        <c:minorUnit val="4.0000000000000008E-2"/>
      </c:valAx>
      <c:spPr>
        <a:gradFill>
          <a:gsLst>
            <a:gs pos="0">
              <a:schemeClr val="accent1">
                <a:lumMod val="20000"/>
                <a:lumOff val="80000"/>
              </a:schemeClr>
            </a:gs>
            <a:gs pos="50000">
              <a:schemeClr val="accent1">
                <a:lumMod val="40000"/>
                <a:lumOff val="60000"/>
              </a:schemeClr>
            </a:gs>
            <a:gs pos="100000">
              <a:schemeClr val="accent1">
                <a:lumMod val="75000"/>
              </a:schemeClr>
            </a:gs>
          </a:gsLst>
          <a:lin ang="1080000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tx2">
                    <a:lumMod val="60000"/>
                    <a:lumOff val="40000"/>
                  </a:schemeClr>
                </a:gs>
                <a:gs pos="50000">
                  <a:schemeClr val="tx2">
                    <a:lumMod val="40000"/>
                    <a:lumOff val="60000"/>
                  </a:schemeClr>
                </a:gs>
                <a:gs pos="100000">
                  <a:schemeClr val="tx2">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chemeClr val="accent1">
                      <a:lumMod val="75000"/>
                    </a:schemeClr>
                  </a:gs>
                  <a:gs pos="50000">
                    <a:schemeClr val="accent1">
                      <a:lumMod val="60000"/>
                      <a:lumOff val="40000"/>
                    </a:schemeClr>
                  </a:gs>
                  <a:gs pos="100000">
                    <a:schemeClr val="accent1">
                      <a:lumMod val="40000"/>
                      <a:lumOff val="60000"/>
                    </a:schemeClr>
                  </a:gs>
                </a:gsLst>
                <a:lin ang="10800000" scaled="1"/>
                <a:tileRect/>
              </a:gradFill>
              <a:ln>
                <a:noFill/>
              </a:ln>
            </c:spPr>
            <c:extLst>
              <c:ext xmlns:c16="http://schemas.microsoft.com/office/drawing/2014/chart" uri="{C3380CC4-5D6E-409C-BE32-E72D297353CC}">
                <c16:uniqueId val="{00000001-A6B1-4E7A-8D50-5DA0980E7443}"/>
              </c:ext>
            </c:extLst>
          </c:dPt>
          <c:dLbls>
            <c:dLbl>
              <c:idx val="0"/>
              <c:layout>
                <c:manualLayout>
                  <c:x val="-5.3763440860215055E-2"/>
                  <c:y val="-2.0189783969311527E-6"/>
                </c:manualLayout>
              </c:layout>
              <c:spPr/>
              <c:txPr>
                <a:bodyPr/>
                <a:lstStyle/>
                <a:p>
                  <a:pPr>
                    <a:defRPr sz="1100">
                      <a:solidFill>
                        <a:schemeClr val="bg1"/>
                      </a:solidFill>
                    </a:defRPr>
                  </a:pPr>
                  <a:endParaRPr lang="de-DE"/>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6B1-4E7A-8D50-5DA0980E7443}"/>
                </c:ext>
              </c:extLst>
            </c:dLbl>
            <c:spPr>
              <a:noFill/>
              <a:ln>
                <a:noFill/>
              </a:ln>
              <a:effectLst/>
            </c:spPr>
            <c:txPr>
              <a:bodyPr/>
              <a:lstStyle/>
              <a:p>
                <a:pPr>
                  <a:defRPr sz="1100">
                    <a:solidFill>
                      <a:schemeClr val="bg1">
                        <a:lumMod val="85000"/>
                      </a:schemeClr>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Projektbudget!$CO$59</c:f>
              <c:numCache>
                <c:formatCode>0%</c:formatCode>
                <c:ptCount val="1"/>
                <c:pt idx="0">
                  <c:v>0</c:v>
                </c:pt>
              </c:numCache>
            </c:numRef>
          </c:val>
          <c:extLst>
            <c:ext xmlns:c16="http://schemas.microsoft.com/office/drawing/2014/chart" uri="{C3380CC4-5D6E-409C-BE32-E72D297353CC}">
              <c16:uniqueId val="{00000002-A6B1-4E7A-8D50-5DA0980E7443}"/>
            </c:ext>
          </c:extLst>
        </c:ser>
        <c:dLbls>
          <c:showLegendKey val="0"/>
          <c:showVal val="0"/>
          <c:showCatName val="0"/>
          <c:showSerName val="0"/>
          <c:showPercent val="0"/>
          <c:showBubbleSize val="0"/>
        </c:dLbls>
        <c:gapWidth val="0"/>
        <c:axId val="351968224"/>
        <c:axId val="351963328"/>
      </c:barChart>
      <c:catAx>
        <c:axId val="351968224"/>
        <c:scaling>
          <c:orientation val="minMax"/>
        </c:scaling>
        <c:delete val="1"/>
        <c:axPos val="l"/>
        <c:majorTickMark val="out"/>
        <c:minorTickMark val="none"/>
        <c:tickLblPos val="nextTo"/>
        <c:crossAx val="351963328"/>
        <c:crosses val="autoZero"/>
        <c:auto val="1"/>
        <c:lblAlgn val="ctr"/>
        <c:lblOffset val="100"/>
        <c:noMultiLvlLbl val="0"/>
      </c:catAx>
      <c:valAx>
        <c:axId val="351963328"/>
        <c:scaling>
          <c:orientation val="minMax"/>
          <c:max val="1"/>
          <c:min val="0"/>
        </c:scaling>
        <c:delete val="1"/>
        <c:axPos val="b"/>
        <c:majorGridlines/>
        <c:numFmt formatCode="0%" sourceLinked="1"/>
        <c:majorTickMark val="out"/>
        <c:minorTickMark val="none"/>
        <c:tickLblPos val="nextTo"/>
        <c:crossAx val="351968224"/>
        <c:crosses val="autoZero"/>
        <c:crossBetween val="between"/>
        <c:majorUnit val="0.2"/>
        <c:minorUnit val="4.0000000000000008E-2"/>
      </c:valAx>
      <c:spPr>
        <a:gradFill>
          <a:gsLst>
            <a:gs pos="0">
              <a:schemeClr val="accent1">
                <a:lumMod val="20000"/>
                <a:lumOff val="80000"/>
              </a:schemeClr>
            </a:gs>
            <a:gs pos="50000">
              <a:schemeClr val="accent1">
                <a:lumMod val="40000"/>
                <a:lumOff val="60000"/>
              </a:schemeClr>
            </a:gs>
            <a:gs pos="100000">
              <a:schemeClr val="accent1">
                <a:lumMod val="75000"/>
              </a:schemeClr>
            </a:gs>
          </a:gsLst>
          <a:lin ang="1080000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tx2">
                    <a:lumMod val="60000"/>
                    <a:lumOff val="40000"/>
                  </a:schemeClr>
                </a:gs>
                <a:gs pos="50000">
                  <a:schemeClr val="tx2">
                    <a:lumMod val="40000"/>
                    <a:lumOff val="60000"/>
                  </a:schemeClr>
                </a:gs>
                <a:gs pos="100000">
                  <a:schemeClr val="tx2">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chemeClr val="accent1">
                      <a:lumMod val="75000"/>
                    </a:schemeClr>
                  </a:gs>
                  <a:gs pos="50000">
                    <a:schemeClr val="accent1">
                      <a:lumMod val="60000"/>
                      <a:lumOff val="40000"/>
                    </a:schemeClr>
                  </a:gs>
                  <a:gs pos="100000">
                    <a:schemeClr val="accent1">
                      <a:lumMod val="40000"/>
                      <a:lumOff val="60000"/>
                    </a:schemeClr>
                  </a:gs>
                </a:gsLst>
                <a:lin ang="10800000" scaled="1"/>
                <a:tileRect/>
              </a:gradFill>
              <a:ln>
                <a:noFill/>
              </a:ln>
            </c:spPr>
            <c:extLst>
              <c:ext xmlns:c16="http://schemas.microsoft.com/office/drawing/2014/chart" uri="{C3380CC4-5D6E-409C-BE32-E72D297353CC}">
                <c16:uniqueId val="{00000001-20A9-423D-8615-A4EEB5DFCB08}"/>
              </c:ext>
            </c:extLst>
          </c:dPt>
          <c:dLbls>
            <c:dLbl>
              <c:idx val="0"/>
              <c:layout>
                <c:manualLayout>
                  <c:x val="-0.14559139784946237"/>
                  <c:y val="-2.0585662086356854E-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0A9-423D-8615-A4EEB5DFCB08}"/>
                </c:ext>
              </c:extLst>
            </c:dLbl>
            <c:spPr>
              <a:noFill/>
              <a:ln>
                <a:noFill/>
              </a:ln>
              <a:effectLst/>
            </c:spPr>
            <c:txPr>
              <a:bodyPr/>
              <a:lstStyle/>
              <a:p>
                <a:pPr>
                  <a:defRPr sz="1100">
                    <a:solidFill>
                      <a:schemeClr val="bg1"/>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Projektbudget!$CO$61</c:f>
              <c:numCache>
                <c:formatCode>0%</c:formatCode>
                <c:ptCount val="1"/>
                <c:pt idx="0">
                  <c:v>1</c:v>
                </c:pt>
              </c:numCache>
            </c:numRef>
          </c:val>
          <c:extLst>
            <c:ext xmlns:c16="http://schemas.microsoft.com/office/drawing/2014/chart" uri="{C3380CC4-5D6E-409C-BE32-E72D297353CC}">
              <c16:uniqueId val="{00000002-20A9-423D-8615-A4EEB5DFCB08}"/>
            </c:ext>
          </c:extLst>
        </c:ser>
        <c:dLbls>
          <c:showLegendKey val="0"/>
          <c:showVal val="0"/>
          <c:showCatName val="0"/>
          <c:showSerName val="0"/>
          <c:showPercent val="0"/>
          <c:showBubbleSize val="0"/>
        </c:dLbls>
        <c:gapWidth val="0"/>
        <c:axId val="351962784"/>
        <c:axId val="351957888"/>
      </c:barChart>
      <c:catAx>
        <c:axId val="351962784"/>
        <c:scaling>
          <c:orientation val="minMax"/>
        </c:scaling>
        <c:delete val="1"/>
        <c:axPos val="l"/>
        <c:majorTickMark val="out"/>
        <c:minorTickMark val="none"/>
        <c:tickLblPos val="nextTo"/>
        <c:crossAx val="351957888"/>
        <c:crosses val="autoZero"/>
        <c:auto val="1"/>
        <c:lblAlgn val="ctr"/>
        <c:lblOffset val="100"/>
        <c:noMultiLvlLbl val="0"/>
      </c:catAx>
      <c:valAx>
        <c:axId val="351957888"/>
        <c:scaling>
          <c:orientation val="minMax"/>
          <c:max val="1"/>
          <c:min val="0"/>
        </c:scaling>
        <c:delete val="1"/>
        <c:axPos val="b"/>
        <c:majorGridlines/>
        <c:numFmt formatCode="0%" sourceLinked="1"/>
        <c:majorTickMark val="out"/>
        <c:minorTickMark val="none"/>
        <c:tickLblPos val="nextTo"/>
        <c:crossAx val="351962784"/>
        <c:crosses val="autoZero"/>
        <c:crossBetween val="between"/>
        <c:majorUnit val="0.2"/>
        <c:minorUnit val="4.0000000000000008E-2"/>
      </c:valAx>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gradFill flip="none" rotWithShape="1">
              <a:gsLst>
                <a:gs pos="0">
                  <a:schemeClr val="tx2">
                    <a:lumMod val="60000"/>
                    <a:lumOff val="40000"/>
                  </a:schemeClr>
                </a:gs>
                <a:gs pos="50000">
                  <a:schemeClr val="tx2">
                    <a:lumMod val="40000"/>
                    <a:lumOff val="60000"/>
                  </a:schemeClr>
                </a:gs>
                <a:gs pos="100000">
                  <a:schemeClr val="tx2">
                    <a:lumMod val="20000"/>
                    <a:lumOff val="80000"/>
                  </a:schemeClr>
                </a:gs>
              </a:gsLst>
              <a:lin ang="0" scaled="1"/>
              <a:tileRect/>
            </a:gradFill>
            <a:ln>
              <a:solidFill>
                <a:schemeClr val="accent4">
                  <a:lumMod val="50000"/>
                </a:schemeClr>
              </a:solidFill>
            </a:ln>
          </c:spPr>
          <c:invertIfNegative val="0"/>
          <c:dPt>
            <c:idx val="0"/>
            <c:invertIfNegative val="0"/>
            <c:bubble3D val="0"/>
            <c:spPr>
              <a:gradFill flip="none" rotWithShape="1">
                <a:gsLst>
                  <a:gs pos="0">
                    <a:schemeClr val="accent1">
                      <a:lumMod val="75000"/>
                    </a:schemeClr>
                  </a:gs>
                  <a:gs pos="50000">
                    <a:schemeClr val="accent1">
                      <a:lumMod val="60000"/>
                      <a:lumOff val="40000"/>
                    </a:schemeClr>
                  </a:gs>
                  <a:gs pos="100000">
                    <a:schemeClr val="accent1">
                      <a:lumMod val="40000"/>
                      <a:lumOff val="60000"/>
                    </a:schemeClr>
                  </a:gs>
                </a:gsLst>
                <a:lin ang="10800000" scaled="1"/>
                <a:tileRect/>
              </a:gradFill>
              <a:ln>
                <a:noFill/>
              </a:ln>
            </c:spPr>
            <c:extLst>
              <c:ext xmlns:c16="http://schemas.microsoft.com/office/drawing/2014/chart" uri="{C3380CC4-5D6E-409C-BE32-E72D297353CC}">
                <c16:uniqueId val="{00000001-DE44-4DA9-9B27-124632852665}"/>
              </c:ext>
            </c:extLst>
          </c:dPt>
          <c:dLbls>
            <c:dLbl>
              <c:idx val="0"/>
              <c:layout>
                <c:manualLayout>
                  <c:x val="-3.7634408602150539E-2"/>
                  <c:y val="-2.0189783969311527E-6"/>
                </c:manualLayout>
              </c:layout>
              <c:spPr/>
              <c:txPr>
                <a:bodyPr/>
                <a:lstStyle/>
                <a:p>
                  <a:pPr>
                    <a:defRPr sz="1100">
                      <a:solidFill>
                        <a:schemeClr val="bg1"/>
                      </a:solidFill>
                    </a:defRPr>
                  </a:pPr>
                  <a:endParaRPr lang="de-DE"/>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E44-4DA9-9B27-124632852665}"/>
                </c:ext>
              </c:extLst>
            </c:dLbl>
            <c:spPr>
              <a:noFill/>
              <a:ln>
                <a:noFill/>
              </a:ln>
              <a:effectLst/>
            </c:spPr>
            <c:txPr>
              <a:bodyPr/>
              <a:lstStyle/>
              <a:p>
                <a:pPr>
                  <a:defRPr sz="1100">
                    <a:solidFill>
                      <a:schemeClr val="bg1">
                        <a:lumMod val="85000"/>
                      </a:schemeClr>
                    </a:solidFil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Projektbudget!$CO$77</c:f>
              <c:numCache>
                <c:formatCode>0%</c:formatCode>
                <c:ptCount val="1"/>
                <c:pt idx="0">
                  <c:v>0</c:v>
                </c:pt>
              </c:numCache>
            </c:numRef>
          </c:val>
          <c:extLst>
            <c:ext xmlns:c16="http://schemas.microsoft.com/office/drawing/2014/chart" uri="{C3380CC4-5D6E-409C-BE32-E72D297353CC}">
              <c16:uniqueId val="{00000002-DE44-4DA9-9B27-124632852665}"/>
            </c:ext>
          </c:extLst>
        </c:ser>
        <c:dLbls>
          <c:showLegendKey val="0"/>
          <c:showVal val="0"/>
          <c:showCatName val="0"/>
          <c:showSerName val="0"/>
          <c:showPercent val="0"/>
          <c:showBubbleSize val="0"/>
        </c:dLbls>
        <c:gapWidth val="0"/>
        <c:axId val="351966048"/>
        <c:axId val="351967136"/>
      </c:barChart>
      <c:catAx>
        <c:axId val="351966048"/>
        <c:scaling>
          <c:orientation val="minMax"/>
        </c:scaling>
        <c:delete val="1"/>
        <c:axPos val="l"/>
        <c:majorTickMark val="out"/>
        <c:minorTickMark val="none"/>
        <c:tickLblPos val="nextTo"/>
        <c:crossAx val="351967136"/>
        <c:crosses val="autoZero"/>
        <c:auto val="1"/>
        <c:lblAlgn val="ctr"/>
        <c:lblOffset val="100"/>
        <c:noMultiLvlLbl val="0"/>
      </c:catAx>
      <c:valAx>
        <c:axId val="351967136"/>
        <c:scaling>
          <c:orientation val="minMax"/>
          <c:max val="1"/>
          <c:min val="0"/>
        </c:scaling>
        <c:delete val="1"/>
        <c:axPos val="b"/>
        <c:majorGridlines/>
        <c:numFmt formatCode="0%" sourceLinked="1"/>
        <c:majorTickMark val="out"/>
        <c:minorTickMark val="none"/>
        <c:tickLblPos val="nextTo"/>
        <c:crossAx val="351966048"/>
        <c:crosses val="autoZero"/>
        <c:crossBetween val="between"/>
        <c:majorUnit val="0.2"/>
        <c:minorUnit val="4.0000000000000008E-2"/>
      </c:valAx>
      <c:spPr>
        <a:gradFill>
          <a:gsLst>
            <a:gs pos="0">
              <a:schemeClr val="accent1">
                <a:lumMod val="20000"/>
                <a:lumOff val="80000"/>
              </a:schemeClr>
            </a:gs>
            <a:gs pos="50000">
              <a:schemeClr val="accent1">
                <a:lumMod val="40000"/>
                <a:lumOff val="60000"/>
              </a:schemeClr>
            </a:gs>
            <a:gs pos="100000">
              <a:schemeClr val="accent1">
                <a:lumMod val="75000"/>
              </a:schemeClr>
            </a:gs>
          </a:gsLst>
          <a:lin ang="10800000" scaled="1"/>
        </a:grad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7.4988473156183941E-2"/>
          <c:y val="1.8661835657191927E-2"/>
          <c:w val="0.8940788423344892"/>
          <c:h val="0.93655514293398667"/>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ACB9-4EA1-8760-27E1EFDCAD3F}"/>
              </c:ext>
            </c:extLst>
          </c:dPt>
          <c:dPt>
            <c:idx val="1"/>
            <c:invertIfNegative val="0"/>
            <c:bubble3D val="0"/>
            <c:extLst>
              <c:ext xmlns:c16="http://schemas.microsoft.com/office/drawing/2014/chart" uri="{C3380CC4-5D6E-409C-BE32-E72D297353CC}">
                <c16:uniqueId val="{00000001-ACB9-4EA1-8760-27E1EFDCAD3F}"/>
              </c:ext>
            </c:extLst>
          </c:dPt>
          <c:dPt>
            <c:idx val="2"/>
            <c:invertIfNegative val="0"/>
            <c:bubble3D val="0"/>
            <c:extLst>
              <c:ext xmlns:c16="http://schemas.microsoft.com/office/drawing/2014/chart" uri="{C3380CC4-5D6E-409C-BE32-E72D297353CC}">
                <c16:uniqueId val="{00000002-ACB9-4EA1-8760-27E1EFDCAD3F}"/>
              </c:ext>
            </c:extLst>
          </c:dPt>
          <c:dPt>
            <c:idx val="3"/>
            <c:invertIfNegative val="0"/>
            <c:bubble3D val="0"/>
            <c:extLst>
              <c:ext xmlns:c16="http://schemas.microsoft.com/office/drawing/2014/chart" uri="{C3380CC4-5D6E-409C-BE32-E72D297353CC}">
                <c16:uniqueId val="{00000003-ACB9-4EA1-8760-27E1EFDCAD3F}"/>
              </c:ext>
            </c:extLst>
          </c:dPt>
          <c:dPt>
            <c:idx val="4"/>
            <c:invertIfNegative val="0"/>
            <c:bubble3D val="0"/>
            <c:extLst>
              <c:ext xmlns:c16="http://schemas.microsoft.com/office/drawing/2014/chart" uri="{C3380CC4-5D6E-409C-BE32-E72D297353CC}">
                <c16:uniqueId val="{00000004-ACB9-4EA1-8760-27E1EFDCAD3F}"/>
              </c:ext>
            </c:extLst>
          </c:dPt>
          <c:dPt>
            <c:idx val="5"/>
            <c:invertIfNegative val="0"/>
            <c:bubble3D val="0"/>
            <c:extLst>
              <c:ext xmlns:c16="http://schemas.microsoft.com/office/drawing/2014/chart" uri="{C3380CC4-5D6E-409C-BE32-E72D297353CC}">
                <c16:uniqueId val="{00000005-ACB9-4EA1-8760-27E1EFDCAD3F}"/>
              </c:ext>
            </c:extLst>
          </c:dPt>
          <c:dPt>
            <c:idx val="6"/>
            <c:invertIfNegative val="0"/>
            <c:bubble3D val="0"/>
            <c:extLst>
              <c:ext xmlns:c16="http://schemas.microsoft.com/office/drawing/2014/chart" uri="{C3380CC4-5D6E-409C-BE32-E72D297353CC}">
                <c16:uniqueId val="{00000006-ACB9-4EA1-8760-27E1EFDCAD3F}"/>
              </c:ext>
            </c:extLst>
          </c:dPt>
          <c:dPt>
            <c:idx val="7"/>
            <c:invertIfNegative val="0"/>
            <c:bubble3D val="0"/>
            <c:extLst>
              <c:ext xmlns:c16="http://schemas.microsoft.com/office/drawing/2014/chart" uri="{C3380CC4-5D6E-409C-BE32-E72D297353CC}">
                <c16:uniqueId val="{00000007-ACB9-4EA1-8760-27E1EFDCAD3F}"/>
              </c:ext>
            </c:extLst>
          </c:dPt>
          <c:dPt>
            <c:idx val="8"/>
            <c:invertIfNegative val="0"/>
            <c:bubble3D val="0"/>
            <c:extLst>
              <c:ext xmlns:c16="http://schemas.microsoft.com/office/drawing/2014/chart" uri="{C3380CC4-5D6E-409C-BE32-E72D297353CC}">
                <c16:uniqueId val="{00000008-ACB9-4EA1-8760-27E1EFDCAD3F}"/>
              </c:ext>
            </c:extLst>
          </c:dPt>
          <c:dPt>
            <c:idx val="9"/>
            <c:invertIfNegative val="0"/>
            <c:bubble3D val="0"/>
            <c:extLst>
              <c:ext xmlns:c16="http://schemas.microsoft.com/office/drawing/2014/chart" uri="{C3380CC4-5D6E-409C-BE32-E72D297353CC}">
                <c16:uniqueId val="{00000009-ACB9-4EA1-8760-27E1EFDCAD3F}"/>
              </c:ext>
            </c:extLst>
          </c:dPt>
          <c:dPt>
            <c:idx val="10"/>
            <c:invertIfNegative val="0"/>
            <c:bubble3D val="0"/>
            <c:extLst>
              <c:ext xmlns:c16="http://schemas.microsoft.com/office/drawing/2014/chart" uri="{C3380CC4-5D6E-409C-BE32-E72D297353CC}">
                <c16:uniqueId val="{0000000A-ACB9-4EA1-8760-27E1EFDCAD3F}"/>
              </c:ext>
            </c:extLst>
          </c:dPt>
          <c:dPt>
            <c:idx val="11"/>
            <c:invertIfNegative val="0"/>
            <c:bubble3D val="0"/>
            <c:extLst>
              <c:ext xmlns:c16="http://schemas.microsoft.com/office/drawing/2014/chart" uri="{C3380CC4-5D6E-409C-BE32-E72D297353CC}">
                <c16:uniqueId val="{0000000B-ACB9-4EA1-8760-27E1EFDCAD3F}"/>
              </c:ext>
            </c:extLst>
          </c:dPt>
          <c:dPt>
            <c:idx val="12"/>
            <c:invertIfNegative val="0"/>
            <c:bubble3D val="0"/>
            <c:extLst>
              <c:ext xmlns:c16="http://schemas.microsoft.com/office/drawing/2014/chart" uri="{C3380CC4-5D6E-409C-BE32-E72D297353CC}">
                <c16:uniqueId val="{0000000C-ACB9-4EA1-8760-27E1EFDCAD3F}"/>
              </c:ext>
            </c:extLst>
          </c:dPt>
          <c:dPt>
            <c:idx val="13"/>
            <c:invertIfNegative val="0"/>
            <c:bubble3D val="0"/>
            <c:extLst>
              <c:ext xmlns:c16="http://schemas.microsoft.com/office/drawing/2014/chart" uri="{C3380CC4-5D6E-409C-BE32-E72D297353CC}">
                <c16:uniqueId val="{0000000D-ACB9-4EA1-8760-27E1EFDCAD3F}"/>
              </c:ext>
            </c:extLst>
          </c:dPt>
          <c:dPt>
            <c:idx val="14"/>
            <c:invertIfNegative val="0"/>
            <c:bubble3D val="0"/>
            <c:extLst>
              <c:ext xmlns:c16="http://schemas.microsoft.com/office/drawing/2014/chart" uri="{C3380CC4-5D6E-409C-BE32-E72D297353CC}">
                <c16:uniqueId val="{0000000E-ACB9-4EA1-8760-27E1EFDCAD3F}"/>
              </c:ext>
            </c:extLst>
          </c:dPt>
          <c:dLbls>
            <c:dLbl>
              <c:idx val="0"/>
              <c:layout>
                <c:manualLayout>
                  <c:x val="-8.3332079909562942E-2"/>
                  <c:y val="0"/>
                </c:manualLayout>
              </c:layout>
              <c:tx>
                <c:strRef>
                  <c:f>Stakeholder!$B$6</c:f>
                  <c:strCache>
                    <c:ptCount val="1"/>
                    <c:pt idx="0">
                      <c:v>s1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{60152415-28D4-499E-805C-36A82D0A1000}</c15:txfldGUID>
                      <c15:f>Stakeholder!$B$6</c15:f>
                      <c15:dlblFieldTableCache>
                        <c:ptCount val="1"/>
                        <c:pt idx="0">
                          <c:v>s1</c:v>
                        </c:pt>
                      </c15:dlblFieldTableCache>
                    </c15:dlblFTEntry>
                  </c15:dlblFieldTable>
                  <c15:showDataLabelsRange val="0"/>
                </c:ext>
                <c:ext xmlns:c16="http://schemas.microsoft.com/office/drawing/2014/chart" uri="{C3380CC4-5D6E-409C-BE32-E72D297353CC}">
                  <c16:uniqueId val="{00000000-ACB9-4EA1-8760-27E1EFDCAD3F}"/>
                </c:ext>
              </c:extLst>
            </c:dLbl>
            <c:dLbl>
              <c:idx val="1"/>
              <c:layout>
                <c:manualLayout>
                  <c:x val="-8.7114689466370729E-2"/>
                  <c:y val="0"/>
                </c:manualLayout>
              </c:layout>
              <c:tx>
                <c:strRef>
                  <c:f>Stakeholder!$B$7</c:f>
                  <c:strCache>
                    <c:ptCount val="1"/>
                    <c:pt idx="0">
                      <c:v>s2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{66287126-6BBC-44A6-A415-F71A02387CF5}</c15:txfldGUID>
                      <c15:f>Stakeholder!$B$7</c15:f>
                      <c15:dlblFieldTableCache>
                        <c:ptCount val="1"/>
                        <c:pt idx="0">
                          <c:v>s2</c:v>
                        </c:pt>
                      </c15:dlblFieldTableCache>
                    </c15:dlblFTEntry>
                  </c15:dlblFieldTable>
                  <c15:showDataLabelsRange val="0"/>
                </c:ext>
                <c:ext xmlns:c16="http://schemas.microsoft.com/office/drawing/2014/chart" uri="{C3380CC4-5D6E-409C-BE32-E72D297353CC}">
                  <c16:uniqueId val="{00000001-ACB9-4EA1-8760-27E1EFDCAD3F}"/>
                </c:ext>
              </c:extLst>
            </c:dLbl>
            <c:dLbl>
              <c:idx val="2"/>
              <c:layout>
                <c:manualLayout>
                  <c:x val="-0.1351955288959352"/>
                  <c:y val="-1.3698139364626174E-3"/>
                </c:manualLayout>
              </c:layout>
              <c:tx>
                <c:strRef>
                  <c:f>Stakeholder!$B$8</c:f>
                  <c:strCache>
                    <c:ptCount val="1"/>
                    <c:pt idx="0">
                      <c:v>s3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{F6D99108-B1E5-482A-87D8-4A87708F1E60}</c15:txfldGUID>
                      <c15:f>Stakeholder!$B$8</c15:f>
                      <c15:dlblFieldTableCache>
                        <c:ptCount val="1"/>
                        <c:pt idx="0">
                          <c:v>s3</c:v>
                        </c:pt>
                      </c15:dlblFieldTableCache>
                    </c15:dlblFTEntry>
                  </c15:dlblFieldTable>
                  <c15:showDataLabelsRange val="0"/>
                </c:ext>
                <c:ext xmlns:c16="http://schemas.microsoft.com/office/drawing/2014/chart" uri="{C3380CC4-5D6E-409C-BE32-E72D297353CC}">
                  <c16:uniqueId val="{00000002-ACB9-4EA1-8760-27E1EFDCAD3F}"/>
                </c:ext>
              </c:extLst>
            </c:dLbl>
            <c:dLbl>
              <c:idx val="3"/>
              <c:layout>
                <c:manualLayout>
                  <c:x val="-9.0939443846193138E-2"/>
                  <c:y val="-2.5517730165035011E-3"/>
                </c:manualLayout>
              </c:layout>
              <c:tx>
                <c:strRef>
                  <c:f>Stakeholder!$B$9</c:f>
                  <c:strCache>
                    <c:ptCount val="1"/>
                    <c:pt idx="0">
                      <c:v>s4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{E35557F4-51CA-492F-9B66-1FDDDCEE0CA9}</c15:txfldGUID>
                      <c15:f>Stakeholder!$B$9</c15:f>
                      <c15:dlblFieldTableCache>
                        <c:ptCount val="1"/>
                        <c:pt idx="0">
                          <c:v>s4</c:v>
                        </c:pt>
                      </c15:dlblFieldTableCache>
                    </c15:dlblFTEntry>
                  </c15:dlblFieldTable>
                  <c15:showDataLabelsRange val="0"/>
                </c:ext>
                <c:ext xmlns:c16="http://schemas.microsoft.com/office/drawing/2014/chart" uri="{C3380CC4-5D6E-409C-BE32-E72D297353CC}">
                  <c16:uniqueId val="{00000003-ACB9-4EA1-8760-27E1EFDCAD3F}"/>
                </c:ext>
              </c:extLst>
            </c:dLbl>
            <c:dLbl>
              <c:idx val="4"/>
              <c:layout>
                <c:manualLayout>
                  <c:x val="-8.5048997452099734E-2"/>
                  <c:y val="2.083226243603895E-3"/>
                </c:manualLayout>
              </c:layout>
              <c:tx>
                <c:strRef>
                  <c:f>Stakeholder!$B$10</c:f>
                  <c:strCache>
                    <c:ptCount val="1"/>
                    <c:pt idx="0">
                      <c:v>s5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{4793FDCF-4248-41F1-AC86-9B0CCAD9058A}</c15:txfldGUID>
                      <c15:f>Stakeholder!$B$10</c15:f>
                      <c15:dlblFieldTableCache>
                        <c:ptCount val="1"/>
                        <c:pt idx="0">
                          <c:v>s5</c:v>
                        </c:pt>
                      </c15:dlblFieldTableCache>
                    </c15:dlblFTEntry>
                  </c15:dlblFieldTable>
                  <c15:showDataLabelsRange val="0"/>
                </c:ext>
                <c:ext xmlns:c16="http://schemas.microsoft.com/office/drawing/2014/chart" uri="{C3380CC4-5D6E-409C-BE32-E72D297353CC}">
                  <c16:uniqueId val="{00000004-ACB9-4EA1-8760-27E1EFDCAD3F}"/>
                </c:ext>
              </c:extLst>
            </c:dLbl>
            <c:dLbl>
              <c:idx val="5"/>
              <c:layout>
                <c:manualLayout>
                  <c:x val="-8.6707239870015246E-2"/>
                  <c:y val="-1.0766606696418141E-3"/>
                </c:manualLayout>
              </c:layout>
              <c:tx>
                <c:strRef>
                  <c:f>Stakeholder!$B$11</c:f>
                  <c:strCache>
                    <c:ptCount val="1"/>
                    <c:pt idx="0">
                      <c:v>s6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{E6946B8B-D995-406F-A146-5E6323F12CFD}</c15:txfldGUID>
                      <c15:f>Stakeholder!$B$11</c15:f>
                      <c15:dlblFieldTableCache>
                        <c:ptCount val="1"/>
                        <c:pt idx="0">
                          <c:v>s6</c:v>
                        </c:pt>
                      </c15:dlblFieldTableCache>
                    </c15:dlblFTEntry>
                  </c15:dlblFieldTable>
                  <c15:showDataLabelsRange val="0"/>
                </c:ext>
                <c:ext xmlns:c16="http://schemas.microsoft.com/office/drawing/2014/chart" uri="{C3380CC4-5D6E-409C-BE32-E72D297353CC}">
                  <c16:uniqueId val="{00000005-ACB9-4EA1-8760-27E1EFDCAD3F}"/>
                </c:ext>
              </c:extLst>
            </c:dLbl>
            <c:dLbl>
              <c:idx val="6"/>
              <c:tx>
                <c:strRef>
                  <c:f>Stakeholder!$B$12</c:f>
                  <c:strCache>
                    <c:ptCount val="1"/>
                    <c:pt idx="0">
                      <c:v>s7</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{4881BF5C-59A8-417D-B5D0-8E26BDB99CB7}</c15:txfldGUID>
                      <c15:f>Stakeholder!$B$12</c15:f>
                      <c15:dlblFieldTableCache>
                        <c:ptCount val="1"/>
                        <c:pt idx="0">
                          <c:v>s7</c:v>
                        </c:pt>
                      </c15:dlblFieldTableCache>
                    </c15:dlblFTEntry>
                  </c15:dlblFieldTable>
                  <c15:showDataLabelsRange val="0"/>
                </c:ext>
                <c:ext xmlns:c16="http://schemas.microsoft.com/office/drawing/2014/chart" uri="{C3380CC4-5D6E-409C-BE32-E72D297353CC}">
                  <c16:uniqueId val="{00000006-ACB9-4EA1-8760-27E1EFDCAD3F}"/>
                </c:ext>
              </c:extLst>
            </c:dLbl>
            <c:dLbl>
              <c:idx val="7"/>
              <c:layout>
                <c:manualLayout>
                  <c:x val="-9.2260080915081755E-2"/>
                  <c:y val="-6.8713443460516992E-3"/>
                </c:manualLayout>
              </c:layout>
              <c:tx>
                <c:strRef>
                  <c:f>Stakeholder!$B$13</c:f>
                  <c:strCache>
                    <c:ptCount val="1"/>
                    <c:pt idx="0">
                      <c:v>s8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{D97325BE-F229-4BCF-8C2B-C21E7B546FA4}</c15:txfldGUID>
                      <c15:f>Stakeholder!$B$13</c15:f>
                      <c15:dlblFieldTableCache>
                        <c:ptCount val="1"/>
                        <c:pt idx="0">
                          <c:v>s8</c:v>
                        </c:pt>
                      </c15:dlblFieldTableCache>
                    </c15:dlblFTEntry>
                  </c15:dlblFieldTable>
                  <c15:showDataLabelsRange val="0"/>
                </c:ext>
                <c:ext xmlns:c16="http://schemas.microsoft.com/office/drawing/2014/chart" uri="{C3380CC4-5D6E-409C-BE32-E72D297353CC}">
                  <c16:uniqueId val="{00000007-ACB9-4EA1-8760-27E1EFDCAD3F}"/>
                </c:ext>
              </c:extLst>
            </c:dLbl>
            <c:dLbl>
              <c:idx val="8"/>
              <c:layout>
                <c:manualLayout>
                  <c:x val="-8.2850616260068441E-2"/>
                  <c:y val="2.9148656121248937E-3"/>
                </c:manualLayout>
              </c:layout>
              <c:tx>
                <c:strRef>
                  <c:f>Stakeholder!$B$14</c:f>
                  <c:strCache>
                    <c:ptCount val="1"/>
                    <c:pt idx="0">
                      <c:v>s9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{75B3432B-5005-43F7-BC21-951AE9DAB4A4}</c15:txfldGUID>
                      <c15:f>Stakeholder!$B$14</c15:f>
                      <c15:dlblFieldTableCache>
                        <c:ptCount val="1"/>
                        <c:pt idx="0">
                          <c:v>s9</c:v>
                        </c:pt>
                      </c15:dlblFieldTableCache>
                    </c15:dlblFTEntry>
                  </c15:dlblFieldTable>
                  <c15:showDataLabelsRange val="0"/>
                </c:ext>
                <c:ext xmlns:c16="http://schemas.microsoft.com/office/drawing/2014/chart" uri="{C3380CC4-5D6E-409C-BE32-E72D297353CC}">
                  <c16:uniqueId val="{00000008-ACB9-4EA1-8760-27E1EFDCAD3F}"/>
                </c:ext>
              </c:extLst>
            </c:dLbl>
            <c:dLbl>
              <c:idx val="9"/>
              <c:layout>
                <c:manualLayout>
                  <c:x val="-8.90816464359106E-2"/>
                  <c:y val="-3.9564787339268779E-3"/>
                </c:manualLayout>
              </c:layout>
              <c:tx>
                <c:strRef>
                  <c:f>Stakeholder!$B$15</c:f>
                  <c:strCache>
                    <c:ptCount val="1"/>
                    <c:pt idx="0">
                      <c:v>s10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{C25B3ED5-48AD-46AF-BD17-4F7A8AF0A1E8}</c15:txfldGUID>
                      <c15:f>Stakeholder!$B$15</c15:f>
                      <c15:dlblFieldTableCache>
                        <c:ptCount val="1"/>
                        <c:pt idx="0">
                          <c:v>s10</c:v>
                        </c:pt>
                      </c15:dlblFieldTableCache>
                    </c15:dlblFTEntry>
                  </c15:dlblFieldTable>
                  <c15:showDataLabelsRange val="0"/>
                </c:ext>
                <c:ext xmlns:c16="http://schemas.microsoft.com/office/drawing/2014/chart" uri="{C3380CC4-5D6E-409C-BE32-E72D297353CC}">
                  <c16:uniqueId val="{00000009-ACB9-4EA1-8760-27E1EFDCAD3F}"/>
                </c:ext>
              </c:extLst>
            </c:dLbl>
            <c:dLbl>
              <c:idx val="10"/>
              <c:layout>
                <c:manualLayout>
                  <c:x val="-9.5040150017699401E-2"/>
                  <c:y val="2.0132869148032691E-3"/>
                </c:manualLayout>
              </c:layout>
              <c:tx>
                <c:strRef>
                  <c:f>Stakeholder!$B$16</c:f>
                  <c:strCache>
                    <c:ptCount val="1"/>
                    <c:pt idx="0">
                      <c:v>s11</c:v>
                    </c:pt>
                  </c:strCache>
                </c:strRef>
              </c:tx>
              <c:numFmt formatCode="General" sourceLinked="0"/>
              <c:spPr>
                <a:ln>
                  <a:noFill/>
                </a:ln>
              </c:spPr>
              <c:txPr>
                <a:bodyPr rot="0"/>
                <a:lstStyle/>
                <a:p>
                  <a:pPr algn="ctr" rtl="0">
                    <a:defRPr/>
                  </a:pPr>
                  <a:endParaRPr lang="de-DE"/>
                </a:p>
              </c:txPr>
              <c:dLblPos val="r"/>
              <c:showLegendKey val="0"/>
              <c:showVal val="0"/>
              <c:showCatName val="0"/>
              <c:showSerName val="0"/>
              <c:showPercent val="0"/>
              <c:showBubbleSize val="1"/>
              <c:extLst>
                <c:ext xmlns:c15="http://schemas.microsoft.com/office/drawing/2012/chart" uri="{CE6537A1-D6FC-4f65-9D91-7224C49458BB}">
                  <c15:dlblFieldTable>
                    <c15:dlblFTEntry>
                      <c15:txfldGUID>{328933A0-66B4-4926-B8A4-494CAFE8A9C3}</c15:txfldGUID>
                      <c15:f>Stakeholder!$B$16</c15:f>
                      <c15:dlblFieldTableCache>
                        <c:ptCount val="1"/>
                        <c:pt idx="0">
                          <c:v>s11</c:v>
                        </c:pt>
                      </c15:dlblFieldTableCache>
                    </c15:dlblFTEntry>
                  </c15:dlblFieldTable>
                  <c15:showDataLabelsRange val="0"/>
                </c:ext>
                <c:ext xmlns:c16="http://schemas.microsoft.com/office/drawing/2014/chart" uri="{C3380CC4-5D6E-409C-BE32-E72D297353CC}">
                  <c16:uniqueId val="{0000000A-ACB9-4EA1-8760-27E1EFDCAD3F}"/>
                </c:ext>
              </c:extLst>
            </c:dLbl>
            <c:dLbl>
              <c:idx val="11"/>
              <c:layout>
                <c:manualLayout>
                  <c:x val="-9.0842198017823242E-2"/>
                  <c:y val="9.3662624516147313E-4"/>
                </c:manualLayout>
              </c:layout>
              <c:tx>
                <c:strRef>
                  <c:f>Stakeholder!$B$17</c:f>
                  <c:strCache>
                    <c:ptCount val="1"/>
                    <c:pt idx="0">
                      <c:v>s12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{5F1CF5D1-3326-4E4B-91E1-F27AE0896696}</c15:txfldGUID>
                      <c15:f>Stakeholder!$B$17</c15:f>
                      <c15:dlblFieldTableCache>
                        <c:ptCount val="1"/>
                        <c:pt idx="0">
                          <c:v>s12</c:v>
                        </c:pt>
                      </c15:dlblFieldTableCache>
                    </c15:dlblFTEntry>
                  </c15:dlblFieldTable>
                  <c15:showDataLabelsRange val="0"/>
                </c:ext>
                <c:ext xmlns:c16="http://schemas.microsoft.com/office/drawing/2014/chart" uri="{C3380CC4-5D6E-409C-BE32-E72D297353CC}">
                  <c16:uniqueId val="{0000000B-ACB9-4EA1-8760-27E1EFDCAD3F}"/>
                </c:ext>
              </c:extLst>
            </c:dLbl>
            <c:dLbl>
              <c:idx val="12"/>
              <c:layout>
                <c:manualLayout>
                  <c:x val="-8.8014771834927522E-2"/>
                  <c:y val="9.3662624516141881E-4"/>
                </c:manualLayout>
              </c:layout>
              <c:tx>
                <c:strRef>
                  <c:f>Stakeholder!$B$18</c:f>
                  <c:strCache>
                    <c:ptCount val="1"/>
                    <c:pt idx="0">
                      <c:v>s13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{079AE51C-920F-4F53-B7F0-F3FB5B5B7C8D}</c15:txfldGUID>
                      <c15:f>Stakeholder!$B$18</c15:f>
                      <c15:dlblFieldTableCache>
                        <c:ptCount val="1"/>
                        <c:pt idx="0">
                          <c:v>s13</c:v>
                        </c:pt>
                      </c15:dlblFieldTableCache>
                    </c15:dlblFTEntry>
                  </c15:dlblFieldTable>
                  <c15:showDataLabelsRange val="0"/>
                </c:ext>
                <c:ext xmlns:c16="http://schemas.microsoft.com/office/drawing/2014/chart" uri="{C3380CC4-5D6E-409C-BE32-E72D297353CC}">
                  <c16:uniqueId val="{0000000C-ACB9-4EA1-8760-27E1EFDCAD3F}"/>
                </c:ext>
              </c:extLst>
            </c:dLbl>
            <c:dLbl>
              <c:idx val="13"/>
              <c:layout>
                <c:manualLayout>
                  <c:x val="-9.5316399652655176E-2"/>
                  <c:y val="-3.8514918572863854E-3"/>
                </c:manualLayout>
              </c:layout>
              <c:tx>
                <c:strRef>
                  <c:f>Stakeholder!$B$19</c:f>
                  <c:strCache>
                    <c:ptCount val="1"/>
                    <c:pt idx="0">
                      <c:v>s14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{34879629-9C62-4CE3-B66F-9DE67FE8E597}</c15:txfldGUID>
                      <c15:f>Stakeholder!$B$19</c15:f>
                      <c15:dlblFieldTableCache>
                        <c:ptCount val="1"/>
                        <c:pt idx="0">
                          <c:v>s14</c:v>
                        </c:pt>
                      </c15:dlblFieldTableCache>
                    </c15:dlblFTEntry>
                  </c15:dlblFieldTable>
                  <c15:showDataLabelsRange val="0"/>
                </c:ext>
                <c:ext xmlns:c16="http://schemas.microsoft.com/office/drawing/2014/chart" uri="{C3380CC4-5D6E-409C-BE32-E72D297353CC}">
                  <c16:uniqueId val="{0000000D-ACB9-4EA1-8760-27E1EFDCAD3F}"/>
                </c:ext>
              </c:extLst>
            </c:dLbl>
            <c:dLbl>
              <c:idx val="14"/>
              <c:layout>
                <c:manualLayout>
                  <c:x val="-9.3075426872700748E-2"/>
                  <c:y val="1.9431918191234634E-3"/>
                </c:manualLayout>
              </c:layout>
              <c:tx>
                <c:strRef>
                  <c:f>Stakeholder!$B$20</c:f>
                  <c:strCache>
                    <c:ptCount val="1"/>
                    <c:pt idx="0">
                      <c:v>s15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{F1ABEA8E-0A92-4069-8F0E-4AB076D26057}</c15:txfldGUID>
                      <c15:f>Stakeholder!$B$20</c15:f>
                      <c15:dlblFieldTableCache>
                        <c:ptCount val="1"/>
                        <c:pt idx="0">
                          <c:v>s15</c:v>
                        </c:pt>
                      </c15:dlblFieldTableCache>
                    </c15:dlblFTEntry>
                  </c15:dlblFieldTable>
                  <c15:showDataLabelsRange val="0"/>
                </c:ext>
                <c:ext xmlns:c16="http://schemas.microsoft.com/office/drawing/2014/chart" uri="{C3380CC4-5D6E-409C-BE32-E72D297353CC}">
                  <c16:uniqueId val="{0000000E-ACB9-4EA1-8760-27E1EFDCAD3F}"/>
                </c:ext>
              </c:extLst>
            </c:dLbl>
            <c:dLbl>
              <c:idx val="15"/>
              <c:layout>
                <c:manualLayout>
                  <c:x val="-9.0672874117583457E-2"/>
                  <c:y val="-5.7337788266080981E-4"/>
                </c:manualLayout>
              </c:layout>
              <c:tx>
                <c:strRef>
                  <c:f>Stakeholder!$B$21</c:f>
                  <c:strCache>
                    <c:ptCount val="1"/>
                    <c:pt idx="0">
                      <c:v>s16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{BFD5EBE6-0EBC-462A-869D-24715AB642D1}</c15:txfldGUID>
                      <c15:f>Stakeholder!$B$21</c15:f>
                      <c15:dlblFieldTableCache>
                        <c:ptCount val="1"/>
                        <c:pt idx="0">
                          <c:v>s16</c:v>
                        </c:pt>
                      </c15:dlblFieldTableCache>
                    </c15:dlblFTEntry>
                  </c15:dlblFieldTable>
                  <c15:showDataLabelsRange val="0"/>
                </c:ext>
                <c:ext xmlns:c16="http://schemas.microsoft.com/office/drawing/2014/chart" uri="{C3380CC4-5D6E-409C-BE32-E72D297353CC}">
                  <c16:uniqueId val="{0000000F-ACB9-4EA1-8760-27E1EFDCAD3F}"/>
                </c:ext>
              </c:extLst>
            </c:dLbl>
            <c:dLbl>
              <c:idx val="16"/>
              <c:layout>
                <c:manualLayout>
                  <c:x val="-7.6518766136590033E-2"/>
                  <c:y val="-3.0198524887653862E-3"/>
                </c:manualLayout>
              </c:layout>
              <c:tx>
                <c:strRef>
                  <c:f>Stakeholder!$B$22</c:f>
                  <c:strCache>
                    <c:ptCount val="1"/>
                    <c:pt idx="0">
                      <c:v>s17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{B0F25D9B-1B47-46C0-9932-22B1AEF077D1}</c15:txfldGUID>
                      <c15:f>Stakeholder!$B$22</c15:f>
                      <c15:dlblFieldTableCache>
                        <c:ptCount val="1"/>
                        <c:pt idx="0">
                          <c:v>s17</c:v>
                        </c:pt>
                      </c15:dlblFieldTableCache>
                    </c15:dlblFTEntry>
                  </c15:dlblFieldTable>
                  <c15:showDataLabelsRange val="0"/>
                </c:ext>
                <c:ext xmlns:c16="http://schemas.microsoft.com/office/drawing/2014/chart" uri="{C3380CC4-5D6E-409C-BE32-E72D297353CC}">
                  <c16:uniqueId val="{00000010-ACB9-4EA1-8760-27E1EFDCAD3F}"/>
                </c:ext>
              </c:extLst>
            </c:dLbl>
            <c:dLbl>
              <c:idx val="17"/>
              <c:layout>
                <c:manualLayout>
                  <c:x val="-8.7108285836018512E-2"/>
                  <c:y val="-1.0416131218019113E-3"/>
                </c:manualLayout>
              </c:layout>
              <c:tx>
                <c:strRef>
                  <c:f>Stakeholder!$B$23</c:f>
                  <c:strCache>
                    <c:ptCount val="1"/>
                    <c:pt idx="0">
                      <c:v>s18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{DCE5A596-C616-4D27-8FF8-6CA02E71ABD4}</c15:txfldGUID>
                      <c15:f>Stakeholder!$B$23</c15:f>
                      <c15:dlblFieldTableCache>
                        <c:ptCount val="1"/>
                        <c:pt idx="0">
                          <c:v>s18</c:v>
                        </c:pt>
                      </c15:dlblFieldTableCache>
                    </c15:dlblFTEntry>
                  </c15:dlblFieldTable>
                  <c15:showDataLabelsRange val="0"/>
                </c:ext>
                <c:ext xmlns:c16="http://schemas.microsoft.com/office/drawing/2014/chart" uri="{C3380CC4-5D6E-409C-BE32-E72D297353CC}">
                  <c16:uniqueId val="{00000011-ACB9-4EA1-8760-27E1EFDCAD3F}"/>
                </c:ext>
              </c:extLst>
            </c:dLbl>
            <c:dLbl>
              <c:idx val="18"/>
              <c:layout>
                <c:manualLayout>
                  <c:x val="-9.1207800634435954E-2"/>
                  <c:y val="-1.9081442712836332E-3"/>
                </c:manualLayout>
              </c:layout>
              <c:tx>
                <c:strRef>
                  <c:f>Stakeholder!$B$24</c:f>
                  <c:strCache>
                    <c:ptCount val="1"/>
                    <c:pt idx="0">
                      <c:v>s19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{2C22A632-74B4-4FBF-A908-4E996DA22BF4}</c15:txfldGUID>
                      <c15:f>Stakeholder!$B$24</c15:f>
                      <c15:dlblFieldTableCache>
                        <c:ptCount val="1"/>
                        <c:pt idx="0">
                          <c:v>s19</c:v>
                        </c:pt>
                      </c15:dlblFieldTableCache>
                    </c15:dlblFTEntry>
                  </c15:dlblFieldTable>
                  <c15:showDataLabelsRange val="0"/>
                </c:ext>
                <c:ext xmlns:c16="http://schemas.microsoft.com/office/drawing/2014/chart" uri="{C3380CC4-5D6E-409C-BE32-E72D297353CC}">
                  <c16:uniqueId val="{00000012-ACB9-4EA1-8760-27E1EFDCAD3F}"/>
                </c:ext>
              </c:extLst>
            </c:dLbl>
            <c:dLbl>
              <c:idx val="19"/>
              <c:layout>
                <c:manualLayout>
                  <c:x val="-9.8837800659752631E-2"/>
                  <c:y val="-2.9148656121248937E-3"/>
                </c:manualLayout>
              </c:layout>
              <c:tx>
                <c:strRef>
                  <c:f>Stakeholder!$B$25</c:f>
                  <c:strCache>
                    <c:ptCount val="1"/>
                    <c:pt idx="0">
                      <c:v>s20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{8F663BBC-DB9F-45D6-A7B3-259278D343FD}</c15:txfldGUID>
                      <c15:f>Stakeholder!$B$25</c15:f>
                      <c15:dlblFieldTableCache>
                        <c:ptCount val="1"/>
                        <c:pt idx="0">
                          <c:v>s20</c:v>
                        </c:pt>
                      </c15:dlblFieldTableCache>
                    </c15:dlblFTEntry>
                  </c15:dlblFieldTable>
                  <c15:showDataLabelsRange val="0"/>
                </c:ext>
                <c:ext xmlns:c16="http://schemas.microsoft.com/office/drawing/2014/chart" uri="{C3380CC4-5D6E-409C-BE32-E72D297353CC}">
                  <c16:uniqueId val="{00000013-ACB9-4EA1-8760-27E1EFDCAD3F}"/>
                </c:ext>
              </c:extLst>
            </c:dLbl>
            <c:numFmt formatCode="General" sourceLinked="0"/>
            <c:spPr>
              <a:ln>
                <a:noFill/>
              </a:ln>
            </c:spPr>
            <c:txPr>
              <a:bodyPr rot="0"/>
              <a:lstStyle/>
              <a:p>
                <a:pPr>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Stakeholder!$D$6:$D$25</c:f>
              <c:numCache>
                <c:formatCode>0</c:formatCode>
                <c:ptCount val="20"/>
                <c:pt idx="0">
                  <c:v>3</c:v>
                </c:pt>
                <c:pt idx="1">
                  <c:v>8</c:v>
                </c:pt>
                <c:pt idx="2">
                  <c:v>7</c:v>
                </c:pt>
                <c:pt idx="3">
                  <c:v>1</c:v>
                </c:pt>
              </c:numCache>
            </c:numRef>
          </c:xVal>
          <c:yVal>
            <c:numRef>
              <c:f>Stakeholder!$E$6:$E$25</c:f>
              <c:numCache>
                <c:formatCode>0</c:formatCode>
                <c:ptCount val="20"/>
                <c:pt idx="0">
                  <c:v>7</c:v>
                </c:pt>
                <c:pt idx="1">
                  <c:v>9</c:v>
                </c:pt>
                <c:pt idx="2">
                  <c:v>5</c:v>
                </c:pt>
                <c:pt idx="3">
                  <c:v>2</c:v>
                </c:pt>
              </c:numCache>
            </c:numRef>
          </c:yVal>
          <c:bubbleSize>
            <c:numRef>
              <c:f>Stakeholder!$K$6:$K$25</c:f>
              <c:numCache>
                <c:formatCode>;;;</c:formatCode>
                <c:ptCount val="20"/>
                <c:pt idx="0">
                  <c:v>1</c:v>
                </c:pt>
                <c:pt idx="1">
                  <c:v>2</c:v>
                </c:pt>
                <c:pt idx="2">
                  <c:v>3</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ACB9-4EA1-8760-27E1EFDCAD3F}"/>
            </c:ext>
          </c:extLst>
        </c:ser>
        <c:dLbls>
          <c:showLegendKey val="0"/>
          <c:showVal val="0"/>
          <c:showCatName val="0"/>
          <c:showSerName val="0"/>
          <c:showPercent val="0"/>
          <c:showBubbleSize val="0"/>
        </c:dLbls>
        <c:bubbleScale val="100"/>
        <c:showNegBubbles val="0"/>
        <c:axId val="327817680"/>
        <c:axId val="327808976"/>
      </c:bubbleChart>
      <c:valAx>
        <c:axId val="327817680"/>
        <c:scaling>
          <c:orientation val="minMax"/>
          <c:max val="11"/>
          <c:min val="0"/>
        </c:scaling>
        <c:delete val="0"/>
        <c:axPos val="b"/>
        <c:numFmt formatCode="0" sourceLinked="1"/>
        <c:majorTickMark val="out"/>
        <c:minorTickMark val="none"/>
        <c:tickLblPos val="nextTo"/>
        <c:crossAx val="327808976"/>
        <c:crosses val="autoZero"/>
        <c:crossBetween val="midCat"/>
        <c:majorUnit val="1"/>
        <c:minorUnit val="0.1"/>
      </c:valAx>
      <c:valAx>
        <c:axId val="327808976"/>
        <c:scaling>
          <c:orientation val="minMax"/>
          <c:max val="11"/>
          <c:min val="0"/>
        </c:scaling>
        <c:delete val="0"/>
        <c:axPos val="l"/>
        <c:numFmt formatCode="0" sourceLinked="1"/>
        <c:majorTickMark val="out"/>
        <c:minorTickMark val="none"/>
        <c:tickLblPos val="nextTo"/>
        <c:crossAx val="327817680"/>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a:latin typeface="Calibri Light" panose="020F0302020204030204" pitchFamily="34" charset="0"/>
          <a:cs typeface="Calibri Light" panose="020F0302020204030204" pitchFamily="34" charset="0"/>
        </a:defRPr>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177533788736111"/>
          <c:y val="6.706331869916797E-2"/>
          <c:w val="0.66321615995778238"/>
          <c:h val="0.83258196002399598"/>
        </c:manualLayout>
      </c:layout>
      <c:radarChart>
        <c:radarStyle val="filled"/>
        <c:varyColors val="0"/>
        <c:ser>
          <c:idx val="0"/>
          <c:order val="0"/>
          <c:spPr>
            <a:solidFill>
              <a:schemeClr val="accent1">
                <a:alpha val="50000"/>
              </a:schemeClr>
            </a:solidFill>
            <a:ln w="19050"/>
          </c:spPr>
          <c:cat>
            <c:strRef>
              <c:f>'Swot-Analyse'!$P$52:$P$55</c:f>
              <c:strCache>
                <c:ptCount val="4"/>
                <c:pt idx="0">
                  <c:v>Strength</c:v>
                </c:pt>
                <c:pt idx="1">
                  <c:v>Threats</c:v>
                </c:pt>
                <c:pt idx="2">
                  <c:v>Weaknesses</c:v>
                </c:pt>
                <c:pt idx="3">
                  <c:v>Opportunities</c:v>
                </c:pt>
              </c:strCache>
            </c:strRef>
          </c:cat>
          <c:val>
            <c:numRef>
              <c:f>'Swot-Analyse'!$Q$52:$Q$55</c:f>
              <c:numCache>
                <c:formatCode>0</c:formatCode>
                <c:ptCount val="4"/>
                <c:pt idx="0">
                  <c:v>4</c:v>
                </c:pt>
                <c:pt idx="1">
                  <c:v>5</c:v>
                </c:pt>
                <c:pt idx="2">
                  <c:v>6</c:v>
                </c:pt>
                <c:pt idx="3">
                  <c:v>4</c:v>
                </c:pt>
              </c:numCache>
            </c:numRef>
          </c:val>
          <c:extLst>
            <c:ext xmlns:c16="http://schemas.microsoft.com/office/drawing/2014/chart" uri="{C3380CC4-5D6E-409C-BE32-E72D297353CC}">
              <c16:uniqueId val="{00000000-E407-4703-9CC6-980DB457996F}"/>
            </c:ext>
          </c:extLst>
        </c:ser>
        <c:ser>
          <c:idx val="1"/>
          <c:order val="1"/>
          <c:spPr>
            <a:solidFill>
              <a:schemeClr val="accent1">
                <a:lumMod val="40000"/>
                <a:lumOff val="60000"/>
                <a:alpha val="74000"/>
              </a:schemeClr>
            </a:solidFill>
            <a:ln w="25400">
              <a:noFill/>
            </a:ln>
          </c:spPr>
          <c:cat>
            <c:strRef>
              <c:f>'Swot-Analyse'!$P$52:$P$55</c:f>
              <c:strCache>
                <c:ptCount val="4"/>
                <c:pt idx="0">
                  <c:v>Strength</c:v>
                </c:pt>
                <c:pt idx="1">
                  <c:v>Threats</c:v>
                </c:pt>
                <c:pt idx="2">
                  <c:v>Weaknesses</c:v>
                </c:pt>
                <c:pt idx="3">
                  <c:v>Opportunities</c:v>
                </c:pt>
              </c:strCache>
            </c:strRef>
          </c:cat>
          <c:val>
            <c:numRef>
              <c:f>'Swot-Analyse'!$R$52:$R$55</c:f>
              <c:numCache>
                <c:formatCode>General</c:formatCode>
                <c:ptCount val="4"/>
              </c:numCache>
            </c:numRef>
          </c:val>
          <c:extLst>
            <c:ext xmlns:c16="http://schemas.microsoft.com/office/drawing/2014/chart" uri="{C3380CC4-5D6E-409C-BE32-E72D297353CC}">
              <c16:uniqueId val="{00000001-E407-4703-9CC6-980DB457996F}"/>
            </c:ext>
          </c:extLst>
        </c:ser>
        <c:dLbls>
          <c:showLegendKey val="0"/>
          <c:showVal val="0"/>
          <c:showCatName val="0"/>
          <c:showSerName val="0"/>
          <c:showPercent val="0"/>
          <c:showBubbleSize val="0"/>
        </c:dLbls>
        <c:axId val="351958976"/>
        <c:axId val="351959520"/>
      </c:radarChart>
      <c:catAx>
        <c:axId val="351958976"/>
        <c:scaling>
          <c:orientation val="minMax"/>
        </c:scaling>
        <c:delete val="0"/>
        <c:axPos val="b"/>
        <c:majorGridlines/>
        <c:numFmt formatCode="General" sourceLinked="1"/>
        <c:majorTickMark val="out"/>
        <c:minorTickMark val="none"/>
        <c:tickLblPos val="nextTo"/>
        <c:txPr>
          <a:bodyPr/>
          <a:lstStyle/>
          <a:p>
            <a:pPr>
              <a:defRPr sz="1400">
                <a:solidFill>
                  <a:schemeClr val="tx2"/>
                </a:solidFill>
              </a:defRPr>
            </a:pPr>
            <a:endParaRPr lang="de-DE"/>
          </a:p>
        </c:txPr>
        <c:crossAx val="351959520"/>
        <c:crosses val="autoZero"/>
        <c:auto val="1"/>
        <c:lblAlgn val="ctr"/>
        <c:lblOffset val="100"/>
        <c:noMultiLvlLbl val="0"/>
      </c:catAx>
      <c:valAx>
        <c:axId val="351959520"/>
        <c:scaling>
          <c:orientation val="minMax"/>
        </c:scaling>
        <c:delete val="0"/>
        <c:axPos val="l"/>
        <c:majorGridlines/>
        <c:numFmt formatCode="0" sourceLinked="1"/>
        <c:majorTickMark val="cross"/>
        <c:minorTickMark val="none"/>
        <c:tickLblPos val="nextTo"/>
        <c:txPr>
          <a:bodyPr/>
          <a:lstStyle/>
          <a:p>
            <a:pPr>
              <a:defRPr>
                <a:solidFill>
                  <a:schemeClr val="tx1">
                    <a:lumMod val="50000"/>
                    <a:lumOff val="50000"/>
                  </a:schemeClr>
                </a:solidFill>
              </a:defRPr>
            </a:pPr>
            <a:endParaRPr lang="de-DE"/>
          </a:p>
        </c:txPr>
        <c:crossAx val="351958976"/>
        <c:crosses val="autoZero"/>
        <c:crossBetween val="between"/>
      </c:valAx>
    </c:plotArea>
    <c:plotVisOnly val="1"/>
    <c:dispBlanksAs val="gap"/>
    <c:showDLblsOverMax val="0"/>
  </c:chart>
  <c:spPr>
    <a:noFill/>
    <a:ln>
      <a:noFill/>
    </a:ln>
  </c:spPr>
  <c:printSettings>
    <c:headerFooter/>
    <c:pageMargins b="0.78740157499999996" l="0.7" r="0.7" t="0.78740157499999996" header="0.3" footer="0.3"/>
    <c:pageSetup paperSize="9" orientation="landscape"/>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ln>
              <a:solidFill>
                <a:schemeClr val="tx2"/>
              </a:solidFill>
            </a:ln>
          </c:spPr>
          <c:invertIfNegative val="0"/>
          <c:dPt>
            <c:idx val="0"/>
            <c:invertIfNegative val="0"/>
            <c:bubble3D val="0"/>
            <c:spPr>
              <a:solidFill>
                <a:schemeClr val="bg2">
                  <a:lumMod val="90000"/>
                  <a:alpha val="50000"/>
                </a:schemeClr>
              </a:solidFill>
              <a:ln>
                <a:solidFill>
                  <a:schemeClr val="bg2">
                    <a:lumMod val="25000"/>
                    <a:alpha val="50000"/>
                  </a:schemeClr>
                </a:solidFill>
              </a:ln>
            </c:spPr>
            <c:extLst>
              <c:ext xmlns:c16="http://schemas.microsoft.com/office/drawing/2014/chart" uri="{C3380CC4-5D6E-409C-BE32-E72D297353CC}">
                <c16:uniqueId val="{00000001-9263-423A-B8E1-F6217E410195}"/>
              </c:ext>
            </c:extLst>
          </c:dPt>
          <c:dPt>
            <c:idx val="1"/>
            <c:invertIfNegative val="0"/>
            <c:bubble3D val="0"/>
            <c:spPr>
              <a:solidFill>
                <a:schemeClr val="bg2">
                  <a:lumMod val="75000"/>
                  <a:alpha val="50000"/>
                </a:schemeClr>
              </a:solidFill>
              <a:ln>
                <a:solidFill>
                  <a:schemeClr val="bg2">
                    <a:lumMod val="25000"/>
                  </a:schemeClr>
                </a:solidFill>
              </a:ln>
            </c:spPr>
            <c:extLst>
              <c:ext xmlns:c16="http://schemas.microsoft.com/office/drawing/2014/chart" uri="{C3380CC4-5D6E-409C-BE32-E72D297353CC}">
                <c16:uniqueId val="{00000003-9263-423A-B8E1-F6217E410195}"/>
              </c:ext>
            </c:extLst>
          </c:dPt>
          <c:dPt>
            <c:idx val="2"/>
            <c:invertIfNegative val="0"/>
            <c:bubble3D val="0"/>
            <c:spPr>
              <a:solidFill>
                <a:schemeClr val="bg1">
                  <a:lumMod val="95000"/>
                  <a:alpha val="50000"/>
                </a:schemeClr>
              </a:solidFill>
              <a:ln>
                <a:solidFill>
                  <a:schemeClr val="bg1">
                    <a:lumMod val="65000"/>
                  </a:schemeClr>
                </a:solidFill>
              </a:ln>
            </c:spPr>
            <c:extLst>
              <c:ext xmlns:c16="http://schemas.microsoft.com/office/drawing/2014/chart" uri="{C3380CC4-5D6E-409C-BE32-E72D297353CC}">
                <c16:uniqueId val="{00000005-9263-423A-B8E1-F6217E410195}"/>
              </c:ext>
            </c:extLst>
          </c:dPt>
          <c:dPt>
            <c:idx val="3"/>
            <c:invertIfNegative val="0"/>
            <c:bubble3D val="0"/>
            <c:spPr>
              <a:solidFill>
                <a:schemeClr val="bg1">
                  <a:lumMod val="85000"/>
                  <a:alpha val="50000"/>
                </a:schemeClr>
              </a:solidFill>
              <a:ln>
                <a:solidFill>
                  <a:schemeClr val="bg1">
                    <a:lumMod val="65000"/>
                  </a:schemeClr>
                </a:solidFill>
              </a:ln>
            </c:spPr>
            <c:extLst>
              <c:ext xmlns:c16="http://schemas.microsoft.com/office/drawing/2014/chart" uri="{C3380CC4-5D6E-409C-BE32-E72D297353CC}">
                <c16:uniqueId val="{00000007-9263-423A-B8E1-F6217E410195}"/>
              </c:ext>
            </c:extLst>
          </c:dPt>
          <c:dPt>
            <c:idx val="4"/>
            <c:invertIfNegative val="0"/>
            <c:bubble3D val="0"/>
            <c:spPr>
              <a:solidFill>
                <a:schemeClr val="tx2">
                  <a:lumMod val="20000"/>
                  <a:lumOff val="80000"/>
                  <a:alpha val="50000"/>
                </a:schemeClr>
              </a:solidFill>
              <a:ln>
                <a:solidFill>
                  <a:schemeClr val="tx2">
                    <a:lumMod val="60000"/>
                    <a:lumOff val="40000"/>
                  </a:schemeClr>
                </a:solidFill>
              </a:ln>
            </c:spPr>
            <c:extLst>
              <c:ext xmlns:c16="http://schemas.microsoft.com/office/drawing/2014/chart" uri="{C3380CC4-5D6E-409C-BE32-E72D297353CC}">
                <c16:uniqueId val="{00000009-9263-423A-B8E1-F6217E410195}"/>
              </c:ext>
            </c:extLst>
          </c:dPt>
          <c:dPt>
            <c:idx val="5"/>
            <c:invertIfNegative val="0"/>
            <c:bubble3D val="0"/>
            <c:spPr>
              <a:solidFill>
                <a:schemeClr val="tx2">
                  <a:lumMod val="40000"/>
                  <a:lumOff val="60000"/>
                  <a:alpha val="50000"/>
                </a:schemeClr>
              </a:solidFill>
              <a:ln>
                <a:solidFill>
                  <a:schemeClr val="accent4">
                    <a:lumMod val="75000"/>
                    <a:alpha val="50000"/>
                  </a:schemeClr>
                </a:solidFill>
              </a:ln>
            </c:spPr>
            <c:extLst>
              <c:ext xmlns:c16="http://schemas.microsoft.com/office/drawing/2014/chart" uri="{C3380CC4-5D6E-409C-BE32-E72D297353CC}">
                <c16:uniqueId val="{0000000B-9263-423A-B8E1-F6217E410195}"/>
              </c:ext>
            </c:extLst>
          </c:dPt>
          <c:dPt>
            <c:idx val="6"/>
            <c:invertIfNegative val="0"/>
            <c:bubble3D val="0"/>
            <c:spPr>
              <a:solidFill>
                <a:schemeClr val="accent2">
                  <a:lumMod val="20000"/>
                  <a:lumOff val="80000"/>
                  <a:alpha val="50000"/>
                </a:schemeClr>
              </a:solidFill>
              <a:ln>
                <a:solidFill>
                  <a:schemeClr val="accent2">
                    <a:lumMod val="75000"/>
                    <a:alpha val="50000"/>
                  </a:schemeClr>
                </a:solidFill>
              </a:ln>
            </c:spPr>
            <c:extLst>
              <c:ext xmlns:c16="http://schemas.microsoft.com/office/drawing/2014/chart" uri="{C3380CC4-5D6E-409C-BE32-E72D297353CC}">
                <c16:uniqueId val="{0000000D-9263-423A-B8E1-F6217E410195}"/>
              </c:ext>
            </c:extLst>
          </c:dPt>
          <c:dPt>
            <c:idx val="7"/>
            <c:invertIfNegative val="0"/>
            <c:bubble3D val="0"/>
            <c:spPr>
              <a:solidFill>
                <a:schemeClr val="accent2">
                  <a:lumMod val="40000"/>
                  <a:lumOff val="60000"/>
                  <a:alpha val="50000"/>
                </a:schemeClr>
              </a:solidFill>
              <a:ln>
                <a:solidFill>
                  <a:schemeClr val="accent2">
                    <a:lumMod val="75000"/>
                  </a:schemeClr>
                </a:solidFill>
              </a:ln>
            </c:spPr>
            <c:extLst>
              <c:ext xmlns:c16="http://schemas.microsoft.com/office/drawing/2014/chart" uri="{C3380CC4-5D6E-409C-BE32-E72D297353CC}">
                <c16:uniqueId val="{0000000F-9263-423A-B8E1-F6217E410195}"/>
              </c:ext>
            </c:extLst>
          </c:dPt>
          <c:dPt>
            <c:idx val="8"/>
            <c:invertIfNegative val="0"/>
            <c:bubble3D val="0"/>
            <c:spPr>
              <a:solidFill>
                <a:schemeClr val="accent3">
                  <a:lumMod val="20000"/>
                  <a:lumOff val="80000"/>
                  <a:alpha val="50000"/>
                </a:schemeClr>
              </a:solidFill>
              <a:ln>
                <a:solidFill>
                  <a:schemeClr val="accent3">
                    <a:lumMod val="50000"/>
                  </a:schemeClr>
                </a:solidFill>
              </a:ln>
            </c:spPr>
            <c:extLst>
              <c:ext xmlns:c16="http://schemas.microsoft.com/office/drawing/2014/chart" uri="{C3380CC4-5D6E-409C-BE32-E72D297353CC}">
                <c16:uniqueId val="{00000011-9263-423A-B8E1-F6217E410195}"/>
              </c:ext>
            </c:extLst>
          </c:dPt>
          <c:dPt>
            <c:idx val="9"/>
            <c:invertIfNegative val="0"/>
            <c:bubble3D val="0"/>
            <c:spPr>
              <a:solidFill>
                <a:schemeClr val="accent3">
                  <a:lumMod val="40000"/>
                  <a:lumOff val="60000"/>
                  <a:alpha val="50000"/>
                </a:schemeClr>
              </a:solidFill>
              <a:ln>
                <a:solidFill>
                  <a:schemeClr val="accent3">
                    <a:lumMod val="50000"/>
                    <a:alpha val="50000"/>
                  </a:schemeClr>
                </a:solidFill>
              </a:ln>
            </c:spPr>
            <c:extLst>
              <c:ext xmlns:c16="http://schemas.microsoft.com/office/drawing/2014/chart" uri="{C3380CC4-5D6E-409C-BE32-E72D297353CC}">
                <c16:uniqueId val="{00000013-9263-423A-B8E1-F6217E410195}"/>
              </c:ext>
            </c:extLst>
          </c:dPt>
          <c:dPt>
            <c:idx val="10"/>
            <c:invertIfNegative val="0"/>
            <c:bubble3D val="0"/>
            <c:spPr>
              <a:solidFill>
                <a:schemeClr val="accent4">
                  <a:lumMod val="20000"/>
                  <a:lumOff val="80000"/>
                  <a:alpha val="50000"/>
                </a:schemeClr>
              </a:solidFill>
              <a:ln>
                <a:solidFill>
                  <a:schemeClr val="accent4">
                    <a:lumMod val="75000"/>
                  </a:schemeClr>
                </a:solidFill>
              </a:ln>
            </c:spPr>
            <c:extLst>
              <c:ext xmlns:c16="http://schemas.microsoft.com/office/drawing/2014/chart" uri="{C3380CC4-5D6E-409C-BE32-E72D297353CC}">
                <c16:uniqueId val="{00000015-9263-423A-B8E1-F6217E410195}"/>
              </c:ext>
            </c:extLst>
          </c:dPt>
          <c:dPt>
            <c:idx val="11"/>
            <c:invertIfNegative val="0"/>
            <c:bubble3D val="0"/>
            <c:spPr>
              <a:solidFill>
                <a:schemeClr val="accent4">
                  <a:lumMod val="40000"/>
                  <a:lumOff val="60000"/>
                  <a:alpha val="50000"/>
                </a:schemeClr>
              </a:solidFill>
              <a:ln>
                <a:solidFill>
                  <a:schemeClr val="accent4">
                    <a:lumMod val="75000"/>
                  </a:schemeClr>
                </a:solidFill>
              </a:ln>
            </c:spPr>
            <c:extLst>
              <c:ext xmlns:c16="http://schemas.microsoft.com/office/drawing/2014/chart" uri="{C3380CC4-5D6E-409C-BE32-E72D297353CC}">
                <c16:uniqueId val="{00000017-9263-423A-B8E1-F6217E410195}"/>
              </c:ext>
            </c:extLst>
          </c:dPt>
          <c:dPt>
            <c:idx val="12"/>
            <c:invertIfNegative val="0"/>
            <c:bubble3D val="0"/>
            <c:spPr>
              <a:solidFill>
                <a:schemeClr val="accent5">
                  <a:lumMod val="20000"/>
                  <a:lumOff val="80000"/>
                  <a:alpha val="50000"/>
                </a:schemeClr>
              </a:solidFill>
              <a:ln>
                <a:solidFill>
                  <a:schemeClr val="accent5">
                    <a:lumMod val="75000"/>
                  </a:schemeClr>
                </a:solidFill>
              </a:ln>
            </c:spPr>
            <c:extLst>
              <c:ext xmlns:c16="http://schemas.microsoft.com/office/drawing/2014/chart" uri="{C3380CC4-5D6E-409C-BE32-E72D297353CC}">
                <c16:uniqueId val="{00000019-9263-423A-B8E1-F6217E410195}"/>
              </c:ext>
            </c:extLst>
          </c:dPt>
          <c:dPt>
            <c:idx val="13"/>
            <c:invertIfNegative val="0"/>
            <c:bubble3D val="0"/>
            <c:spPr>
              <a:solidFill>
                <a:schemeClr val="accent5">
                  <a:lumMod val="60000"/>
                  <a:lumOff val="40000"/>
                  <a:alpha val="50000"/>
                </a:schemeClr>
              </a:solidFill>
              <a:ln>
                <a:solidFill>
                  <a:schemeClr val="accent5">
                    <a:lumMod val="75000"/>
                  </a:schemeClr>
                </a:solidFill>
              </a:ln>
            </c:spPr>
            <c:extLst>
              <c:ext xmlns:c16="http://schemas.microsoft.com/office/drawing/2014/chart" uri="{C3380CC4-5D6E-409C-BE32-E72D297353CC}">
                <c16:uniqueId val="{0000001B-9263-423A-B8E1-F6217E410195}"/>
              </c:ext>
            </c:extLst>
          </c:dPt>
          <c:dPt>
            <c:idx val="14"/>
            <c:invertIfNegative val="0"/>
            <c:bubble3D val="0"/>
            <c:spPr>
              <a:solidFill>
                <a:schemeClr val="accent6">
                  <a:lumMod val="40000"/>
                  <a:lumOff val="60000"/>
                  <a:alpha val="50000"/>
                </a:schemeClr>
              </a:solidFill>
              <a:ln>
                <a:solidFill>
                  <a:schemeClr val="accent6">
                    <a:lumMod val="75000"/>
                  </a:schemeClr>
                </a:solidFill>
              </a:ln>
            </c:spPr>
            <c:extLst>
              <c:ext xmlns:c16="http://schemas.microsoft.com/office/drawing/2014/chart" uri="{C3380CC4-5D6E-409C-BE32-E72D297353CC}">
                <c16:uniqueId val="{0000001D-9263-423A-B8E1-F6217E410195}"/>
              </c:ext>
            </c:extLst>
          </c:dPt>
          <c:dLbls>
            <c:dLbl>
              <c:idx val="0"/>
              <c:layout>
                <c:manualLayout>
                  <c:x val="-8.3307290698941008E-2"/>
                  <c:y val="-8.8741018247284337E-3"/>
                </c:manualLayout>
              </c:layout>
              <c:tx>
                <c:strRef>
                  <c:f>Risikomgmt!$B$5</c:f>
                  <c:strCache>
                    <c:ptCount val="1"/>
                    <c:pt idx="0">
                      <c:v>R1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{80F1A082-0F99-4EE7-AAB2-CE5494911510}</c15:txfldGUID>
                      <c15:f>Risikomgmt!$B$5</c15:f>
                      <c15:dlblFieldTableCache>
                        <c:ptCount val="1"/>
                        <c:pt idx="0">
                          <c:v>R1</c:v>
                        </c:pt>
                      </c15:dlblFieldTableCache>
                    </c15:dlblFTEntry>
                  </c15:dlblFieldTable>
                  <c15:showDataLabelsRange val="0"/>
                </c:ext>
                <c:ext xmlns:c16="http://schemas.microsoft.com/office/drawing/2014/chart" uri="{C3380CC4-5D6E-409C-BE32-E72D297353CC}">
                  <c16:uniqueId val="{00000001-9263-423A-B8E1-F6217E410195}"/>
                </c:ext>
              </c:extLst>
            </c:dLbl>
            <c:dLbl>
              <c:idx val="1"/>
              <c:layout>
                <c:manualLayout>
                  <c:x val="-9.1420880098717461E-2"/>
                  <c:y val="-6.65557636854634E-3"/>
                </c:manualLayout>
              </c:layout>
              <c:tx>
                <c:strRef>
                  <c:f>Risikomgmt!$B$6</c:f>
                  <c:strCache>
                    <c:ptCount val="1"/>
                    <c:pt idx="0">
                      <c:v>R2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{843ECF77-4EEE-488D-B81E-1CC9A0C47B12}</c15:txfldGUID>
                      <c15:f>Risikomgmt!$B$6</c15:f>
                      <c15:dlblFieldTableCache>
                        <c:ptCount val="1"/>
                        <c:pt idx="0">
                          <c:v>R2</c:v>
                        </c:pt>
                      </c15:dlblFieldTableCache>
                    </c15:dlblFTEntry>
                  </c15:dlblFieldTable>
                  <c15:showDataLabelsRange val="0"/>
                </c:ext>
                <c:ext xmlns:c16="http://schemas.microsoft.com/office/drawing/2014/chart" uri="{C3380CC4-5D6E-409C-BE32-E72D297353CC}">
                  <c16:uniqueId val="{00000003-9263-423A-B8E1-F6217E410195}"/>
                </c:ext>
              </c:extLst>
            </c:dLbl>
            <c:dLbl>
              <c:idx val="2"/>
              <c:layout>
                <c:manualLayout>
                  <c:x val="-8.7364085398829242E-2"/>
                  <c:y val="1.331115273709268E-2"/>
                </c:manualLayout>
              </c:layout>
              <c:tx>
                <c:strRef>
                  <c:f>Risikomgmt!$B$7</c:f>
                  <c:strCache>
                    <c:ptCount val="1"/>
                    <c:pt idx="0">
                      <c:v>R3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{58BC209C-DD56-415E-AE1C-33A65AAFC163}</c15:txfldGUID>
                      <c15:f>Risikomgmt!$B$7</c15:f>
                      <c15:dlblFieldTableCache>
                        <c:ptCount val="1"/>
                        <c:pt idx="0">
                          <c:v>R3</c:v>
                        </c:pt>
                      </c15:dlblFieldTableCache>
                    </c15:dlblFTEntry>
                  </c15:dlblFieldTable>
                  <c15:showDataLabelsRange val="0"/>
                </c:ext>
                <c:ext xmlns:c16="http://schemas.microsoft.com/office/drawing/2014/chart" uri="{C3380CC4-5D6E-409C-BE32-E72D297353CC}">
                  <c16:uniqueId val="{00000005-9263-423A-B8E1-F6217E410195}"/>
                </c:ext>
              </c:extLst>
            </c:dLbl>
            <c:dLbl>
              <c:idx val="3"/>
              <c:tx>
                <c:strRef>
                  <c:f>Risikomgmt!$B$8</c:f>
                  <c:strCache>
                    <c:ptCount val="1"/>
                    <c:pt idx="0">
                      <c:v>R4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{E6A4415A-D0B9-4C04-A222-FCF1E0C33CB7}</c15:txfldGUID>
                      <c15:f>Risikomgmt!$B$8</c15:f>
                      <c15:dlblFieldTableCache>
                        <c:ptCount val="1"/>
                        <c:pt idx="0">
                          <c:v>R4</c:v>
                        </c:pt>
                      </c15:dlblFieldTableCache>
                    </c15:dlblFTEntry>
                  </c15:dlblFieldTable>
                  <c15:showDataLabelsRange val="0"/>
                </c:ext>
                <c:ext xmlns:c16="http://schemas.microsoft.com/office/drawing/2014/chart" uri="{C3380CC4-5D6E-409C-BE32-E72D297353CC}">
                  <c16:uniqueId val="{00000007-9263-423A-B8E1-F6217E410195}"/>
                </c:ext>
              </c:extLst>
            </c:dLbl>
            <c:dLbl>
              <c:idx val="4"/>
              <c:layout>
                <c:manualLayout>
                  <c:x val="-6.2355064088305663E-2"/>
                  <c:y val="1.1092627280910566E-2"/>
                </c:manualLayout>
              </c:layout>
              <c:tx>
                <c:strRef>
                  <c:f>Risikomgmt!$B$9</c:f>
                  <c:strCache>
                    <c:ptCount val="1"/>
                    <c:pt idx="0">
                      <c:v>R5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{F7ABBFFA-917E-4C51-9CE3-909DE314FB46}</c15:txfldGUID>
                      <c15:f>Risikomgmt!$B$9</c15:f>
                      <c15:dlblFieldTableCache>
                        <c:ptCount val="1"/>
                        <c:pt idx="0">
                          <c:v>R5</c:v>
                        </c:pt>
                      </c15:dlblFieldTableCache>
                    </c15:dlblFTEntry>
                  </c15:dlblFieldTable>
                  <c15:showDataLabelsRange val="0"/>
                </c:ext>
                <c:ext xmlns:c16="http://schemas.microsoft.com/office/drawing/2014/chart" uri="{C3380CC4-5D6E-409C-BE32-E72D297353CC}">
                  <c16:uniqueId val="{00000009-9263-423A-B8E1-F6217E410195}"/>
                </c:ext>
              </c:extLst>
            </c:dLbl>
            <c:dLbl>
              <c:idx val="5"/>
              <c:layout>
                <c:manualLayout>
                  <c:x val="-8.1955025798978162E-2"/>
                  <c:y val="8.8741018247284528E-3"/>
                </c:manualLayout>
              </c:layout>
              <c:tx>
                <c:strRef>
                  <c:f>Risikomgmt!$B$10</c:f>
                  <c:strCache>
                    <c:ptCount val="1"/>
                    <c:pt idx="0">
                      <c:v>R6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{C0779164-2359-4EA1-A86C-A64B1505F9D1}</c15:txfldGUID>
                      <c15:f>Risikomgmt!$B$10</c15:f>
                      <c15:dlblFieldTableCache>
                        <c:ptCount val="1"/>
                        <c:pt idx="0">
                          <c:v>R6</c:v>
                        </c:pt>
                      </c15:dlblFieldTableCache>
                    </c15:dlblFTEntry>
                  </c15:dlblFieldTable>
                  <c15:showDataLabelsRange val="0"/>
                </c:ext>
                <c:ext xmlns:c16="http://schemas.microsoft.com/office/drawing/2014/chart" uri="{C3380CC4-5D6E-409C-BE32-E72D297353CC}">
                  <c16:uniqueId val="{0000000B-9263-423A-B8E1-F6217E410195}"/>
                </c:ext>
              </c:extLst>
            </c:dLbl>
            <c:dLbl>
              <c:idx val="6"/>
              <c:layout>
                <c:manualLayout>
                  <c:x val="-6.663088311096739E-2"/>
                  <c:y val="0"/>
                </c:manualLayout>
              </c:layout>
              <c:tx>
                <c:strRef>
                  <c:f>Risikomgmt!$B$11</c:f>
                  <c:strCache>
                    <c:ptCount val="1"/>
                    <c:pt idx="0">
                      <c:v>R7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{6BDC3999-8BD5-4449-ADE1-A8AEF878B3E1}</c15:txfldGUID>
                      <c15:f>Risikomgmt!$B$11</c15:f>
                      <c15:dlblFieldTableCache>
                        <c:ptCount val="1"/>
                        <c:pt idx="0">
                          <c:v>R7</c:v>
                        </c:pt>
                      </c15:dlblFieldTableCache>
                    </c15:dlblFTEntry>
                  </c15:dlblFieldTable>
                  <c15:showDataLabelsRange val="0"/>
                </c:ext>
                <c:ext xmlns:c16="http://schemas.microsoft.com/office/drawing/2014/chart" uri="{C3380CC4-5D6E-409C-BE32-E72D297353CC}">
                  <c16:uniqueId val="{0000000D-9263-423A-B8E1-F6217E410195}"/>
                </c:ext>
              </c:extLst>
            </c:dLbl>
            <c:dLbl>
              <c:idx val="7"/>
              <c:layout>
                <c:manualLayout>
                  <c:x val="-7.4744472510743856E-2"/>
                  <c:y val="8.8741018247284528E-3"/>
                </c:manualLayout>
              </c:layout>
              <c:tx>
                <c:strRef>
                  <c:f>Risikomgmt!$B$12</c:f>
                  <c:strCache>
                    <c:ptCount val="1"/>
                    <c:pt idx="0">
                      <c:v>R8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{E896DDC7-994D-46B4-861A-E5218B81C822}</c15:txfldGUID>
                      <c15:f>Risikomgmt!$B$12</c15:f>
                      <c15:dlblFieldTableCache>
                        <c:ptCount val="1"/>
                        <c:pt idx="0">
                          <c:v>R8</c:v>
                        </c:pt>
                      </c15:dlblFieldTableCache>
                    </c15:dlblFTEntry>
                  </c15:dlblFieldTable>
                  <c15:showDataLabelsRange val="0"/>
                </c:ext>
                <c:ext xmlns:c16="http://schemas.microsoft.com/office/drawing/2014/chart" uri="{C3380CC4-5D6E-409C-BE32-E72D297353CC}">
                  <c16:uniqueId val="{0000000F-9263-423A-B8E1-F6217E410195}"/>
                </c:ext>
              </c:extLst>
            </c:dLbl>
            <c:dLbl>
              <c:idx val="8"/>
              <c:layout>
                <c:manualLayout>
                  <c:x val="-7.744900231066934E-2"/>
                  <c:y val="-1.331115273709268E-2"/>
                </c:manualLayout>
              </c:layout>
              <c:tx>
                <c:strRef>
                  <c:f>Risikomgmt!$B$13</c:f>
                  <c:strCache>
                    <c:ptCount val="1"/>
                    <c:pt idx="0">
                      <c:v>R9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{0103D8E4-E3BD-4317-832B-E53FC9615BFA}</c15:txfldGUID>
                      <c15:f>Risikomgmt!$B$13</c15:f>
                      <c15:dlblFieldTableCache>
                        <c:ptCount val="1"/>
                        <c:pt idx="0">
                          <c:v>R9</c:v>
                        </c:pt>
                      </c15:dlblFieldTableCache>
                    </c15:dlblFTEntry>
                  </c15:dlblFieldTable>
                  <c15:showDataLabelsRange val="0"/>
                </c:ext>
                <c:ext xmlns:c16="http://schemas.microsoft.com/office/drawing/2014/chart" uri="{C3380CC4-5D6E-409C-BE32-E72D297353CC}">
                  <c16:uniqueId val="{00000011-9263-423A-B8E1-F6217E410195}"/>
                </c:ext>
              </c:extLst>
            </c:dLbl>
            <c:dLbl>
              <c:idx val="9"/>
              <c:layout>
                <c:manualLayout>
                  <c:x val="-6.1726314148598582E-2"/>
                  <c:y val="-1.1092627280910566E-2"/>
                </c:manualLayout>
              </c:layout>
              <c:tx>
                <c:strRef>
                  <c:f>Risikomgmt!$B$14</c:f>
                  <c:strCache>
                    <c:ptCount val="1"/>
                    <c:pt idx="0">
                      <c:v>R10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{B036EC0E-4873-49B4-9C7D-1AAF02C2F949}</c15:txfldGUID>
                      <c15:f>Risikomgmt!$B$14</c15:f>
                      <c15:dlblFieldTableCache>
                        <c:ptCount val="1"/>
                        <c:pt idx="0">
                          <c:v>R10</c:v>
                        </c:pt>
                      </c15:dlblFieldTableCache>
                    </c15:dlblFTEntry>
                  </c15:dlblFieldTable>
                  <c15:showDataLabelsRange val="0"/>
                </c:ext>
                <c:ext xmlns:c16="http://schemas.microsoft.com/office/drawing/2014/chart" uri="{C3380CC4-5D6E-409C-BE32-E72D297353CC}">
                  <c16:uniqueId val="{00000013-9263-423A-B8E1-F6217E410195}"/>
                </c:ext>
              </c:extLst>
            </c:dLbl>
            <c:dLbl>
              <c:idx val="10"/>
              <c:tx>
                <c:strRef>
                  <c:f>Risikomgmt!$B$15</c:f>
                  <c:strCache>
                    <c:ptCount val="1"/>
                    <c:pt idx="0">
                      <c:v>R11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{B3ACE237-DBC8-44B2-B569-1DB441D86E08}</c15:txfldGUID>
                      <c15:f>Risikomgmt!$B$15</c15:f>
                      <c15:dlblFieldTableCache>
                        <c:ptCount val="1"/>
                        <c:pt idx="0">
                          <c:v>R11</c:v>
                        </c:pt>
                      </c15:dlblFieldTableCache>
                    </c15:dlblFTEntry>
                  </c15:dlblFieldTable>
                  <c15:showDataLabelsRange val="0"/>
                </c:ext>
                <c:ext xmlns:c16="http://schemas.microsoft.com/office/drawing/2014/chart" uri="{C3380CC4-5D6E-409C-BE32-E72D297353CC}">
                  <c16:uniqueId val="{00000015-9263-423A-B8E1-F6217E410195}"/>
                </c:ext>
              </c:extLst>
            </c:dLbl>
            <c:dLbl>
              <c:idx val="11"/>
              <c:layout>
                <c:manualLayout>
                  <c:x val="-5.6317254548747607E-2"/>
                  <c:y val="-6.65557636854634E-3"/>
                </c:manualLayout>
              </c:layout>
              <c:tx>
                <c:strRef>
                  <c:f>Risikomgmt!$B$16</c:f>
                  <c:strCache>
                    <c:ptCount val="1"/>
                    <c:pt idx="0">
                      <c:v>R12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{67AD3993-6328-40E6-8A45-73B810FCD2BB}</c15:txfldGUID>
                      <c15:f>Risikomgmt!$B$16</c15:f>
                      <c15:dlblFieldTableCache>
                        <c:ptCount val="1"/>
                        <c:pt idx="0">
                          <c:v>R12</c:v>
                        </c:pt>
                      </c15:dlblFieldTableCache>
                    </c15:dlblFTEntry>
                  </c15:dlblFieldTable>
                  <c15:showDataLabelsRange val="0"/>
                </c:ext>
                <c:ext xmlns:c16="http://schemas.microsoft.com/office/drawing/2014/chart" uri="{C3380CC4-5D6E-409C-BE32-E72D297353CC}">
                  <c16:uniqueId val="{00000017-9263-423A-B8E1-F6217E410195}"/>
                </c:ext>
              </c:extLst>
            </c:dLbl>
            <c:dLbl>
              <c:idx val="12"/>
              <c:layout>
                <c:manualLayout>
                  <c:x val="-6.1726314148598582E-2"/>
                  <c:y val="-1.331115273709268E-2"/>
                </c:manualLayout>
              </c:layout>
              <c:tx>
                <c:strRef>
                  <c:f>Risikomgmt!$B$17</c:f>
                  <c:strCache>
                    <c:ptCount val="1"/>
                    <c:pt idx="0">
                      <c:v>R13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{0662A6BD-B38A-4C96-AE12-D39A19F02AB1}</c15:txfldGUID>
                      <c15:f>Risikomgmt!$B$17</c15:f>
                      <c15:dlblFieldTableCache>
                        <c:ptCount val="1"/>
                        <c:pt idx="0">
                          <c:v>R13</c:v>
                        </c:pt>
                      </c15:dlblFieldTableCache>
                    </c15:dlblFTEntry>
                  </c15:dlblFieldTable>
                  <c15:showDataLabelsRange val="0"/>
                </c:ext>
                <c:ext xmlns:c16="http://schemas.microsoft.com/office/drawing/2014/chart" uri="{C3380CC4-5D6E-409C-BE32-E72D297353CC}">
                  <c16:uniqueId val="{00000019-9263-423A-B8E1-F6217E410195}"/>
                </c:ext>
              </c:extLst>
            </c:dLbl>
            <c:dLbl>
              <c:idx val="13"/>
              <c:layout>
                <c:manualLayout>
                  <c:x val="-6.8487745125963478E-2"/>
                  <c:y val="1.1092627280910566E-2"/>
                </c:manualLayout>
              </c:layout>
              <c:tx>
                <c:strRef>
                  <c:f>Risikomgmt!$B$18</c:f>
                  <c:strCache>
                    <c:ptCount val="1"/>
                    <c:pt idx="0">
                      <c:v>R14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{59AB49B5-BF93-4D5D-9C91-34122D38E88A}</c15:txfldGUID>
                      <c15:f>Risikomgmt!$B$18</c15:f>
                      <c15:dlblFieldTableCache>
                        <c:ptCount val="1"/>
                        <c:pt idx="0">
                          <c:v>R14</c:v>
                        </c:pt>
                      </c15:dlblFieldTableCache>
                    </c15:dlblFTEntry>
                  </c15:dlblFieldTable>
                  <c15:showDataLabelsRange val="0"/>
                </c:ext>
                <c:ext xmlns:c16="http://schemas.microsoft.com/office/drawing/2014/chart" uri="{C3380CC4-5D6E-409C-BE32-E72D297353CC}">
                  <c16:uniqueId val="{0000001B-9263-423A-B8E1-F6217E410195}"/>
                </c:ext>
              </c:extLst>
            </c:dLbl>
            <c:dLbl>
              <c:idx val="14"/>
              <c:layout>
                <c:manualLayout>
                  <c:x val="-6.5783108848486815E-2"/>
                  <c:y val="-6.65557636854634E-3"/>
                </c:manualLayout>
              </c:layout>
              <c:tx>
                <c:strRef>
                  <c:f>Risikomgmt!$B$19</c:f>
                  <c:strCache>
                    <c:ptCount val="1"/>
                    <c:pt idx="0">
                      <c:v>R15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{23327BDC-7984-41FD-921B-3C80E8D3B905}</c15:txfldGUID>
                      <c15:f>Risikomgmt!$B$19</c15:f>
                      <c15:dlblFieldTableCache>
                        <c:ptCount val="1"/>
                        <c:pt idx="0">
                          <c:v>R15</c:v>
                        </c:pt>
                      </c15:dlblFieldTableCache>
                    </c15:dlblFTEntry>
                  </c15:dlblFieldTable>
                  <c15:showDataLabelsRange val="0"/>
                </c:ext>
                <c:ext xmlns:c16="http://schemas.microsoft.com/office/drawing/2014/chart" uri="{C3380CC4-5D6E-409C-BE32-E72D297353CC}">
                  <c16:uniqueId val="{0000001D-9263-423A-B8E1-F6217E410195}"/>
                </c:ext>
              </c:extLst>
            </c:dLbl>
            <c:spPr>
              <a:ln>
                <a:noFill/>
              </a:ln>
            </c:spPr>
            <c:txPr>
              <a:bodyPr/>
              <a:lstStyle/>
              <a:p>
                <a:pPr>
                  <a:defRPr sz="1600">
                    <a:solidFill>
                      <a:sysClr val="windowText" lastClr="000000"/>
                    </a:solidFill>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Risikomgmt!$D$5:$D$19</c:f>
              <c:numCache>
                <c:formatCode>0</c:formatCode>
                <c:ptCount val="15"/>
                <c:pt idx="0">
                  <c:v>2</c:v>
                </c:pt>
                <c:pt idx="1">
                  <c:v>5</c:v>
                </c:pt>
              </c:numCache>
            </c:numRef>
          </c:xVal>
          <c:yVal>
            <c:numRef>
              <c:f>Risikomgmt!$E$5:$E$19</c:f>
              <c:numCache>
                <c:formatCode>0</c:formatCode>
                <c:ptCount val="15"/>
                <c:pt idx="0">
                  <c:v>9</c:v>
                </c:pt>
                <c:pt idx="1">
                  <c:v>5</c:v>
                </c:pt>
              </c:numCache>
            </c:numRef>
          </c:yVal>
          <c:bubbleSize>
            <c:numRef>
              <c:f>Risikomgmt!$J$5:$J$19</c:f>
              <c:numCache>
                <c:formatCode>0</c:formatCode>
                <c:ptCount val="1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numCache>
            </c:numRef>
          </c:bubbleSize>
          <c:bubble3D val="0"/>
          <c:extLst>
            <c:ext xmlns:c16="http://schemas.microsoft.com/office/drawing/2014/chart" uri="{C3380CC4-5D6E-409C-BE32-E72D297353CC}">
              <c16:uniqueId val="{0000001E-9263-423A-B8E1-F6217E410195}"/>
            </c:ext>
          </c:extLst>
        </c:ser>
        <c:dLbls>
          <c:showLegendKey val="0"/>
          <c:showVal val="0"/>
          <c:showCatName val="0"/>
          <c:showSerName val="0"/>
          <c:showPercent val="0"/>
          <c:showBubbleSize val="0"/>
        </c:dLbls>
        <c:bubbleScale val="100"/>
        <c:showNegBubbles val="0"/>
        <c:axId val="351964960"/>
        <c:axId val="351960064"/>
      </c:bubbleChart>
      <c:valAx>
        <c:axId val="351964960"/>
        <c:scaling>
          <c:orientation val="minMax"/>
          <c:max val="11"/>
          <c:min val="0"/>
        </c:scaling>
        <c:delete val="0"/>
        <c:axPos val="b"/>
        <c:numFmt formatCode="0" sourceLinked="1"/>
        <c:majorTickMark val="out"/>
        <c:minorTickMark val="none"/>
        <c:tickLblPos val="nextTo"/>
        <c:crossAx val="351960064"/>
        <c:crosses val="autoZero"/>
        <c:crossBetween val="midCat"/>
        <c:majorUnit val="1"/>
        <c:minorUnit val="0.1"/>
      </c:valAx>
      <c:valAx>
        <c:axId val="351960064"/>
        <c:scaling>
          <c:orientation val="minMax"/>
          <c:max val="11"/>
          <c:min val="0"/>
        </c:scaling>
        <c:delete val="0"/>
        <c:axPos val="l"/>
        <c:numFmt formatCode="0" sourceLinked="1"/>
        <c:majorTickMark val="out"/>
        <c:minorTickMark val="none"/>
        <c:tickLblPos val="nextTo"/>
        <c:crossAx val="351964960"/>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645561243095041"/>
          <c:y val="0.17032084242481738"/>
          <c:w val="0.50535586139211153"/>
          <c:h val="0.72746288195457054"/>
        </c:manualLayout>
      </c:layout>
      <c:radarChart>
        <c:radarStyle val="filled"/>
        <c:varyColors val="0"/>
        <c:ser>
          <c:idx val="0"/>
          <c:order val="0"/>
          <c:spPr>
            <a:solidFill>
              <a:schemeClr val="accent1">
                <a:lumMod val="60000"/>
                <a:lumOff val="40000"/>
                <a:alpha val="50000"/>
              </a:schemeClr>
            </a:solidFill>
            <a:ln w="19050"/>
          </c:spPr>
          <c:dPt>
            <c:idx val="0"/>
            <c:bubble3D val="0"/>
            <c:spPr>
              <a:solidFill>
                <a:schemeClr val="accent1">
                  <a:lumMod val="60000"/>
                  <a:lumOff val="40000"/>
                  <a:alpha val="50000"/>
                </a:schemeClr>
              </a:solidFill>
              <a:ln w="19050">
                <a:solidFill>
                  <a:schemeClr val="accent1">
                    <a:shade val="95000"/>
                    <a:satMod val="105000"/>
                  </a:schemeClr>
                </a:solidFill>
              </a:ln>
            </c:spPr>
            <c:extLst>
              <c:ext xmlns:c16="http://schemas.microsoft.com/office/drawing/2014/chart" uri="{C3380CC4-5D6E-409C-BE32-E72D297353CC}">
                <c16:uniqueId val="{00000001-95E0-44A6-812B-E3585454F284}"/>
              </c:ext>
            </c:extLst>
          </c:dPt>
          <c:cat>
            <c:strRef>
              <c:f>Machbarkeit!$F$6:$F$10</c:f>
              <c:strCache>
                <c:ptCount val="5"/>
                <c:pt idx="0">
                  <c:v>Organizational feasibility</c:v>
                </c:pt>
                <c:pt idx="1">
                  <c:v>Technical feasibility</c:v>
                </c:pt>
                <c:pt idx="2">
                  <c:v>Legal feasibility</c:v>
                </c:pt>
                <c:pt idx="3">
                  <c:v>Economic feasibility</c:v>
                </c:pt>
                <c:pt idx="4">
                  <c:v>Resources and time</c:v>
                </c:pt>
              </c:strCache>
            </c:strRef>
          </c:cat>
          <c:val>
            <c:numRef>
              <c:f>Machbarkeit!$G$6:$G$10</c:f>
              <c:numCache>
                <c:formatCode>General</c:formatCode>
                <c:ptCount val="5"/>
                <c:pt idx="0">
                  <c:v>7</c:v>
                </c:pt>
                <c:pt idx="1">
                  <c:v>3</c:v>
                </c:pt>
                <c:pt idx="2">
                  <c:v>3</c:v>
                </c:pt>
                <c:pt idx="3">
                  <c:v>1</c:v>
                </c:pt>
                <c:pt idx="4">
                  <c:v>4</c:v>
                </c:pt>
              </c:numCache>
            </c:numRef>
          </c:val>
          <c:extLst>
            <c:ext xmlns:c16="http://schemas.microsoft.com/office/drawing/2014/chart" uri="{C3380CC4-5D6E-409C-BE32-E72D297353CC}">
              <c16:uniqueId val="{00000002-95E0-44A6-812B-E3585454F284}"/>
            </c:ext>
          </c:extLst>
        </c:ser>
        <c:dLbls>
          <c:showLegendKey val="0"/>
          <c:showVal val="0"/>
          <c:showCatName val="0"/>
          <c:showSerName val="0"/>
          <c:showPercent val="0"/>
          <c:showBubbleSize val="0"/>
        </c:dLbls>
        <c:axId val="365801248"/>
        <c:axId val="365802336"/>
      </c:radarChart>
      <c:catAx>
        <c:axId val="365801248"/>
        <c:scaling>
          <c:orientation val="minMax"/>
        </c:scaling>
        <c:delete val="0"/>
        <c:axPos val="b"/>
        <c:majorGridlines/>
        <c:numFmt formatCode="General" sourceLinked="1"/>
        <c:majorTickMark val="out"/>
        <c:minorTickMark val="none"/>
        <c:tickLblPos val="nextTo"/>
        <c:txPr>
          <a:bodyPr/>
          <a:lstStyle/>
          <a:p>
            <a:pPr>
              <a:defRPr sz="1100">
                <a:latin typeface="Calibri Light" panose="020F0302020204030204" pitchFamily="34" charset="0"/>
                <a:cs typeface="Calibri Light" panose="020F0302020204030204" pitchFamily="34" charset="0"/>
              </a:defRPr>
            </a:pPr>
            <a:endParaRPr lang="de-DE"/>
          </a:p>
        </c:txPr>
        <c:crossAx val="365802336"/>
        <c:crosses val="autoZero"/>
        <c:auto val="1"/>
        <c:lblAlgn val="ctr"/>
        <c:lblOffset val="100"/>
        <c:noMultiLvlLbl val="0"/>
      </c:catAx>
      <c:valAx>
        <c:axId val="365802336"/>
        <c:scaling>
          <c:orientation val="minMax"/>
        </c:scaling>
        <c:delete val="0"/>
        <c:axPos val="l"/>
        <c:majorGridlines/>
        <c:numFmt formatCode="General" sourceLinked="1"/>
        <c:majorTickMark val="cross"/>
        <c:minorTickMark val="none"/>
        <c:tickLblPos val="nextTo"/>
        <c:txPr>
          <a:bodyPr/>
          <a:lstStyle/>
          <a:p>
            <a:pPr>
              <a:defRPr>
                <a:latin typeface="Calibri Light" panose="020F0302020204030204" pitchFamily="34" charset="0"/>
                <a:cs typeface="Calibri Light" panose="020F0302020204030204" pitchFamily="34" charset="0"/>
              </a:defRPr>
            </a:pPr>
            <a:endParaRPr lang="de-DE"/>
          </a:p>
        </c:txPr>
        <c:crossAx val="365801248"/>
        <c:crosses val="autoZero"/>
        <c:crossBetween val="between"/>
      </c:valAx>
    </c:plotArea>
    <c:plotVisOnly val="1"/>
    <c:dispBlanksAs val="gap"/>
    <c:showDLblsOverMax val="0"/>
  </c:chart>
  <c:spPr>
    <a:noFill/>
    <a:ln>
      <a:noFill/>
    </a:ln>
  </c:spPr>
  <c:printSettings>
    <c:headerFooter/>
    <c:pageMargins b="0.78740157499999996" l="0.7" r="0.7" t="0.78740157499999996" header="0.3" footer="0.3"/>
    <c:pageSetup paperSize="9" orientation="landscape"/>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tx>
            <c:strRef>
              <c:f>Logo!$D$40</c:f>
              <c:strCache>
                <c:ptCount val="1"/>
              </c:strCache>
            </c:strRef>
          </c:tx>
          <c:spPr>
            <a:gradFill>
              <a:gsLst>
                <a:gs pos="0">
                  <a:srgbClr val="C00000"/>
                </a:gs>
                <a:gs pos="100000">
                  <a:srgbClr val="00B050"/>
                </a:gs>
              </a:gsLst>
              <a:lin ang="5400000" scaled="1"/>
            </a:gradFill>
          </c:spPr>
          <c:dPt>
            <c:idx val="0"/>
            <c:bubble3D val="0"/>
            <c:spPr>
              <a:gradFill>
                <a:gsLst>
                  <a:gs pos="0">
                    <a:srgbClr val="C00000"/>
                  </a:gs>
                  <a:gs pos="100000">
                    <a:srgbClr val="FFC000"/>
                  </a:gs>
                  <a:gs pos="52000">
                    <a:srgbClr val="FF0000"/>
                  </a:gs>
                </a:gsLst>
                <a:lin ang="18900000" scaled="1"/>
              </a:gradFill>
              <a:ln w="6350">
                <a:noFill/>
              </a:ln>
              <a:effectLst/>
            </c:spPr>
            <c:extLst>
              <c:ext xmlns:c16="http://schemas.microsoft.com/office/drawing/2014/chart" uri="{C3380CC4-5D6E-409C-BE32-E72D297353CC}">
                <c16:uniqueId val="{00000001-359D-49B6-88DE-74B5D2B3EF80}"/>
              </c:ext>
            </c:extLst>
          </c:dPt>
          <c:dPt>
            <c:idx val="1"/>
            <c:bubble3D val="0"/>
            <c:spPr>
              <a:gradFill flip="none" rotWithShape="1">
                <a:gsLst>
                  <a:gs pos="0">
                    <a:srgbClr val="FFC000"/>
                  </a:gs>
                  <a:gs pos="100000">
                    <a:srgbClr val="92D050"/>
                  </a:gs>
                  <a:gs pos="54000">
                    <a:srgbClr val="FFFF00"/>
                  </a:gs>
                </a:gsLst>
                <a:lin ang="0" scaled="1"/>
                <a:tileRect/>
              </a:gradFill>
              <a:ln w="12700">
                <a:noFill/>
              </a:ln>
              <a:effectLst/>
            </c:spPr>
            <c:extLst>
              <c:ext xmlns:c16="http://schemas.microsoft.com/office/drawing/2014/chart" uri="{C3380CC4-5D6E-409C-BE32-E72D297353CC}">
                <c16:uniqueId val="{00000003-359D-49B6-88DE-74B5D2B3EF80}"/>
              </c:ext>
            </c:extLst>
          </c:dPt>
          <c:dPt>
            <c:idx val="2"/>
            <c:bubble3D val="0"/>
            <c:spPr>
              <a:gradFill flip="none" rotWithShape="1">
                <a:gsLst>
                  <a:gs pos="0">
                    <a:srgbClr val="92D050"/>
                  </a:gs>
                  <a:gs pos="100000">
                    <a:srgbClr val="006600"/>
                  </a:gs>
                </a:gsLst>
                <a:lin ang="5400000" scaled="1"/>
                <a:tileRect/>
              </a:gradFill>
              <a:ln w="12700">
                <a:noFill/>
              </a:ln>
              <a:effectLst/>
            </c:spPr>
            <c:extLst>
              <c:ext xmlns:c16="http://schemas.microsoft.com/office/drawing/2014/chart" uri="{C3380CC4-5D6E-409C-BE32-E72D297353CC}">
                <c16:uniqueId val="{00000005-359D-49B6-88DE-74B5D2B3EF80}"/>
              </c:ext>
            </c:extLst>
          </c:dPt>
          <c:dPt>
            <c:idx val="3"/>
            <c:bubble3D val="0"/>
            <c:spPr>
              <a:noFill/>
              <a:ln w="19050">
                <a:noFill/>
              </a:ln>
              <a:effectLst/>
            </c:spPr>
            <c:extLst>
              <c:ext xmlns:c16="http://schemas.microsoft.com/office/drawing/2014/chart" uri="{C3380CC4-5D6E-409C-BE32-E72D297353CC}">
                <c16:uniqueId val="{00000007-359D-49B6-88DE-74B5D2B3EF80}"/>
              </c:ext>
            </c:extLst>
          </c:dPt>
          <c:cat>
            <c:strRef>
              <c:f>Logo!$B$14:$B$17</c:f>
              <c:strCache>
                <c:ptCount val="4"/>
                <c:pt idx="0">
                  <c:v>red</c:v>
                </c:pt>
                <c:pt idx="1">
                  <c:v>orange</c:v>
                </c:pt>
                <c:pt idx="2">
                  <c:v>green</c:v>
                </c:pt>
                <c:pt idx="3">
                  <c:v>Leer</c:v>
                </c:pt>
              </c:strCache>
            </c:strRef>
          </c:cat>
          <c:val>
            <c:numRef>
              <c:f>Logo!$D$14:$D$17</c:f>
              <c:numCache>
                <c:formatCode>0%</c:formatCode>
                <c:ptCount val="4"/>
                <c:pt idx="0">
                  <c:v>0.5</c:v>
                </c:pt>
                <c:pt idx="1">
                  <c:v>0.3</c:v>
                </c:pt>
                <c:pt idx="2">
                  <c:v>0.2</c:v>
                </c:pt>
                <c:pt idx="3">
                  <c:v>1</c:v>
                </c:pt>
              </c:numCache>
            </c:numRef>
          </c:val>
          <c:extLst>
            <c:ext xmlns:c16="http://schemas.microsoft.com/office/drawing/2014/chart" uri="{C3380CC4-5D6E-409C-BE32-E72D297353CC}">
              <c16:uniqueId val="{00000008-359D-49B6-88DE-74B5D2B3EF80}"/>
            </c:ext>
          </c:extLst>
        </c:ser>
        <c:dLbls>
          <c:showLegendKey val="0"/>
          <c:showVal val="0"/>
          <c:showCatName val="0"/>
          <c:showSerName val="0"/>
          <c:showPercent val="0"/>
          <c:showBubbleSize val="0"/>
          <c:showLeaderLines val="1"/>
        </c:dLbls>
        <c:firstSliceAng val="270"/>
        <c:holeSize val="4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0"/>
        <c:ser>
          <c:idx val="0"/>
          <c:order val="0"/>
          <c:tx>
            <c:strRef>
              <c:f>Logo!$K$14</c:f>
              <c:strCache>
                <c:ptCount val="1"/>
                <c:pt idx="0">
                  <c:v>50%</c:v>
                </c:pt>
              </c:strCache>
            </c:strRef>
          </c:tx>
          <c:spPr>
            <a:solidFill>
              <a:schemeClr val="accent1"/>
            </a:solidFill>
            <a:ln w="25400">
              <a:noFill/>
            </a:ln>
            <a:effectLst/>
          </c:spPr>
          <c:explosion val="20"/>
          <c:dPt>
            <c:idx val="0"/>
            <c:bubble3D val="0"/>
            <c:spPr>
              <a:noFill/>
              <a:ln w="25400">
                <a:noFill/>
              </a:ln>
              <a:effectLst/>
            </c:spPr>
            <c:extLst>
              <c:ext xmlns:c16="http://schemas.microsoft.com/office/drawing/2014/chart" uri="{C3380CC4-5D6E-409C-BE32-E72D297353CC}">
                <c16:uniqueId val="{00000001-3957-4A12-A3A6-A1D83CA5522C}"/>
              </c:ext>
            </c:extLst>
          </c:dPt>
          <c:dPt>
            <c:idx val="1"/>
            <c:bubble3D val="0"/>
            <c:spPr>
              <a:solidFill>
                <a:schemeClr val="tx1"/>
              </a:solidFill>
              <a:ln w="38100" cap="flat" cmpd="sng">
                <a:solidFill>
                  <a:schemeClr val="tx1"/>
                </a:solidFill>
                <a:round/>
              </a:ln>
              <a:effectLst>
                <a:outerShdw blurRad="50800" dist="38100" dir="2700000" algn="tl" rotWithShape="0">
                  <a:prstClr val="black">
                    <a:alpha val="40000"/>
                  </a:prstClr>
                </a:outerShdw>
              </a:effectLst>
            </c:spPr>
            <c:extLst>
              <c:ext xmlns:c16="http://schemas.microsoft.com/office/drawing/2014/chart" uri="{C3380CC4-5D6E-409C-BE32-E72D297353CC}">
                <c16:uniqueId val="{00000003-3957-4A12-A3A6-A1D83CA5522C}"/>
              </c:ext>
            </c:extLst>
          </c:dPt>
          <c:dPt>
            <c:idx val="2"/>
            <c:bubble3D val="0"/>
            <c:spPr>
              <a:noFill/>
              <a:ln w="25400">
                <a:noFill/>
              </a:ln>
              <a:effectLst/>
            </c:spPr>
            <c:extLst>
              <c:ext xmlns:c16="http://schemas.microsoft.com/office/drawing/2014/chart" uri="{C3380CC4-5D6E-409C-BE32-E72D297353CC}">
                <c16:uniqueId val="{00000005-3957-4A12-A3A6-A1D83CA5522C}"/>
              </c:ext>
            </c:extLst>
          </c:dPt>
          <c:dLbls>
            <c:dLbl>
              <c:idx val="0"/>
              <c:delete val="1"/>
              <c:extLst>
                <c:ext xmlns:c15="http://schemas.microsoft.com/office/drawing/2012/chart" uri="{CE6537A1-D6FC-4f65-9D91-7224C49458BB}"/>
                <c:ext xmlns:c16="http://schemas.microsoft.com/office/drawing/2014/chart" uri="{C3380CC4-5D6E-409C-BE32-E72D297353CC}">
                  <c16:uniqueId val="{00000001-3957-4A12-A3A6-A1D83CA5522C}"/>
                </c:ext>
              </c:extLst>
            </c:dLbl>
            <c:dLbl>
              <c:idx val="1"/>
              <c:dLblPos val="outEnd"/>
              <c:showLegendKey val="0"/>
              <c:showVal val="0"/>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3-3957-4A12-A3A6-A1D83CA5522C}"/>
                </c:ext>
              </c:extLst>
            </c:dLbl>
            <c:dLbl>
              <c:idx val="2"/>
              <c:delete val="1"/>
              <c:extLst>
                <c:ext xmlns:c15="http://schemas.microsoft.com/office/drawing/2012/chart" uri="{CE6537A1-D6FC-4f65-9D91-7224C49458BB}"/>
                <c:ext xmlns:c16="http://schemas.microsoft.com/office/drawing/2014/chart" uri="{C3380CC4-5D6E-409C-BE32-E72D297353CC}">
                  <c16:uniqueId val="{00000005-3957-4A12-A3A6-A1D83CA5522C}"/>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Calibri Light" panose="020F0302020204030204" pitchFamily="34" charset="0"/>
                    <a:ea typeface="+mn-ea"/>
                    <a:cs typeface="Calibri Light" panose="020F0302020204030204" pitchFamily="34" charset="0"/>
                  </a:defRPr>
                </a:pPr>
                <a:endParaRPr lang="de-DE"/>
              </a:p>
            </c:txPr>
            <c:dLblPos val="outEnd"/>
            <c:showLegendKey val="0"/>
            <c:showVal val="0"/>
            <c:showCatName val="0"/>
            <c:showSerName val="1"/>
            <c:showPercent val="0"/>
            <c:showBubbleSize val="0"/>
            <c:showLeaderLines val="0"/>
            <c:extLst>
              <c:ext xmlns:c15="http://schemas.microsoft.com/office/drawing/2012/chart" uri="{CE6537A1-D6FC-4f65-9D91-7224C49458BB}"/>
            </c:extLst>
          </c:dLbls>
          <c:cat>
            <c:strRef>
              <c:f>Logo!$J$14:$J$16</c:f>
              <c:strCache>
                <c:ptCount val="3"/>
                <c:pt idx="0">
                  <c:v>Wert</c:v>
                </c:pt>
                <c:pt idx="1">
                  <c:v>Breite</c:v>
                </c:pt>
                <c:pt idx="2">
                  <c:v>Ende</c:v>
                </c:pt>
              </c:strCache>
            </c:strRef>
          </c:cat>
          <c:val>
            <c:numRef>
              <c:f>Logo!$K$14:$K$16</c:f>
              <c:numCache>
                <c:formatCode>0%</c:formatCode>
                <c:ptCount val="3"/>
                <c:pt idx="0">
                  <c:v>0.5</c:v>
                </c:pt>
                <c:pt idx="1">
                  <c:v>3.0000000000000001E-3</c:v>
                </c:pt>
                <c:pt idx="2">
                  <c:v>1.4970000000000001</c:v>
                </c:pt>
              </c:numCache>
            </c:numRef>
          </c:val>
          <c:extLst>
            <c:ext xmlns:c16="http://schemas.microsoft.com/office/drawing/2014/chart" uri="{C3380CC4-5D6E-409C-BE32-E72D297353CC}">
              <c16:uniqueId val="{00000006-3957-4A12-A3A6-A1D83CA5522C}"/>
            </c:ext>
          </c:extLst>
        </c:ser>
        <c:dLbls>
          <c:showLegendKey val="0"/>
          <c:showVal val="0"/>
          <c:showCatName val="0"/>
          <c:showSerName val="0"/>
          <c:showPercent val="0"/>
          <c:showBubbleSize val="0"/>
          <c:showLeaderLines val="0"/>
        </c:dLbls>
        <c:firstSliceAng val="27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Lines="4" dropStyle="combo" dx="16" fmlaLink="' '!$B$4" fmlaRange="' '!$W$7:$W$10" noThreeD="1" sel="3" val="0"/>
</file>

<file path=xl/ctrlProps/ctrlProp2.xml><?xml version="1.0" encoding="utf-8"?>
<formControlPr xmlns="http://schemas.microsoft.com/office/spreadsheetml/2009/9/main" objectType="Drop" dropStyle="simple" dx="16" sel="0" val="0" widthMin="23"/>
</file>

<file path=xl/ctrlProps/ctrlProp3.xml><?xml version="1.0" encoding="utf-8"?>
<formControlPr xmlns="http://schemas.microsoft.com/office/spreadsheetml/2009/9/main" objectType="CheckBox" checked="Checked" fmlaLink="$BL$3" lockText="1" noThreeD="1"/>
</file>

<file path=xl/ctrlProps/ctrlProp4.xml><?xml version="1.0" encoding="utf-8"?>
<formControlPr xmlns="http://schemas.microsoft.com/office/spreadsheetml/2009/9/main" objectType="CheckBox" checked="Checked" fmlaLink="Projektteam!$BL$3"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Projektteam!C10"/><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6.emf"/><Relationship Id="rId13" Type="http://schemas.openxmlformats.org/officeDocument/2006/relationships/image" Target="../media/image7.png"/><Relationship Id="rId18" Type="http://schemas.openxmlformats.org/officeDocument/2006/relationships/hyperlink" Target="#SprintRetrospective!A1"/><Relationship Id="rId3" Type="http://schemas.openxmlformats.org/officeDocument/2006/relationships/hyperlink" Target="#Projektbudget!A1"/><Relationship Id="rId21" Type="http://schemas.openxmlformats.org/officeDocument/2006/relationships/hyperlink" Target="#Projektabschluss!A1"/><Relationship Id="rId7" Type="http://schemas.openxmlformats.org/officeDocument/2006/relationships/hyperlink" Target="#Logo!D6"/><Relationship Id="rId12" Type="http://schemas.openxmlformats.org/officeDocument/2006/relationships/hyperlink" Target="#Logo!D14"/><Relationship Id="rId17" Type="http://schemas.openxmlformats.org/officeDocument/2006/relationships/hyperlink" Target="#SprintBacklog!A1"/><Relationship Id="rId2" Type="http://schemas.openxmlformats.org/officeDocument/2006/relationships/hyperlink" Target="#Projektauftrag!J5"/><Relationship Id="rId16" Type="http://schemas.openxmlformats.org/officeDocument/2006/relationships/hyperlink" Target="#Detailplan!A1"/><Relationship Id="rId20" Type="http://schemas.openxmlformats.org/officeDocument/2006/relationships/hyperlink" Target="#Detailplan!C15"/><Relationship Id="rId1" Type="http://schemas.openxmlformats.org/officeDocument/2006/relationships/hyperlink" Target="#SprintReview!A1"/><Relationship Id="rId6" Type="http://schemas.openxmlformats.org/officeDocument/2006/relationships/hyperlink" Target="#Projektstand!E10"/><Relationship Id="rId11" Type="http://schemas.openxmlformats.org/officeDocument/2006/relationships/hyperlink" Target="http://www.2imanagement.ch/?id=49" TargetMode="External"/><Relationship Id="rId5" Type="http://schemas.openxmlformats.org/officeDocument/2006/relationships/hyperlink" Target="#Projektauftrag!D5"/><Relationship Id="rId15" Type="http://schemas.openxmlformats.org/officeDocument/2006/relationships/hyperlink" Target="#Projektauftrag!A1"/><Relationship Id="rId10" Type="http://schemas.openxmlformats.org/officeDocument/2006/relationships/hyperlink" Target="https://www.2imanagement.ch/?id=57&amp;helpdesk&amp;topic=9" TargetMode="External"/><Relationship Id="rId19" Type="http://schemas.openxmlformats.org/officeDocument/2006/relationships/chart" Target="../charts/chart1.xml"/><Relationship Id="rId4" Type="http://schemas.openxmlformats.org/officeDocument/2006/relationships/hyperlink" Target="#Projektbudget!AT50"/><Relationship Id="rId9" Type="http://schemas.openxmlformats.org/officeDocument/2006/relationships/hyperlink" Target="#Notizen!C5"/><Relationship Id="rId14" Type="http://schemas.openxmlformats.org/officeDocument/2006/relationships/hyperlink" Target="http://www.2imanagement.ch" TargetMode="External"/></Relationships>
</file>

<file path=xl/drawings/_rels/drawing3.xml.rels><?xml version="1.0" encoding="UTF-8" standalone="yes"?>
<Relationships xmlns="http://schemas.openxmlformats.org/package/2006/relationships"><Relationship Id="rId8" Type="http://schemas.openxmlformats.org/officeDocument/2006/relationships/hyperlink" Target="#Detailplan!I15"/><Relationship Id="rId13" Type="http://schemas.openxmlformats.org/officeDocument/2006/relationships/hyperlink" Target="#Projektteam!A1"/><Relationship Id="rId3" Type="http://schemas.openxmlformats.org/officeDocument/2006/relationships/image" Target="../media/image6.emf"/><Relationship Id="rId7" Type="http://schemas.openxmlformats.org/officeDocument/2006/relationships/hyperlink" Target="#Detailplan!H15"/><Relationship Id="rId12" Type="http://schemas.openxmlformats.org/officeDocument/2006/relationships/chart" Target="../charts/chart2.xml"/><Relationship Id="rId17" Type="http://schemas.openxmlformats.org/officeDocument/2006/relationships/hyperlink" Target="#SprintReview!A1"/><Relationship Id="rId2" Type="http://schemas.openxmlformats.org/officeDocument/2006/relationships/image" Target="../media/image9.png"/><Relationship Id="rId16" Type="http://schemas.openxmlformats.org/officeDocument/2006/relationships/hyperlink" Target="#SprintBacklog!A1"/><Relationship Id="rId1" Type="http://schemas.openxmlformats.org/officeDocument/2006/relationships/hyperlink" Target="#Projektmgmt!A1"/><Relationship Id="rId6" Type="http://schemas.openxmlformats.org/officeDocument/2006/relationships/image" Target="../media/image10.png"/><Relationship Id="rId11" Type="http://schemas.openxmlformats.org/officeDocument/2006/relationships/image" Target="../media/image7.png"/><Relationship Id="rId5" Type="http://schemas.openxmlformats.org/officeDocument/2006/relationships/hyperlink" Target="#Projektauftrag!D5"/><Relationship Id="rId15" Type="http://schemas.openxmlformats.org/officeDocument/2006/relationships/hyperlink" Target="#Detailplan!A1"/><Relationship Id="rId10" Type="http://schemas.openxmlformats.org/officeDocument/2006/relationships/hyperlink" Target="#Logo!D14"/><Relationship Id="rId4" Type="http://schemas.openxmlformats.org/officeDocument/2006/relationships/hyperlink" Target="http://www.2imanagement.ch/?id=57&amp;helpdesk&amp;topic=9" TargetMode="External"/><Relationship Id="rId9" Type="http://schemas.openxmlformats.org/officeDocument/2006/relationships/hyperlink" Target="#Projektauftrag!J6"/><Relationship Id="rId14" Type="http://schemas.openxmlformats.org/officeDocument/2006/relationships/hyperlink" Target="#Projektauftrag!A1"/></Relationships>
</file>

<file path=xl/drawings/_rels/drawing4.xml.rels><?xml version="1.0" encoding="UTF-8" standalone="yes"?>
<Relationships xmlns="http://schemas.openxmlformats.org/package/2006/relationships"><Relationship Id="rId8" Type="http://schemas.openxmlformats.org/officeDocument/2006/relationships/hyperlink" Target="#Projektmgmt!A1"/><Relationship Id="rId13" Type="http://schemas.openxmlformats.org/officeDocument/2006/relationships/hyperlink" Target="#Logo!D14"/><Relationship Id="rId18" Type="http://schemas.openxmlformats.org/officeDocument/2006/relationships/hyperlink" Target="#Machbarkeit!A1"/><Relationship Id="rId3" Type="http://schemas.openxmlformats.org/officeDocument/2006/relationships/chart" Target="../charts/chart5.xml"/><Relationship Id="rId7" Type="http://schemas.openxmlformats.org/officeDocument/2006/relationships/hyperlink" Target="#Projektstand!E10"/><Relationship Id="rId12" Type="http://schemas.openxmlformats.org/officeDocument/2006/relationships/hyperlink" Target="https://www.2imanagement.ch/?id=57&amp;helpdesk&amp;topic=9" TargetMode="External"/><Relationship Id="rId17" Type="http://schemas.openxmlformats.org/officeDocument/2006/relationships/hyperlink" Target="#Projektbudget!A1"/><Relationship Id="rId2" Type="http://schemas.openxmlformats.org/officeDocument/2006/relationships/chart" Target="../charts/chart4.xml"/><Relationship Id="rId16" Type="http://schemas.openxmlformats.org/officeDocument/2006/relationships/hyperlink" Target="#Detailplan!A1"/><Relationship Id="rId1" Type="http://schemas.openxmlformats.org/officeDocument/2006/relationships/chart" Target="../charts/chart3.xml"/><Relationship Id="rId6" Type="http://schemas.openxmlformats.org/officeDocument/2006/relationships/image" Target="../media/image6.emf"/><Relationship Id="rId11" Type="http://schemas.openxmlformats.org/officeDocument/2006/relationships/hyperlink" Target="#Projektbudget!E67"/><Relationship Id="rId5" Type="http://schemas.openxmlformats.org/officeDocument/2006/relationships/hyperlink" Target="#Projektbudget!E8"/><Relationship Id="rId15" Type="http://schemas.openxmlformats.org/officeDocument/2006/relationships/hyperlink" Target="#Projektteam!A1"/><Relationship Id="rId10" Type="http://schemas.openxmlformats.org/officeDocument/2006/relationships/hyperlink" Target="#Projektteam!AD11"/><Relationship Id="rId4" Type="http://schemas.openxmlformats.org/officeDocument/2006/relationships/hyperlink" Target="#Projektteam!B11"/><Relationship Id="rId9" Type="http://schemas.openxmlformats.org/officeDocument/2006/relationships/image" Target="../media/image9.png"/><Relationship Id="rId14" Type="http://schemas.openxmlformats.org/officeDocument/2006/relationships/image" Target="../media/image7.png"/></Relationships>
</file>

<file path=xl/drawings/_rels/drawing5.xml.rels><?xml version="1.0" encoding="UTF-8" standalone="yes"?>
<Relationships xmlns="http://schemas.openxmlformats.org/package/2006/relationships"><Relationship Id="rId3" Type="http://schemas.openxmlformats.org/officeDocument/2006/relationships/hyperlink" Target="#Detailplan!A1"/><Relationship Id="rId2" Type="http://schemas.openxmlformats.org/officeDocument/2006/relationships/hyperlink" Target="http://www.2imanagement.ch/?id=57&amp;helpdesk&amp;topic=9" TargetMode="External"/><Relationship Id="rId1" Type="http://schemas.openxmlformats.org/officeDocument/2006/relationships/image" Target="../media/image6.emf"/></Relationships>
</file>

<file path=xl/drawings/_rels/drawing6.xml.rels><?xml version="1.0" encoding="UTF-8" standalone="yes"?>
<Relationships xmlns="http://schemas.openxmlformats.org/package/2006/relationships"><Relationship Id="rId8" Type="http://schemas.openxmlformats.org/officeDocument/2006/relationships/hyperlink" Target="#Projektauftrag!J11"/><Relationship Id="rId13" Type="http://schemas.openxmlformats.org/officeDocument/2006/relationships/hyperlink" Target="#Projektteam!A1"/><Relationship Id="rId18" Type="http://schemas.openxmlformats.org/officeDocument/2006/relationships/hyperlink" Target="#Projektabschluss!A1"/><Relationship Id="rId3" Type="http://schemas.openxmlformats.org/officeDocument/2006/relationships/image" Target="../media/image9.png"/><Relationship Id="rId7" Type="http://schemas.openxmlformats.org/officeDocument/2006/relationships/hyperlink" Target="#Projektauftrag!G4"/><Relationship Id="rId12" Type="http://schemas.openxmlformats.org/officeDocument/2006/relationships/hyperlink" Target="#Methodik!A1"/><Relationship Id="rId17" Type="http://schemas.openxmlformats.org/officeDocument/2006/relationships/hyperlink" Target="#SprintRetrospective!A1"/><Relationship Id="rId2" Type="http://schemas.openxmlformats.org/officeDocument/2006/relationships/hyperlink" Target="#Projektmgmt!A1"/><Relationship Id="rId16" Type="http://schemas.openxmlformats.org/officeDocument/2006/relationships/hyperlink" Target="#SprintBacklog!A1"/><Relationship Id="rId1" Type="http://schemas.openxmlformats.org/officeDocument/2006/relationships/chart" Target="../charts/chart6.xml"/><Relationship Id="rId6" Type="http://schemas.openxmlformats.org/officeDocument/2006/relationships/image" Target="../media/image6.emf"/><Relationship Id="rId11" Type="http://schemas.openxmlformats.org/officeDocument/2006/relationships/hyperlink" Target="#Kalender!A1"/><Relationship Id="rId5" Type="http://schemas.openxmlformats.org/officeDocument/2006/relationships/hyperlink" Target="#Detailplan!C9"/><Relationship Id="rId15" Type="http://schemas.openxmlformats.org/officeDocument/2006/relationships/hyperlink" Target="#Detailplan!A1"/><Relationship Id="rId10" Type="http://schemas.openxmlformats.org/officeDocument/2006/relationships/hyperlink" Target="http://www.2imanagement.ch/?id=57&amp;helpdesk&amp;topic=9" TargetMode="External"/><Relationship Id="rId19" Type="http://schemas.openxmlformats.org/officeDocument/2006/relationships/hyperlink" Target="#SprintReview!A1"/><Relationship Id="rId4" Type="http://schemas.openxmlformats.org/officeDocument/2006/relationships/image" Target="../media/image11.png"/><Relationship Id="rId9" Type="http://schemas.openxmlformats.org/officeDocument/2006/relationships/image" Target="../media/image10.png"/><Relationship Id="rId14" Type="http://schemas.openxmlformats.org/officeDocument/2006/relationships/hyperlink" Target="#Projektauftrag!A1"/></Relationships>
</file>

<file path=xl/drawings/_rels/drawing7.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hyperlink" Target="#Detailplan!A1"/><Relationship Id="rId3" Type="http://schemas.openxmlformats.org/officeDocument/2006/relationships/image" Target="../media/image9.png"/><Relationship Id="rId7" Type="http://schemas.openxmlformats.org/officeDocument/2006/relationships/hyperlink" Target="#Projektauftrag!J11"/><Relationship Id="rId12" Type="http://schemas.openxmlformats.org/officeDocument/2006/relationships/hyperlink" Target="#Projektauftrag!A1"/><Relationship Id="rId17" Type="http://schemas.openxmlformats.org/officeDocument/2006/relationships/hyperlink" Target="#SprintReview!A1"/><Relationship Id="rId2" Type="http://schemas.openxmlformats.org/officeDocument/2006/relationships/hyperlink" Target="#Projektmgmt!A1"/><Relationship Id="rId16" Type="http://schemas.openxmlformats.org/officeDocument/2006/relationships/hyperlink" Target="#Projektabschluss!A1"/><Relationship Id="rId1" Type="http://schemas.openxmlformats.org/officeDocument/2006/relationships/chart" Target="../charts/chart7.xml"/><Relationship Id="rId6" Type="http://schemas.openxmlformats.org/officeDocument/2006/relationships/hyperlink" Target="#Projektauftrag!G4"/><Relationship Id="rId11" Type="http://schemas.openxmlformats.org/officeDocument/2006/relationships/hyperlink" Target="#Projektteam!A1"/><Relationship Id="rId5" Type="http://schemas.openxmlformats.org/officeDocument/2006/relationships/image" Target="../media/image6.emf"/><Relationship Id="rId15" Type="http://schemas.openxmlformats.org/officeDocument/2006/relationships/hyperlink" Target="#SprintRetrospective!A1"/><Relationship Id="rId10" Type="http://schemas.openxmlformats.org/officeDocument/2006/relationships/hyperlink" Target="#Kalender!A1"/><Relationship Id="rId4" Type="http://schemas.openxmlformats.org/officeDocument/2006/relationships/hyperlink" Target="#SprintBacklog!C9"/><Relationship Id="rId9" Type="http://schemas.openxmlformats.org/officeDocument/2006/relationships/hyperlink" Target="http://www.2imanagement.ch/?id=57&amp;helpdesk&amp;topic=9" TargetMode="External"/><Relationship Id="rId14" Type="http://schemas.openxmlformats.org/officeDocument/2006/relationships/hyperlink" Target="#SprintBacklog!A1"/></Relationships>
</file>

<file path=xl/drawings/_rels/drawing8.xml.rels><?xml version="1.0" encoding="UTF-8" standalone="yes"?>
<Relationships xmlns="http://schemas.openxmlformats.org/package/2006/relationships"><Relationship Id="rId8" Type="http://schemas.openxmlformats.org/officeDocument/2006/relationships/hyperlink" Target="#Projektteam!A1"/><Relationship Id="rId13" Type="http://schemas.openxmlformats.org/officeDocument/2006/relationships/hyperlink" Target="#Projektabschluss!A1"/><Relationship Id="rId3" Type="http://schemas.openxmlformats.org/officeDocument/2006/relationships/image" Target="../media/image11.png"/><Relationship Id="rId7" Type="http://schemas.openxmlformats.org/officeDocument/2006/relationships/hyperlink" Target="#Kalender!A1"/><Relationship Id="rId12" Type="http://schemas.openxmlformats.org/officeDocument/2006/relationships/hyperlink" Target="#SprintRetrospective!A1"/><Relationship Id="rId2" Type="http://schemas.openxmlformats.org/officeDocument/2006/relationships/image" Target="../media/image9.png"/><Relationship Id="rId1" Type="http://schemas.openxmlformats.org/officeDocument/2006/relationships/hyperlink" Target="#Projektmgmt!A1"/><Relationship Id="rId6" Type="http://schemas.openxmlformats.org/officeDocument/2006/relationships/hyperlink" Target="http://www.2imanagement.ch/?id=57&amp;helpdesk&amp;topic=9" TargetMode="External"/><Relationship Id="rId11" Type="http://schemas.openxmlformats.org/officeDocument/2006/relationships/hyperlink" Target="#SprintBacklog!A1"/><Relationship Id="rId5" Type="http://schemas.openxmlformats.org/officeDocument/2006/relationships/hyperlink" Target="#Projektauftrag!J11"/><Relationship Id="rId15" Type="http://schemas.openxmlformats.org/officeDocument/2006/relationships/hyperlink" Target="#Machbarkeit!A1"/><Relationship Id="rId10" Type="http://schemas.openxmlformats.org/officeDocument/2006/relationships/hyperlink" Target="#Detailplan!A1"/><Relationship Id="rId4" Type="http://schemas.openxmlformats.org/officeDocument/2006/relationships/image" Target="../media/image6.emf"/><Relationship Id="rId9" Type="http://schemas.openxmlformats.org/officeDocument/2006/relationships/hyperlink" Target="#Projektauftrag!A1"/><Relationship Id="rId14" Type="http://schemas.openxmlformats.org/officeDocument/2006/relationships/hyperlink" Target="#SprintReview!A1"/></Relationships>
</file>

<file path=xl/drawings/_rels/drawing9.xml.rels><?xml version="1.0" encoding="UTF-8" standalone="yes"?>
<Relationships xmlns="http://schemas.openxmlformats.org/package/2006/relationships"><Relationship Id="rId8" Type="http://schemas.openxmlformats.org/officeDocument/2006/relationships/hyperlink" Target="#Detailplan!K202"/><Relationship Id="rId13" Type="http://schemas.openxmlformats.org/officeDocument/2006/relationships/image" Target="../media/image9.png"/><Relationship Id="rId18" Type="http://schemas.openxmlformats.org/officeDocument/2006/relationships/hyperlink" Target="#SprintBacklog!A1"/><Relationship Id="rId3" Type="http://schemas.openxmlformats.org/officeDocument/2006/relationships/chart" Target="../charts/chart10.xml"/><Relationship Id="rId7" Type="http://schemas.openxmlformats.org/officeDocument/2006/relationships/hyperlink" Target="http://www.2imanagement.ch/?id=57&amp;helpdesk&amp;topic=9" TargetMode="External"/><Relationship Id="rId12" Type="http://schemas.openxmlformats.org/officeDocument/2006/relationships/hyperlink" Target="#Projektmgmt!A1"/><Relationship Id="rId17" Type="http://schemas.openxmlformats.org/officeDocument/2006/relationships/hyperlink" Target="#Detailplan!A1"/><Relationship Id="rId2" Type="http://schemas.openxmlformats.org/officeDocument/2006/relationships/chart" Target="../charts/chart9.xml"/><Relationship Id="rId16" Type="http://schemas.openxmlformats.org/officeDocument/2006/relationships/image" Target="../media/image6.emf"/><Relationship Id="rId20" Type="http://schemas.openxmlformats.org/officeDocument/2006/relationships/hyperlink" Target="#Machbarkeit!A1"/><Relationship Id="rId1" Type="http://schemas.openxmlformats.org/officeDocument/2006/relationships/chart" Target="../charts/chart8.xml"/><Relationship Id="rId6" Type="http://schemas.openxmlformats.org/officeDocument/2006/relationships/hyperlink" Target="#Projektbudget!E8"/><Relationship Id="rId11" Type="http://schemas.openxmlformats.org/officeDocument/2006/relationships/image" Target="../media/image7.png"/><Relationship Id="rId5" Type="http://schemas.openxmlformats.org/officeDocument/2006/relationships/chart" Target="../charts/chart12.xml"/><Relationship Id="rId15" Type="http://schemas.openxmlformats.org/officeDocument/2006/relationships/hyperlink" Target="#SprintReview!B8"/><Relationship Id="rId10" Type="http://schemas.openxmlformats.org/officeDocument/2006/relationships/hyperlink" Target="#Logo!D14"/><Relationship Id="rId19" Type="http://schemas.openxmlformats.org/officeDocument/2006/relationships/hyperlink" Target="#SprintReview!A1"/><Relationship Id="rId4" Type="http://schemas.openxmlformats.org/officeDocument/2006/relationships/chart" Target="../charts/chart11.xml"/><Relationship Id="rId9" Type="http://schemas.openxmlformats.org/officeDocument/2006/relationships/hyperlink" Target="#Projektteam!AD11"/><Relationship Id="rId14" Type="http://schemas.openxmlformats.org/officeDocument/2006/relationships/chart" Target="../charts/chart13.xml"/></Relationships>
</file>

<file path=xl/drawings/_rels/drawing10.xml.rels><?xml version="1.0" encoding="UTF-8" standalone="yes"?>
<Relationships xmlns="http://schemas.openxmlformats.org/package/2006/relationships"><Relationship Id="rId8" Type="http://schemas.openxmlformats.org/officeDocument/2006/relationships/hyperlink" Target="http://www.2imanagement.ch/?id=57&amp;helpdesk&amp;topic=9" TargetMode="External"/><Relationship Id="rId13" Type="http://schemas.openxmlformats.org/officeDocument/2006/relationships/hyperlink" Target="#SprintReview!A1"/><Relationship Id="rId3" Type="http://schemas.openxmlformats.org/officeDocument/2006/relationships/chart" Target="../charts/chart16.xml"/><Relationship Id="rId7" Type="http://schemas.openxmlformats.org/officeDocument/2006/relationships/hyperlink" Target="#Projektbudget!A1"/><Relationship Id="rId12" Type="http://schemas.openxmlformats.org/officeDocument/2006/relationships/hyperlink" Target="#SprintBacklog!A1"/><Relationship Id="rId2" Type="http://schemas.openxmlformats.org/officeDocument/2006/relationships/chart" Target="../charts/chart15.xml"/><Relationship Id="rId1" Type="http://schemas.openxmlformats.org/officeDocument/2006/relationships/chart" Target="../charts/chart14.xml"/><Relationship Id="rId6" Type="http://schemas.openxmlformats.org/officeDocument/2006/relationships/image" Target="../media/image6.emf"/><Relationship Id="rId11" Type="http://schemas.openxmlformats.org/officeDocument/2006/relationships/hyperlink" Target="#Detailplan!A1"/><Relationship Id="rId5" Type="http://schemas.openxmlformats.org/officeDocument/2006/relationships/image" Target="../media/image9.png"/><Relationship Id="rId10" Type="http://schemas.openxmlformats.org/officeDocument/2006/relationships/hyperlink" Target="#Projektbudget!E8"/><Relationship Id="rId4" Type="http://schemas.openxmlformats.org/officeDocument/2006/relationships/hyperlink" Target="#Projektmgmt!A1"/><Relationship Id="rId9" Type="http://schemas.openxmlformats.org/officeDocument/2006/relationships/hyperlink" Target="#Projektteam!AD11"/></Relationships>
</file>

<file path=xl/drawings/_rels/drawing11.xml.rels><?xml version="1.0" encoding="UTF-8" standalone="yes"?>
<Relationships xmlns="http://schemas.openxmlformats.org/package/2006/relationships"><Relationship Id="rId8" Type="http://schemas.openxmlformats.org/officeDocument/2006/relationships/image" Target="../media/image6.emf"/><Relationship Id="rId13" Type="http://schemas.openxmlformats.org/officeDocument/2006/relationships/hyperlink" Target="#Projektteam!A1"/><Relationship Id="rId18" Type="http://schemas.openxmlformats.org/officeDocument/2006/relationships/hyperlink" Target="#Projektabschluss!A1"/><Relationship Id="rId3" Type="http://schemas.openxmlformats.org/officeDocument/2006/relationships/hyperlink" Target="#Projektmgmt!A1"/><Relationship Id="rId7" Type="http://schemas.openxmlformats.org/officeDocument/2006/relationships/hyperlink" Target="#Projektteam!C10"/><Relationship Id="rId12" Type="http://schemas.openxmlformats.org/officeDocument/2006/relationships/image" Target="../media/image12.png"/><Relationship Id="rId17" Type="http://schemas.openxmlformats.org/officeDocument/2006/relationships/hyperlink" Target="#SprintRetrospective!A1"/><Relationship Id="rId2" Type="http://schemas.openxmlformats.org/officeDocument/2006/relationships/chart" Target="../charts/chart18.xml"/><Relationship Id="rId16" Type="http://schemas.openxmlformats.org/officeDocument/2006/relationships/hyperlink" Target="#SprintBacklog!A1"/><Relationship Id="rId1" Type="http://schemas.openxmlformats.org/officeDocument/2006/relationships/chart" Target="../charts/chart17.xml"/><Relationship Id="rId6" Type="http://schemas.openxmlformats.org/officeDocument/2006/relationships/chart" Target="../charts/chart19.xml"/><Relationship Id="rId11" Type="http://schemas.openxmlformats.org/officeDocument/2006/relationships/hyperlink" Target="#Logo!D12"/><Relationship Id="rId5" Type="http://schemas.openxmlformats.org/officeDocument/2006/relationships/hyperlink" Target="#Projektteam!B11"/><Relationship Id="rId15" Type="http://schemas.openxmlformats.org/officeDocument/2006/relationships/hyperlink" Target="#Detailplan!A1"/><Relationship Id="rId10" Type="http://schemas.openxmlformats.org/officeDocument/2006/relationships/chart" Target="../charts/chart20.xml"/><Relationship Id="rId4" Type="http://schemas.openxmlformats.org/officeDocument/2006/relationships/image" Target="../media/image9.png"/><Relationship Id="rId9" Type="http://schemas.openxmlformats.org/officeDocument/2006/relationships/hyperlink" Target="http://www.2imanagement.ch/?id=57&amp;helpdesk&amp;topic=9" TargetMode="External"/><Relationship Id="rId14" Type="http://schemas.openxmlformats.org/officeDocument/2006/relationships/hyperlink" Target="#Projektauftrag!A1"/></Relationships>
</file>

<file path=xl/drawings/_rels/drawing12.xml.rels><?xml version="1.0" encoding="UTF-8" standalone="yes"?>
<Relationships xmlns="http://schemas.openxmlformats.org/package/2006/relationships"><Relationship Id="rId8" Type="http://schemas.openxmlformats.org/officeDocument/2006/relationships/hyperlink" Target="#Projektteam!A1"/><Relationship Id="rId3" Type="http://schemas.openxmlformats.org/officeDocument/2006/relationships/hyperlink" Target="#Stakeholder!C5"/><Relationship Id="rId7" Type="http://schemas.openxmlformats.org/officeDocument/2006/relationships/hyperlink" Target="#Machbarkeit!A1"/><Relationship Id="rId2" Type="http://schemas.openxmlformats.org/officeDocument/2006/relationships/image" Target="../media/image13.gif"/><Relationship Id="rId1" Type="http://schemas.openxmlformats.org/officeDocument/2006/relationships/hyperlink" Target="#Stakeholder!A50"/><Relationship Id="rId6" Type="http://schemas.openxmlformats.org/officeDocument/2006/relationships/chart" Target="../charts/chart21.xml"/><Relationship Id="rId11" Type="http://schemas.openxmlformats.org/officeDocument/2006/relationships/hyperlink" Target="#SprintBacklog!A1"/><Relationship Id="rId5" Type="http://schemas.openxmlformats.org/officeDocument/2006/relationships/hyperlink" Target="http://www.2imanagement.ch/?id=57&amp;helpdesk&amp;topic=9" TargetMode="External"/><Relationship Id="rId10" Type="http://schemas.openxmlformats.org/officeDocument/2006/relationships/hyperlink" Target="#Detailplan!A1"/><Relationship Id="rId4" Type="http://schemas.openxmlformats.org/officeDocument/2006/relationships/image" Target="../media/image6.emf"/><Relationship Id="rId9" Type="http://schemas.openxmlformats.org/officeDocument/2006/relationships/hyperlink" Target="#Projektauftrag!A1"/></Relationships>
</file>

<file path=xl/drawings/_rels/drawing13.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9.png"/><Relationship Id="rId1" Type="http://schemas.openxmlformats.org/officeDocument/2006/relationships/hyperlink" Target="#Projektmgmt!A1"/><Relationship Id="rId5" Type="http://schemas.openxmlformats.org/officeDocument/2006/relationships/hyperlink" Target="http://www.2imanagement.ch/?id=49" TargetMode="External"/><Relationship Id="rId4" Type="http://schemas.openxmlformats.org/officeDocument/2006/relationships/hyperlink" Target="http://www.2imanagement.ch/?id=57&amp;helpdesk&amp;topic=9" TargetMode="External"/></Relationships>
</file>

<file path=xl/drawings/_rels/drawing14.xml.rels><?xml version="1.0" encoding="UTF-8" standalone="yes"?>
<Relationships xmlns="http://schemas.openxmlformats.org/package/2006/relationships"><Relationship Id="rId8" Type="http://schemas.openxmlformats.org/officeDocument/2006/relationships/hyperlink" Target="#SprintBacklog!A1"/><Relationship Id="rId3" Type="http://schemas.openxmlformats.org/officeDocument/2006/relationships/hyperlink" Target="http://www.2imanagement.ch/?id=57&amp;helpdesk&amp;topic=9" TargetMode="External"/><Relationship Id="rId7" Type="http://schemas.openxmlformats.org/officeDocument/2006/relationships/hyperlink" Target="#Detailplan!A1"/><Relationship Id="rId2" Type="http://schemas.openxmlformats.org/officeDocument/2006/relationships/image" Target="../media/image10.png"/><Relationship Id="rId1" Type="http://schemas.openxmlformats.org/officeDocument/2006/relationships/image" Target="../media/image6.emf"/><Relationship Id="rId6" Type="http://schemas.openxmlformats.org/officeDocument/2006/relationships/hyperlink" Target="#Projektauftrag!A1"/><Relationship Id="rId5" Type="http://schemas.openxmlformats.org/officeDocument/2006/relationships/hyperlink" Target="#Projektteam!A1"/><Relationship Id="rId4" Type="http://schemas.openxmlformats.org/officeDocument/2006/relationships/hyperlink" Target="#Machbarkeit!A1"/></Relationships>
</file>

<file path=xl/drawings/_rels/drawing15.xml.rels><?xml version="1.0" encoding="UTF-8" standalone="yes"?>
<Relationships xmlns="http://schemas.openxmlformats.org/package/2006/relationships"><Relationship Id="rId8" Type="http://schemas.openxmlformats.org/officeDocument/2006/relationships/hyperlink" Target="#SprintBacklog!A1"/><Relationship Id="rId3" Type="http://schemas.openxmlformats.org/officeDocument/2006/relationships/chart" Target="../charts/chart22.xml"/><Relationship Id="rId7" Type="http://schemas.openxmlformats.org/officeDocument/2006/relationships/hyperlink" Target="#Detailplan!A1"/><Relationship Id="rId2" Type="http://schemas.openxmlformats.org/officeDocument/2006/relationships/hyperlink" Target="http://www.2imanagement.ch/?id=57&amp;helpdesk&amp;topic=9" TargetMode="External"/><Relationship Id="rId1" Type="http://schemas.openxmlformats.org/officeDocument/2006/relationships/image" Target="../media/image6.emf"/><Relationship Id="rId6" Type="http://schemas.openxmlformats.org/officeDocument/2006/relationships/hyperlink" Target="#Projektauftrag!A1"/><Relationship Id="rId5" Type="http://schemas.openxmlformats.org/officeDocument/2006/relationships/hyperlink" Target="#Projektteam!A1"/><Relationship Id="rId4" Type="http://schemas.openxmlformats.org/officeDocument/2006/relationships/hyperlink" Target="#Machbarkeit!A1"/></Relationships>
</file>

<file path=xl/drawings/_rels/drawing16.xml.rels><?xml version="1.0" encoding="UTF-8" standalone="yes"?>
<Relationships xmlns="http://schemas.openxmlformats.org/package/2006/relationships"><Relationship Id="rId8" Type="http://schemas.openxmlformats.org/officeDocument/2006/relationships/hyperlink" Target="#Projektteam!A1"/><Relationship Id="rId3" Type="http://schemas.openxmlformats.org/officeDocument/2006/relationships/image" Target="../media/image13.gif"/><Relationship Id="rId7" Type="http://schemas.openxmlformats.org/officeDocument/2006/relationships/hyperlink" Target="#Machbarkeit!A1"/><Relationship Id="rId2" Type="http://schemas.openxmlformats.org/officeDocument/2006/relationships/hyperlink" Target="#Graph_Risk"/><Relationship Id="rId1" Type="http://schemas.openxmlformats.org/officeDocument/2006/relationships/hyperlink" Target="#Risikomgmt!C5"/><Relationship Id="rId6" Type="http://schemas.openxmlformats.org/officeDocument/2006/relationships/hyperlink" Target="http://www.2imanagement.ch/?id=57&amp;helpdesk&amp;topic=9" TargetMode="External"/><Relationship Id="rId11" Type="http://schemas.openxmlformats.org/officeDocument/2006/relationships/hyperlink" Target="#SprintBacklog!A1"/><Relationship Id="rId5" Type="http://schemas.openxmlformats.org/officeDocument/2006/relationships/image" Target="../media/image6.emf"/><Relationship Id="rId10" Type="http://schemas.openxmlformats.org/officeDocument/2006/relationships/hyperlink" Target="#Detailplan!A1"/><Relationship Id="rId4" Type="http://schemas.openxmlformats.org/officeDocument/2006/relationships/chart" Target="../charts/chart23.xml"/><Relationship Id="rId9" Type="http://schemas.openxmlformats.org/officeDocument/2006/relationships/hyperlink" Target="#Projektauftrag!A1"/></Relationships>
</file>

<file path=xl/drawings/_rels/drawing17.xml.rels><?xml version="1.0" encoding="UTF-8" standalone="yes"?>
<Relationships xmlns="http://schemas.openxmlformats.org/package/2006/relationships"><Relationship Id="rId8" Type="http://schemas.openxmlformats.org/officeDocument/2006/relationships/image" Target="../media/image6.emf"/><Relationship Id="rId13" Type="http://schemas.openxmlformats.org/officeDocument/2006/relationships/hyperlink" Target="#'Swot-Analyse'!A1"/><Relationship Id="rId18" Type="http://schemas.openxmlformats.org/officeDocument/2006/relationships/hyperlink" Target="#SprintBacklog!A1"/><Relationship Id="rId3" Type="http://schemas.openxmlformats.org/officeDocument/2006/relationships/hyperlink" Target="#Kunden"/><Relationship Id="rId7" Type="http://schemas.openxmlformats.org/officeDocument/2006/relationships/hyperlink" Target="#Machbarkeit!A2"/><Relationship Id="rId12" Type="http://schemas.openxmlformats.org/officeDocument/2006/relationships/hyperlink" Target="#Stakeholder!A1"/><Relationship Id="rId17" Type="http://schemas.openxmlformats.org/officeDocument/2006/relationships/hyperlink" Target="#Detailplan!A1"/><Relationship Id="rId2" Type="http://schemas.openxmlformats.org/officeDocument/2006/relationships/hyperlink" Target="#Mitbewerber"/><Relationship Id="rId16" Type="http://schemas.openxmlformats.org/officeDocument/2006/relationships/hyperlink" Target="#Projektauftrag!A1"/><Relationship Id="rId1" Type="http://schemas.openxmlformats.org/officeDocument/2006/relationships/chart" Target="../charts/chart24.xml"/><Relationship Id="rId6" Type="http://schemas.openxmlformats.org/officeDocument/2006/relationships/hyperlink" Target="#Rivalitaet"/><Relationship Id="rId11" Type="http://schemas.openxmlformats.org/officeDocument/2006/relationships/image" Target="../media/image9.png"/><Relationship Id="rId5" Type="http://schemas.openxmlformats.org/officeDocument/2006/relationships/hyperlink" Target="#Lieferanten"/><Relationship Id="rId15" Type="http://schemas.openxmlformats.org/officeDocument/2006/relationships/hyperlink" Target="#Kommunikation!A1"/><Relationship Id="rId10" Type="http://schemas.openxmlformats.org/officeDocument/2006/relationships/hyperlink" Target="#Projektmgmt!A1"/><Relationship Id="rId4" Type="http://schemas.openxmlformats.org/officeDocument/2006/relationships/hyperlink" Target="#Ersatzprodukte"/><Relationship Id="rId9" Type="http://schemas.openxmlformats.org/officeDocument/2006/relationships/hyperlink" Target="http://www.2imanagement.ch/?id=57&amp;helpdesk&amp;topic=9" TargetMode="External"/><Relationship Id="rId14" Type="http://schemas.openxmlformats.org/officeDocument/2006/relationships/hyperlink" Target="#Risikomgmt!A1"/></Relationships>
</file>

<file path=xl/drawings/_rels/drawing18.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hyperlink" Target="#Detailplan!A1"/></Relationships>
</file>

<file path=xl/drawings/_rels/drawing19.xml.rels><?xml version="1.0" encoding="UTF-8" standalone="yes"?>
<Relationships xmlns="http://schemas.openxmlformats.org/package/2006/relationships"><Relationship Id="rId3" Type="http://schemas.openxmlformats.org/officeDocument/2006/relationships/image" Target="../media/image14.jpeg"/><Relationship Id="rId7" Type="http://schemas.openxmlformats.org/officeDocument/2006/relationships/hyperlink" Target="http://www.2imanagement.ch/?id=49" TargetMode="External"/><Relationship Id="rId2" Type="http://schemas.openxmlformats.org/officeDocument/2006/relationships/image" Target="../media/image9.png"/><Relationship Id="rId1" Type="http://schemas.openxmlformats.org/officeDocument/2006/relationships/hyperlink" Target="#Projektmgmt!A1"/><Relationship Id="rId6" Type="http://schemas.openxmlformats.org/officeDocument/2006/relationships/hyperlink" Target="http://www.2imanagement.ch/?id=57&amp;helpdesk&amp;topic=9" TargetMode="External"/><Relationship Id="rId5" Type="http://schemas.openxmlformats.org/officeDocument/2006/relationships/chart" Target="../charts/chart26.xml"/><Relationship Id="rId4" Type="http://schemas.openxmlformats.org/officeDocument/2006/relationships/chart" Target="../charts/chart25.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249</xdr:row>
      <xdr:rowOff>0</xdr:rowOff>
    </xdr:from>
    <xdr:to>
      <xdr:col>2</xdr:col>
      <xdr:colOff>223837</xdr:colOff>
      <xdr:row>249</xdr:row>
      <xdr:rowOff>0</xdr:rowOff>
    </xdr:to>
    <xdr:pic>
      <xdr:nvPicPr>
        <xdr:cNvPr id="2" name="Grafik 215039">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62000" y="40185975"/>
          <a:ext cx="185737" cy="200025"/>
        </a:xfrm>
        <a:prstGeom prst="rect">
          <a:avLst/>
        </a:prstGeom>
      </xdr:spPr>
    </xdr:pic>
    <xdr:clientData/>
  </xdr:twoCellAnchor>
  <xdr:twoCellAnchor editAs="oneCell">
    <xdr:from>
      <xdr:col>2</xdr:col>
      <xdr:colOff>28575</xdr:colOff>
      <xdr:row>249</xdr:row>
      <xdr:rowOff>0</xdr:rowOff>
    </xdr:from>
    <xdr:to>
      <xdr:col>2</xdr:col>
      <xdr:colOff>238099</xdr:colOff>
      <xdr:row>249</xdr:row>
      <xdr:rowOff>0</xdr:rowOff>
    </xdr:to>
    <xdr:pic>
      <xdr:nvPicPr>
        <xdr:cNvPr id="3" name="Grafik 21504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752475" y="40376475"/>
          <a:ext cx="209524" cy="200000"/>
        </a:xfrm>
        <a:prstGeom prst="rect">
          <a:avLst/>
        </a:prstGeom>
      </xdr:spPr>
    </xdr:pic>
    <xdr:clientData/>
  </xdr:twoCellAnchor>
  <xdr:twoCellAnchor editAs="oneCell">
    <xdr:from>
      <xdr:col>2</xdr:col>
      <xdr:colOff>9525</xdr:colOff>
      <xdr:row>249</xdr:row>
      <xdr:rowOff>0</xdr:rowOff>
    </xdr:from>
    <xdr:to>
      <xdr:col>2</xdr:col>
      <xdr:colOff>238125</xdr:colOff>
      <xdr:row>249</xdr:row>
      <xdr:rowOff>0</xdr:rowOff>
    </xdr:to>
    <xdr:pic>
      <xdr:nvPicPr>
        <xdr:cNvPr id="4" name="il_fi" descr="http://www.clker.com/cliparts/r/J/g/C/D/c/free-zone-starts-hi.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557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38099</xdr:colOff>
      <xdr:row>249</xdr:row>
      <xdr:rowOff>0</xdr:rowOff>
    </xdr:from>
    <xdr:to>
      <xdr:col>2</xdr:col>
      <xdr:colOff>217305</xdr:colOff>
      <xdr:row>249</xdr:row>
      <xdr:rowOff>0</xdr:rowOff>
    </xdr:to>
    <xdr:pic>
      <xdr:nvPicPr>
        <xdr:cNvPr id="5" name="il_fi" descr="http://upload.wikimedia.org/wikipedia/commons/thumb/e/e9/Google_Calendar.png/180px-Google_Calendar.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786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xdr:colOff>
      <xdr:row>249</xdr:row>
      <xdr:rowOff>0</xdr:rowOff>
    </xdr:from>
    <xdr:to>
      <xdr:col>3</xdr:col>
      <xdr:colOff>223837</xdr:colOff>
      <xdr:row>249</xdr:row>
      <xdr:rowOff>0</xdr:rowOff>
    </xdr:to>
    <xdr:pic>
      <xdr:nvPicPr>
        <xdr:cNvPr id="6" name="Grafik 39">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762000" y="39804975"/>
          <a:ext cx="185737" cy="200025"/>
        </a:xfrm>
        <a:prstGeom prst="rect">
          <a:avLst/>
        </a:prstGeom>
      </xdr:spPr>
    </xdr:pic>
    <xdr:clientData/>
  </xdr:twoCellAnchor>
  <xdr:twoCellAnchor editAs="oneCell">
    <xdr:from>
      <xdr:col>3</xdr:col>
      <xdr:colOff>28575</xdr:colOff>
      <xdr:row>249</xdr:row>
      <xdr:rowOff>0</xdr:rowOff>
    </xdr:from>
    <xdr:to>
      <xdr:col>3</xdr:col>
      <xdr:colOff>238099</xdr:colOff>
      <xdr:row>249</xdr:row>
      <xdr:rowOff>0</xdr:rowOff>
    </xdr:to>
    <xdr:pic>
      <xdr:nvPicPr>
        <xdr:cNvPr id="7" name="Grafik 40">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752475" y="39995475"/>
          <a:ext cx="209524" cy="200000"/>
        </a:xfrm>
        <a:prstGeom prst="rect">
          <a:avLst/>
        </a:prstGeom>
      </xdr:spPr>
    </xdr:pic>
    <xdr:clientData/>
  </xdr:twoCellAnchor>
  <xdr:twoCellAnchor editAs="oneCell">
    <xdr:from>
      <xdr:col>3</xdr:col>
      <xdr:colOff>9525</xdr:colOff>
      <xdr:row>249</xdr:row>
      <xdr:rowOff>0</xdr:rowOff>
    </xdr:from>
    <xdr:to>
      <xdr:col>3</xdr:col>
      <xdr:colOff>238125</xdr:colOff>
      <xdr:row>249</xdr:row>
      <xdr:rowOff>0</xdr:rowOff>
    </xdr:to>
    <xdr:pic>
      <xdr:nvPicPr>
        <xdr:cNvPr id="8" name="il_fi" descr="http://www.clker.com/cliparts/r/J/g/C/D/c/free-zone-starts-hi.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176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38099</xdr:colOff>
      <xdr:row>249</xdr:row>
      <xdr:rowOff>0</xdr:rowOff>
    </xdr:from>
    <xdr:to>
      <xdr:col>3</xdr:col>
      <xdr:colOff>217305</xdr:colOff>
      <xdr:row>249</xdr:row>
      <xdr:rowOff>0</xdr:rowOff>
    </xdr:to>
    <xdr:pic>
      <xdr:nvPicPr>
        <xdr:cNvPr id="9" name="il_fi" descr="http://upload.wikimedia.org/wikipedia/commons/thumb/e/e9/Google_Calendar.png/180px-Google_Calendar.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405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35719</xdr:colOff>
      <xdr:row>249</xdr:row>
      <xdr:rowOff>0</xdr:rowOff>
    </xdr:from>
    <xdr:to>
      <xdr:col>2</xdr:col>
      <xdr:colOff>221456</xdr:colOff>
      <xdr:row>249</xdr:row>
      <xdr:rowOff>0</xdr:rowOff>
    </xdr:to>
    <xdr:pic>
      <xdr:nvPicPr>
        <xdr:cNvPr id="10" name="Grafik 56">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stretch>
          <a:fillRect/>
        </a:stretch>
      </xdr:blipFill>
      <xdr:spPr>
        <a:xfrm>
          <a:off x="759619" y="46672500"/>
          <a:ext cx="185737" cy="200025"/>
        </a:xfrm>
        <a:prstGeom prst="rect">
          <a:avLst/>
        </a:prstGeom>
      </xdr:spPr>
    </xdr:pic>
    <xdr:clientData/>
  </xdr:twoCellAnchor>
  <xdr:twoCellAnchor editAs="oneCell">
    <xdr:from>
      <xdr:col>2</xdr:col>
      <xdr:colOff>23825</xdr:colOff>
      <xdr:row>249</xdr:row>
      <xdr:rowOff>0</xdr:rowOff>
    </xdr:from>
    <xdr:to>
      <xdr:col>2</xdr:col>
      <xdr:colOff>233349</xdr:colOff>
      <xdr:row>249</xdr:row>
      <xdr:rowOff>0</xdr:rowOff>
    </xdr:to>
    <xdr:pic>
      <xdr:nvPicPr>
        <xdr:cNvPr id="11" name="Grafik 57">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a:fillRect/>
        </a:stretch>
      </xdr:blipFill>
      <xdr:spPr>
        <a:xfrm>
          <a:off x="747725" y="46872525"/>
          <a:ext cx="209524" cy="200000"/>
        </a:xfrm>
        <a:prstGeom prst="rect">
          <a:avLst/>
        </a:prstGeom>
      </xdr:spPr>
    </xdr:pic>
    <xdr:clientData/>
  </xdr:twoCellAnchor>
  <xdr:twoCellAnchor editAs="oneCell">
    <xdr:from>
      <xdr:col>2</xdr:col>
      <xdr:colOff>23812</xdr:colOff>
      <xdr:row>249</xdr:row>
      <xdr:rowOff>0</xdr:rowOff>
    </xdr:from>
    <xdr:to>
      <xdr:col>2</xdr:col>
      <xdr:colOff>252412</xdr:colOff>
      <xdr:row>249</xdr:row>
      <xdr:rowOff>0</xdr:rowOff>
    </xdr:to>
    <xdr:pic>
      <xdr:nvPicPr>
        <xdr:cNvPr id="12" name="il_fi" descr="http://www.clker.com/cliparts/r/J/g/C/D/c/free-zone-starts-hi.pn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7272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38984</xdr:colOff>
      <xdr:row>249</xdr:row>
      <xdr:rowOff>0</xdr:rowOff>
    </xdr:from>
    <xdr:to>
      <xdr:col>2</xdr:col>
      <xdr:colOff>218190</xdr:colOff>
      <xdr:row>249</xdr:row>
      <xdr:rowOff>0</xdr:rowOff>
    </xdr:to>
    <xdr:pic>
      <xdr:nvPicPr>
        <xdr:cNvPr id="13" name="il_fi" descr="http://upload.wikimedia.org/wikipedia/commons/thumb/e/e9/Google_Calendar.png/180px-Google_Calendar.pn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42862</xdr:colOff>
      <xdr:row>249</xdr:row>
      <xdr:rowOff>0</xdr:rowOff>
    </xdr:from>
    <xdr:to>
      <xdr:col>2</xdr:col>
      <xdr:colOff>252412</xdr:colOff>
      <xdr:row>249</xdr:row>
      <xdr:rowOff>0</xdr:rowOff>
    </xdr:to>
    <xdr:pic>
      <xdr:nvPicPr>
        <xdr:cNvPr id="14" name="Grafik 61">
          <a:hlinkClick xmlns:r="http://schemas.openxmlformats.org/officeDocument/2006/relationships" r:id="rId5" tooltip="Zuständig/Responsable"/>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6310550"/>
          <a:ext cx="209550" cy="209550"/>
        </a:xfrm>
        <a:prstGeom prst="rect">
          <a:avLst/>
        </a:prstGeom>
      </xdr:spPr>
    </xdr:pic>
    <xdr:clientData/>
  </xdr:twoCellAnchor>
  <xdr:twoCellAnchor editAs="oneCell">
    <xdr:from>
      <xdr:col>3</xdr:col>
      <xdr:colOff>35719</xdr:colOff>
      <xdr:row>249</xdr:row>
      <xdr:rowOff>0</xdr:rowOff>
    </xdr:from>
    <xdr:to>
      <xdr:col>3</xdr:col>
      <xdr:colOff>221456</xdr:colOff>
      <xdr:row>249</xdr:row>
      <xdr:rowOff>0</xdr:rowOff>
    </xdr:to>
    <xdr:pic>
      <xdr:nvPicPr>
        <xdr:cNvPr id="15" name="Grafik 48">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759619" y="46291500"/>
          <a:ext cx="185737" cy="200025"/>
        </a:xfrm>
        <a:prstGeom prst="rect">
          <a:avLst/>
        </a:prstGeom>
      </xdr:spPr>
    </xdr:pic>
    <xdr:clientData/>
  </xdr:twoCellAnchor>
  <xdr:twoCellAnchor editAs="oneCell">
    <xdr:from>
      <xdr:col>3</xdr:col>
      <xdr:colOff>23825</xdr:colOff>
      <xdr:row>249</xdr:row>
      <xdr:rowOff>0</xdr:rowOff>
    </xdr:from>
    <xdr:to>
      <xdr:col>3</xdr:col>
      <xdr:colOff>233349</xdr:colOff>
      <xdr:row>249</xdr:row>
      <xdr:rowOff>0</xdr:rowOff>
    </xdr:to>
    <xdr:pic>
      <xdr:nvPicPr>
        <xdr:cNvPr id="16" name="Grafik 49">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a:stretch>
          <a:fillRect/>
        </a:stretch>
      </xdr:blipFill>
      <xdr:spPr>
        <a:xfrm>
          <a:off x="747725" y="46491525"/>
          <a:ext cx="209524" cy="200000"/>
        </a:xfrm>
        <a:prstGeom prst="rect">
          <a:avLst/>
        </a:prstGeom>
      </xdr:spPr>
    </xdr:pic>
    <xdr:clientData/>
  </xdr:twoCellAnchor>
  <xdr:twoCellAnchor editAs="oneCell">
    <xdr:from>
      <xdr:col>3</xdr:col>
      <xdr:colOff>23812</xdr:colOff>
      <xdr:row>249</xdr:row>
      <xdr:rowOff>0</xdr:rowOff>
    </xdr:from>
    <xdr:to>
      <xdr:col>3</xdr:col>
      <xdr:colOff>252412</xdr:colOff>
      <xdr:row>249</xdr:row>
      <xdr:rowOff>0</xdr:rowOff>
    </xdr:to>
    <xdr:pic>
      <xdr:nvPicPr>
        <xdr:cNvPr id="17" name="il_fi" descr="http://www.clker.com/cliparts/r/J/g/C/D/c/free-zone-starts-hi.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6891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249</xdr:row>
      <xdr:rowOff>0</xdr:rowOff>
    </xdr:from>
    <xdr:to>
      <xdr:col>3</xdr:col>
      <xdr:colOff>218190</xdr:colOff>
      <xdr:row>249</xdr:row>
      <xdr:rowOff>0</xdr:rowOff>
    </xdr:to>
    <xdr:pic>
      <xdr:nvPicPr>
        <xdr:cNvPr id="18" name="il_fi" descr="http://upload.wikimedia.org/wikipedia/commons/thumb/e/e9/Google_Calendar.png/180px-Google_Calendar.png">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42862</xdr:colOff>
      <xdr:row>249</xdr:row>
      <xdr:rowOff>0</xdr:rowOff>
    </xdr:from>
    <xdr:to>
      <xdr:col>3</xdr:col>
      <xdr:colOff>252412</xdr:colOff>
      <xdr:row>249</xdr:row>
      <xdr:rowOff>0</xdr:rowOff>
    </xdr:to>
    <xdr:pic>
      <xdr:nvPicPr>
        <xdr:cNvPr id="19" name="Grafik 52">
          <a:hlinkClick xmlns:r="http://schemas.openxmlformats.org/officeDocument/2006/relationships" r:id="rId5" tooltip="Zuständig/Responsable"/>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5929550"/>
          <a:ext cx="209550" cy="209550"/>
        </a:xfrm>
        <a:prstGeom prst="rect">
          <a:avLst/>
        </a:prstGeom>
      </xdr:spPr>
    </xdr:pic>
    <xdr:clientData/>
  </xdr:twoCellAnchor>
  <xdr:twoCellAnchor editAs="oneCell">
    <xdr:from>
      <xdr:col>3</xdr:col>
      <xdr:colOff>28575</xdr:colOff>
      <xdr:row>249</xdr:row>
      <xdr:rowOff>0</xdr:rowOff>
    </xdr:from>
    <xdr:to>
      <xdr:col>3</xdr:col>
      <xdr:colOff>238099</xdr:colOff>
      <xdr:row>249</xdr:row>
      <xdr:rowOff>0</xdr:rowOff>
    </xdr:to>
    <xdr:pic>
      <xdr:nvPicPr>
        <xdr:cNvPr id="20" name="Grafik 40">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
        <a:stretch>
          <a:fillRect/>
        </a:stretch>
      </xdr:blipFill>
      <xdr:spPr>
        <a:xfrm>
          <a:off x="752475" y="46491525"/>
          <a:ext cx="209524" cy="200000"/>
        </a:xfrm>
        <a:prstGeom prst="rect">
          <a:avLst/>
        </a:prstGeom>
      </xdr:spPr>
    </xdr:pic>
    <xdr:clientData/>
  </xdr:twoCellAnchor>
  <xdr:twoCellAnchor editAs="oneCell">
    <xdr:from>
      <xdr:col>2</xdr:col>
      <xdr:colOff>38984</xdr:colOff>
      <xdr:row>249</xdr:row>
      <xdr:rowOff>0</xdr:rowOff>
    </xdr:from>
    <xdr:to>
      <xdr:col>2</xdr:col>
      <xdr:colOff>218190</xdr:colOff>
      <xdr:row>249</xdr:row>
      <xdr:rowOff>0</xdr:rowOff>
    </xdr:to>
    <xdr:pic>
      <xdr:nvPicPr>
        <xdr:cNvPr id="21" name="il_fi" descr="http://upload.wikimedia.org/wikipedia/commons/thumb/e/e9/Google_Calendar.png/180px-Google_Calendar.png">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249</xdr:row>
      <xdr:rowOff>0</xdr:rowOff>
    </xdr:from>
    <xdr:to>
      <xdr:col>3</xdr:col>
      <xdr:colOff>218190</xdr:colOff>
      <xdr:row>249</xdr:row>
      <xdr:rowOff>0</xdr:rowOff>
    </xdr:to>
    <xdr:pic>
      <xdr:nvPicPr>
        <xdr:cNvPr id="22" name="il_fi" descr="http://upload.wikimedia.org/wikipedia/commons/thumb/e/e9/Google_Calendar.png/180px-Google_Calendar.png">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249</xdr:row>
      <xdr:rowOff>0</xdr:rowOff>
    </xdr:from>
    <xdr:to>
      <xdr:col>3</xdr:col>
      <xdr:colOff>218190</xdr:colOff>
      <xdr:row>249</xdr:row>
      <xdr:rowOff>0</xdr:rowOff>
    </xdr:to>
    <xdr:pic>
      <xdr:nvPicPr>
        <xdr:cNvPr id="23" name="il_fi" descr="http://upload.wikimedia.org/wikipedia/commons/thumb/e/e9/Google_Calendar.png/180px-Google_Calendar.png">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57262</xdr:colOff>
      <xdr:row>3</xdr:row>
      <xdr:rowOff>104774</xdr:rowOff>
    </xdr:from>
    <xdr:to>
      <xdr:col>12</xdr:col>
      <xdr:colOff>24498</xdr:colOff>
      <xdr:row>12</xdr:row>
      <xdr:rowOff>45148</xdr:rowOff>
    </xdr:to>
    <xdr:grpSp>
      <xdr:nvGrpSpPr>
        <xdr:cNvPr id="18" name="Gruppieren 17">
          <a:hlinkClick xmlns:r="http://schemas.openxmlformats.org/officeDocument/2006/relationships" r:id="rId1" tooltip="Sprint Review"/>
          <a:extLst>
            <a:ext uri="{FF2B5EF4-FFF2-40B4-BE49-F238E27FC236}">
              <a16:creationId xmlns:a16="http://schemas.microsoft.com/office/drawing/2014/main" id="{00000000-0008-0000-0100-000012000000}"/>
            </a:ext>
          </a:extLst>
        </xdr:cNvPr>
        <xdr:cNvGrpSpPr/>
      </xdr:nvGrpSpPr>
      <xdr:grpSpPr>
        <a:xfrm>
          <a:off x="5055982" y="912494"/>
          <a:ext cx="2047496" cy="1944434"/>
          <a:chOff x="4924537" y="914399"/>
          <a:chExt cx="1996061" cy="1997774"/>
        </a:xfrm>
      </xdr:grpSpPr>
      <xdr:sp macro="" textlink="">
        <xdr:nvSpPr>
          <xdr:cNvPr id="322" name="Circular Arrow 30">
            <a:extLst>
              <a:ext uri="{FF2B5EF4-FFF2-40B4-BE49-F238E27FC236}">
                <a16:creationId xmlns:a16="http://schemas.microsoft.com/office/drawing/2014/main" id="{00000000-0008-0000-0100-000042010000}"/>
              </a:ext>
            </a:extLst>
          </xdr:cNvPr>
          <xdr:cNvSpPr/>
        </xdr:nvSpPr>
        <xdr:spPr>
          <a:xfrm>
            <a:off x="4924537" y="914399"/>
            <a:ext cx="1996061" cy="1997774"/>
          </a:xfrm>
          <a:prstGeom prst="circularArrow">
            <a:avLst>
              <a:gd name="adj1" fmla="val 12363"/>
              <a:gd name="adj2" fmla="val 1142319"/>
              <a:gd name="adj3" fmla="val 19549816"/>
              <a:gd name="adj4" fmla="val 6934449"/>
              <a:gd name="adj5" fmla="val 12500"/>
            </a:avLst>
          </a:prstGeom>
          <a:solidFill>
            <a:srgbClr val="4DADB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algn="ctr"/>
            <a:endParaRPr lang="en-US" sz="1800">
              <a:solidFill>
                <a:sysClr val="windowText" lastClr="000000"/>
              </a:solidFill>
              <a:latin typeface="Lato Light" panose="020F0502020204030203" pitchFamily="34" charset="0"/>
            </a:endParaRPr>
          </a:p>
        </xdr:txBody>
      </xdr:sp>
      <xdr:sp macro="" textlink="' '!A104">
        <xdr:nvSpPr>
          <xdr:cNvPr id="327" name="TextBox 38">
            <a:extLst>
              <a:ext uri="{FF2B5EF4-FFF2-40B4-BE49-F238E27FC236}">
                <a16:creationId xmlns:a16="http://schemas.microsoft.com/office/drawing/2014/main" id="{00000000-0008-0000-0100-000047010000}"/>
              </a:ext>
            </a:extLst>
          </xdr:cNvPr>
          <xdr:cNvSpPr txBox="1"/>
        </xdr:nvSpPr>
        <xdr:spPr>
          <a:xfrm>
            <a:off x="5334000" y="1526714"/>
            <a:ext cx="1181100" cy="593239"/>
          </a:xfrm>
          <a:prstGeom prst="rect">
            <a:avLst/>
          </a:prstGeom>
          <a:noFill/>
        </xdr:spPr>
        <xdr:txBody>
          <a:bodyPr wrap="square" rtlCol="0" anchor="b"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rtl="0" fontAlgn="base">
              <a:spcBef>
                <a:spcPct val="0"/>
              </a:spcBef>
              <a:spcAft>
                <a:spcPct val="0"/>
              </a:spcAft>
              <a:buFont typeface="Times" pitchFamily="18" charset="0"/>
            </a:pPr>
            <a:fld id="{2D7D65B9-54E6-423E-A4DE-7817A1D2E7C9}" type="TxLink">
              <a:rPr lang="en-US" sz="1600" b="1" kern="1200">
                <a:solidFill>
                  <a:sysClr val="window" lastClr="FFFFFF">
                    <a:lumMod val="65000"/>
                  </a:sysClr>
                </a:solidFill>
                <a:latin typeface="+mn-lt"/>
                <a:ea typeface="League Spartan" charset="0"/>
                <a:cs typeface="Calibri Light" panose="020F0302020204030204" pitchFamily="34" charset="0"/>
              </a:rPr>
              <a:pPr marL="0" indent="0" algn="ctr" rtl="0" fontAlgn="base">
                <a:spcBef>
                  <a:spcPct val="0"/>
                </a:spcBef>
                <a:spcAft>
                  <a:spcPct val="0"/>
                </a:spcAft>
                <a:buFont typeface="Times" pitchFamily="18" charset="0"/>
              </a:pPr>
              <a:t>DAILY SCRUM</a:t>
            </a:fld>
            <a:endParaRPr lang="en-US" sz="1600" b="1" kern="1200">
              <a:solidFill>
                <a:sysClr val="window" lastClr="FFFFFF">
                  <a:lumMod val="65000"/>
                </a:sysClr>
              </a:solidFill>
              <a:latin typeface="+mn-lt"/>
              <a:ea typeface="League Spartan" charset="0"/>
              <a:cs typeface="Calibri Light" panose="020F0302020204030204" pitchFamily="34" charset="0"/>
            </a:endParaRPr>
          </a:p>
        </xdr:txBody>
      </xdr:sp>
    </xdr:grpSp>
    <xdr:clientData/>
  </xdr:twoCellAnchor>
  <xdr:twoCellAnchor editAs="absolute">
    <xdr:from>
      <xdr:col>4</xdr:col>
      <xdr:colOff>678180</xdr:colOff>
      <xdr:row>2</xdr:row>
      <xdr:rowOff>15240</xdr:rowOff>
    </xdr:from>
    <xdr:to>
      <xdr:col>4</xdr:col>
      <xdr:colOff>1813560</xdr:colOff>
      <xdr:row>2</xdr:row>
      <xdr:rowOff>182880</xdr:rowOff>
    </xdr:to>
    <xdr:sp macro="" textlink="">
      <xdr:nvSpPr>
        <xdr:cNvPr id="5" name="Rectangle 4">
          <a:hlinkClick xmlns:r="http://schemas.openxmlformats.org/officeDocument/2006/relationships" r:id="rId2" tooltip="Chef projet"/>
          <a:extLst>
            <a:ext uri="{FF2B5EF4-FFF2-40B4-BE49-F238E27FC236}">
              <a16:creationId xmlns:a16="http://schemas.microsoft.com/office/drawing/2014/main" id="{00000000-0008-0000-0100-000005000000}"/>
            </a:ext>
          </a:extLst>
        </xdr:cNvPr>
        <xdr:cNvSpPr/>
      </xdr:nvSpPr>
      <xdr:spPr>
        <a:xfrm>
          <a:off x="1303020" y="571500"/>
          <a:ext cx="1135380" cy="167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editAs="absolute">
    <xdr:from>
      <xdr:col>6</xdr:col>
      <xdr:colOff>855345</xdr:colOff>
      <xdr:row>2</xdr:row>
      <xdr:rowOff>7620</xdr:rowOff>
    </xdr:from>
    <xdr:to>
      <xdr:col>7</xdr:col>
      <xdr:colOff>672465</xdr:colOff>
      <xdr:row>2</xdr:row>
      <xdr:rowOff>182880</xdr:rowOff>
    </xdr:to>
    <xdr:sp macro="" textlink="">
      <xdr:nvSpPr>
        <xdr:cNvPr id="51" name="Rectangle 50">
          <a:hlinkClick xmlns:r="http://schemas.openxmlformats.org/officeDocument/2006/relationships" r:id="rId3" tooltip="Costs"/>
          <a:extLst>
            <a:ext uri="{FF2B5EF4-FFF2-40B4-BE49-F238E27FC236}">
              <a16:creationId xmlns:a16="http://schemas.microsoft.com/office/drawing/2014/main" id="{00000000-0008-0000-0100-000033000000}"/>
            </a:ext>
          </a:extLst>
        </xdr:cNvPr>
        <xdr:cNvSpPr/>
      </xdr:nvSpPr>
      <xdr:spPr>
        <a:xfrm>
          <a:off x="3731895" y="569595"/>
          <a:ext cx="693420" cy="17526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editAs="absolute">
    <xdr:from>
      <xdr:col>10</xdr:col>
      <xdr:colOff>931545</xdr:colOff>
      <xdr:row>2</xdr:row>
      <xdr:rowOff>9525</xdr:rowOff>
    </xdr:from>
    <xdr:to>
      <xdr:col>11</xdr:col>
      <xdr:colOff>687705</xdr:colOff>
      <xdr:row>2</xdr:row>
      <xdr:rowOff>184785</xdr:rowOff>
    </xdr:to>
    <xdr:sp macro="" textlink="">
      <xdr:nvSpPr>
        <xdr:cNvPr id="52" name="Rectangle 51">
          <a:hlinkClick xmlns:r="http://schemas.openxmlformats.org/officeDocument/2006/relationships" r:id="rId4" tooltip="Costs"/>
          <a:extLst>
            <a:ext uri="{FF2B5EF4-FFF2-40B4-BE49-F238E27FC236}">
              <a16:creationId xmlns:a16="http://schemas.microsoft.com/office/drawing/2014/main" id="{00000000-0008-0000-0100-000034000000}"/>
            </a:ext>
          </a:extLst>
        </xdr:cNvPr>
        <xdr:cNvSpPr/>
      </xdr:nvSpPr>
      <xdr:spPr>
        <a:xfrm>
          <a:off x="5865495" y="571500"/>
          <a:ext cx="708660" cy="17526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editAs="absolute">
    <xdr:from>
      <xdr:col>12</xdr:col>
      <xdr:colOff>22860</xdr:colOff>
      <xdr:row>2</xdr:row>
      <xdr:rowOff>7620</xdr:rowOff>
    </xdr:from>
    <xdr:to>
      <xdr:col>12</xdr:col>
      <xdr:colOff>914400</xdr:colOff>
      <xdr:row>2</xdr:row>
      <xdr:rowOff>190500</xdr:rowOff>
    </xdr:to>
    <xdr:sp macro="" textlink="">
      <xdr:nvSpPr>
        <xdr:cNvPr id="53" name="Rectangle 52">
          <a:hlinkClick xmlns:r="http://schemas.openxmlformats.org/officeDocument/2006/relationships" r:id="rId3" tooltip="Budget h"/>
          <a:extLst>
            <a:ext uri="{FF2B5EF4-FFF2-40B4-BE49-F238E27FC236}">
              <a16:creationId xmlns:a16="http://schemas.microsoft.com/office/drawing/2014/main" id="{00000000-0008-0000-0100-000035000000}"/>
            </a:ext>
          </a:extLst>
        </xdr:cNvPr>
        <xdr:cNvSpPr/>
      </xdr:nvSpPr>
      <xdr:spPr>
        <a:xfrm>
          <a:off x="6987540" y="563880"/>
          <a:ext cx="891540" cy="18288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editAs="absolute">
    <xdr:from>
      <xdr:col>1</xdr:col>
      <xdr:colOff>262890</xdr:colOff>
      <xdr:row>0</xdr:row>
      <xdr:rowOff>100965</xdr:rowOff>
    </xdr:from>
    <xdr:to>
      <xdr:col>7</xdr:col>
      <xdr:colOff>24765</xdr:colOff>
      <xdr:row>0</xdr:row>
      <xdr:rowOff>481965</xdr:rowOff>
    </xdr:to>
    <xdr:sp macro="" textlink="">
      <xdr:nvSpPr>
        <xdr:cNvPr id="54" name="TextBox 53">
          <a:hlinkClick xmlns:r="http://schemas.openxmlformats.org/officeDocument/2006/relationships" r:id="rId5" tooltip="Charter"/>
          <a:extLst>
            <a:ext uri="{FF2B5EF4-FFF2-40B4-BE49-F238E27FC236}">
              <a16:creationId xmlns:a16="http://schemas.microsoft.com/office/drawing/2014/main" id="{00000000-0008-0000-0100-000036000000}"/>
            </a:ext>
          </a:extLst>
        </xdr:cNvPr>
        <xdr:cNvSpPr txBox="1"/>
      </xdr:nvSpPr>
      <xdr:spPr>
        <a:xfrm>
          <a:off x="272415" y="100965"/>
          <a:ext cx="3648075" cy="381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endParaRPr lang="en-US" sz="900" b="0" i="0" u="none" strike="noStrike">
            <a:solidFill>
              <a:srgbClr val="666699"/>
            </a:solidFill>
            <a:latin typeface="Calibri Light" panose="020F0302020204030204" pitchFamily="34" charset="0"/>
            <a:cs typeface="Calibri Light" panose="020F0302020204030204" pitchFamily="34" charset="0"/>
          </a:endParaRPr>
        </a:p>
      </xdr:txBody>
    </xdr:sp>
    <xdr:clientData/>
  </xdr:twoCellAnchor>
  <xdr:twoCellAnchor editAs="absolute">
    <xdr:from>
      <xdr:col>1</xdr:col>
      <xdr:colOff>131445</xdr:colOff>
      <xdr:row>2</xdr:row>
      <xdr:rowOff>38100</xdr:rowOff>
    </xdr:from>
    <xdr:to>
      <xdr:col>2</xdr:col>
      <xdr:colOff>7620</xdr:colOff>
      <xdr:row>2</xdr:row>
      <xdr:rowOff>190500</xdr:rowOff>
    </xdr:to>
    <xdr:sp macro="" textlink="">
      <xdr:nvSpPr>
        <xdr:cNvPr id="55" name="TextBox 54">
          <a:hlinkClick xmlns:r="http://schemas.openxmlformats.org/officeDocument/2006/relationships" r:id="rId6" tooltip="Status"/>
          <a:extLst>
            <a:ext uri="{FF2B5EF4-FFF2-40B4-BE49-F238E27FC236}">
              <a16:creationId xmlns:a16="http://schemas.microsoft.com/office/drawing/2014/main" id="{00000000-0008-0000-0100-000037000000}"/>
            </a:ext>
          </a:extLst>
        </xdr:cNvPr>
        <xdr:cNvSpPr txBox="1"/>
      </xdr:nvSpPr>
      <xdr:spPr>
        <a:xfrm>
          <a:off x="144780" y="594360"/>
          <a:ext cx="152400" cy="15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endParaRPr lang="en-US" sz="900" b="0" i="0" u="none" strike="noStrike">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twoCellAnchor>
  <mc:AlternateContent xmlns:mc="http://schemas.openxmlformats.org/markup-compatibility/2006">
    <mc:Choice xmlns:a14="http://schemas.microsoft.com/office/drawing/2010/main" Requires="a14">
      <xdr:twoCellAnchor editAs="absolute">
        <xdr:from>
          <xdr:col>13</xdr:col>
          <xdr:colOff>240980</xdr:colOff>
          <xdr:row>0</xdr:row>
          <xdr:rowOff>0</xdr:rowOff>
        </xdr:from>
        <xdr:to>
          <xdr:col>14</xdr:col>
          <xdr:colOff>910905</xdr:colOff>
          <xdr:row>1</xdr:row>
          <xdr:rowOff>0</xdr:rowOff>
        </xdr:to>
        <xdr:pic>
          <xdr:nvPicPr>
            <xdr:cNvPr id="60" name="Grafik 59">
              <a:hlinkClick xmlns:r="http://schemas.openxmlformats.org/officeDocument/2006/relationships" r:id="rId7" tooltip="Logo"/>
              <a:extLst>
                <a:ext uri="{FF2B5EF4-FFF2-40B4-BE49-F238E27FC236}">
                  <a16:creationId xmlns:a16="http://schemas.microsoft.com/office/drawing/2014/main" id="{00000000-0008-0000-0100-00003C000000}"/>
                </a:ext>
              </a:extLst>
            </xdr:cNvPr>
            <xdr:cNvPicPr>
              <a:picLocks noChangeAspect="1" noChangeArrowheads="1"/>
              <a:extLst>
                <a:ext uri="{84589F7E-364E-4C9E-8A38-B11213B215E9}">
                  <a14:cameraTool cellRange="Logo!$D$6" spid="_x0000_s200213"/>
                </a:ext>
              </a:extLst>
            </xdr:cNvPicPr>
          </xdr:nvPicPr>
          <xdr:blipFill>
            <a:blip xmlns:r="http://schemas.openxmlformats.org/officeDocument/2006/relationships" r:embed="rId8"/>
            <a:srcRect/>
            <a:stretch>
              <a:fillRect/>
            </a:stretch>
          </xdr:blipFill>
          <xdr:spPr bwMode="auto">
            <a:xfrm>
              <a:off x="8765855" y="0"/>
              <a:ext cx="2289175" cy="533400"/>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14</xdr:col>
          <xdr:colOff>0</xdr:colOff>
          <xdr:row>2</xdr:row>
          <xdr:rowOff>38100</xdr:rowOff>
        </xdr:from>
        <xdr:to>
          <xdr:col>15</xdr:col>
          <xdr:colOff>0</xdr:colOff>
          <xdr:row>2</xdr:row>
          <xdr:rowOff>228600</xdr:rowOff>
        </xdr:to>
        <xdr:sp macro="" textlink="">
          <xdr:nvSpPr>
            <xdr:cNvPr id="200013" name="Drop Down 333" descr="Choose language" hidden="1">
              <a:extLst>
                <a:ext uri="{63B3BB69-23CF-44E3-9099-C40C66FF867C}">
                  <a14:compatExt spid="_x0000_s200013"/>
                </a:ext>
                <a:ext uri="{FF2B5EF4-FFF2-40B4-BE49-F238E27FC236}">
                  <a16:creationId xmlns:a16="http://schemas.microsoft.com/office/drawing/2014/main" id="{00000000-0008-0000-0100-00004D0D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absolute">
    <xdr:from>
      <xdr:col>13</xdr:col>
      <xdr:colOff>37503</xdr:colOff>
      <xdr:row>2</xdr:row>
      <xdr:rowOff>38100</xdr:rowOff>
    </xdr:from>
    <xdr:to>
      <xdr:col>13</xdr:col>
      <xdr:colOff>1348677</xdr:colOff>
      <xdr:row>3</xdr:row>
      <xdr:rowOff>6450</xdr:rowOff>
    </xdr:to>
    <xdr:grpSp>
      <xdr:nvGrpSpPr>
        <xdr:cNvPr id="2" name="Gruppieren 1">
          <a:extLst>
            <a:ext uri="{FF2B5EF4-FFF2-40B4-BE49-F238E27FC236}">
              <a16:creationId xmlns:a16="http://schemas.microsoft.com/office/drawing/2014/main" id="{00000000-0008-0000-0100-000002000000}"/>
            </a:ext>
          </a:extLst>
        </xdr:cNvPr>
        <xdr:cNvGrpSpPr/>
      </xdr:nvGrpSpPr>
      <xdr:grpSpPr>
        <a:xfrm>
          <a:off x="8343303" y="594360"/>
          <a:ext cx="1311174" cy="219810"/>
          <a:chOff x="8096250" y="600075"/>
          <a:chExt cx="1339152" cy="216000"/>
        </a:xfrm>
      </xdr:grpSpPr>
      <xdr:sp macro="" textlink="">
        <xdr:nvSpPr>
          <xdr:cNvPr id="10" name="Ellipse 9">
            <a:hlinkClick xmlns:r="http://schemas.openxmlformats.org/officeDocument/2006/relationships" r:id="rId9"/>
            <a:extLst>
              <a:ext uri="{FF2B5EF4-FFF2-40B4-BE49-F238E27FC236}">
                <a16:creationId xmlns:a16="http://schemas.microsoft.com/office/drawing/2014/main" id="{00000000-0008-0000-0100-00000A000000}"/>
              </a:ext>
            </a:extLst>
          </xdr:cNvPr>
          <xdr:cNvSpPr/>
        </xdr:nvSpPr>
        <xdr:spPr>
          <a:xfrm>
            <a:off x="8096250" y="628650"/>
            <a:ext cx="133350" cy="133350"/>
          </a:xfrm>
          <a:prstGeom prst="ellipse">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grpSp>
        <xdr:nvGrpSpPr>
          <xdr:cNvPr id="4" name="Gruppieren 3">
            <a:hlinkClick xmlns:r="http://schemas.openxmlformats.org/officeDocument/2006/relationships" r:id="rId10" tooltip="Help"/>
            <a:extLst>
              <a:ext uri="{FF2B5EF4-FFF2-40B4-BE49-F238E27FC236}">
                <a16:creationId xmlns:a16="http://schemas.microsoft.com/office/drawing/2014/main" id="{00000000-0008-0000-0100-000004000000}"/>
              </a:ext>
            </a:extLst>
          </xdr:cNvPr>
          <xdr:cNvGrpSpPr/>
        </xdr:nvGrpSpPr>
        <xdr:grpSpPr>
          <a:xfrm>
            <a:off x="9274249" y="605454"/>
            <a:ext cx="161153" cy="173702"/>
            <a:chOff x="9121849" y="605454"/>
            <a:chExt cx="161153" cy="173702"/>
          </a:xfrm>
        </xdr:grpSpPr>
        <xdr:sp macro="" textlink="">
          <xdr:nvSpPr>
            <xdr:cNvPr id="83" name="Rechteck 82">
              <a:extLst>
                <a:ext uri="{FF2B5EF4-FFF2-40B4-BE49-F238E27FC236}">
                  <a16:creationId xmlns:a16="http://schemas.microsoft.com/office/drawing/2014/main" id="{00000000-0008-0000-0100-000053000000}"/>
                </a:ext>
              </a:extLst>
            </xdr:cNvPr>
            <xdr:cNvSpPr>
              <a:spLocks noChangeAspect="1"/>
            </xdr:cNvSpPr>
          </xdr:nvSpPr>
          <xdr:spPr>
            <a:xfrm>
              <a:off x="9121849" y="605454"/>
              <a:ext cx="161153" cy="173702"/>
            </a:xfrm>
            <a:prstGeom prst="rect">
              <a:avLst/>
            </a:prstGeom>
            <a:solidFill>
              <a:srgbClr val="666699"/>
            </a:solidFill>
            <a:ln>
              <a:solidFill>
                <a:srgbClr val="46A1A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4" name="Textfeld 83">
              <a:extLst>
                <a:ext uri="{FF2B5EF4-FFF2-40B4-BE49-F238E27FC236}">
                  <a16:creationId xmlns:a16="http://schemas.microsoft.com/office/drawing/2014/main" id="{00000000-0008-0000-0100-000054000000}"/>
                </a:ext>
              </a:extLst>
            </xdr:cNvPr>
            <xdr:cNvSpPr txBox="1"/>
          </xdr:nvSpPr>
          <xdr:spPr>
            <a:xfrm>
              <a:off x="9165888" y="618182"/>
              <a:ext cx="73074" cy="148246"/>
            </a:xfrm>
            <a:prstGeom prst="rect">
              <a:avLst/>
            </a:prstGeom>
            <a:solidFill>
              <a:srgbClr val="666699"/>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sp macro="[0]!Protokoll_ein" textlink="">
        <xdr:nvSpPr>
          <xdr:cNvPr id="79" name="Rechteck 78">
            <a:extLst>
              <a:ext uri="{FF2B5EF4-FFF2-40B4-BE49-F238E27FC236}">
                <a16:creationId xmlns:a16="http://schemas.microsoft.com/office/drawing/2014/main" id="{00000000-0008-0000-0100-00004F000000}"/>
              </a:ext>
            </a:extLst>
          </xdr:cNvPr>
          <xdr:cNvSpPr>
            <a:spLocks/>
          </xdr:cNvSpPr>
        </xdr:nvSpPr>
        <xdr:spPr>
          <a:xfrm>
            <a:off x="8528215" y="605688"/>
            <a:ext cx="167867" cy="180940"/>
          </a:xfrm>
          <a:prstGeom prst="rect">
            <a:avLst/>
          </a:prstGeom>
          <a:solidFill>
            <a:srgbClr val="666699"/>
          </a:solidFill>
          <a:ln>
            <a:solidFill>
              <a:srgbClr val="46A1A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sp macro="[0]!Protokoll_aus" textlink="">
        <xdr:nvSpPr>
          <xdr:cNvPr id="85" name="Rechteck 84">
            <a:extLst>
              <a:ext uri="{FF2B5EF4-FFF2-40B4-BE49-F238E27FC236}">
                <a16:creationId xmlns:a16="http://schemas.microsoft.com/office/drawing/2014/main" id="{00000000-0008-0000-0100-000055000000}"/>
              </a:ext>
            </a:extLst>
          </xdr:cNvPr>
          <xdr:cNvSpPr>
            <a:spLocks noChangeAspect="1"/>
          </xdr:cNvSpPr>
        </xdr:nvSpPr>
        <xdr:spPr>
          <a:xfrm>
            <a:off x="8739545" y="605688"/>
            <a:ext cx="167112" cy="180940"/>
          </a:xfrm>
          <a:prstGeom prst="rect">
            <a:avLst/>
          </a:prstGeom>
          <a:solidFill>
            <a:srgbClr val="666699"/>
          </a:solidFill>
          <a:ln>
            <a:solidFill>
              <a:srgbClr val="46A1A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sp macro="[0]!Protokoll_aus" textlink="">
        <xdr:nvSpPr>
          <xdr:cNvPr id="65" name="Rechteck 64">
            <a:hlinkClick xmlns:r="http://schemas.openxmlformats.org/officeDocument/2006/relationships" r:id="rId11" tooltip="Download new file"/>
            <a:extLst>
              <a:ext uri="{FF2B5EF4-FFF2-40B4-BE49-F238E27FC236}">
                <a16:creationId xmlns:a16="http://schemas.microsoft.com/office/drawing/2014/main" id="{00000000-0008-0000-0100-000041000000}"/>
              </a:ext>
            </a:extLst>
          </xdr:cNvPr>
          <xdr:cNvSpPr>
            <a:spLocks/>
          </xdr:cNvSpPr>
        </xdr:nvSpPr>
        <xdr:spPr>
          <a:xfrm>
            <a:off x="9059734" y="605688"/>
            <a:ext cx="171224" cy="184558"/>
          </a:xfrm>
          <a:prstGeom prst="rect">
            <a:avLst/>
          </a:prstGeom>
          <a:solidFill>
            <a:srgbClr val="666699"/>
          </a:solidFill>
          <a:ln>
            <a:solidFill>
              <a:srgbClr val="46A1A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3600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2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sym typeface="Wingdings 2" panose="05020102010507070707" pitchFamily="18" charset="2"/>
              </a:rPr>
              <a:t></a:t>
            </a:r>
            <a:endParaRPr kumimoji="0" lang="de-CH" sz="12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66" name="Grafik 65">
            <a:hlinkClick xmlns:r="http://schemas.openxmlformats.org/officeDocument/2006/relationships" r:id="rId12" tooltip="Options"/>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8191500" y="600075"/>
            <a:ext cx="215022" cy="216000"/>
          </a:xfrm>
          <a:prstGeom prst="rect">
            <a:avLst/>
          </a:prstGeom>
        </xdr:spPr>
      </xdr:pic>
    </xdr:grpSp>
    <xdr:clientData/>
  </xdr:twoCellAnchor>
  <xdr:twoCellAnchor editAs="absolute">
    <xdr:from>
      <xdr:col>2</xdr:col>
      <xdr:colOff>174625</xdr:colOff>
      <xdr:row>22</xdr:row>
      <xdr:rowOff>184150</xdr:rowOff>
    </xdr:from>
    <xdr:to>
      <xdr:col>5</xdr:col>
      <xdr:colOff>241300</xdr:colOff>
      <xdr:row>23</xdr:row>
      <xdr:rowOff>107950</xdr:rowOff>
    </xdr:to>
    <xdr:sp macro="" textlink="">
      <xdr:nvSpPr>
        <xdr:cNvPr id="61" name="Rechteck 60">
          <a:hlinkClick xmlns:r="http://schemas.openxmlformats.org/officeDocument/2006/relationships" r:id="rId14"/>
          <a:extLst>
            <a:ext uri="{FF2B5EF4-FFF2-40B4-BE49-F238E27FC236}">
              <a16:creationId xmlns:a16="http://schemas.microsoft.com/office/drawing/2014/main" id="{00000000-0008-0000-0100-00003D000000}"/>
            </a:ext>
          </a:extLst>
        </xdr:cNvPr>
        <xdr:cNvSpPr/>
      </xdr:nvSpPr>
      <xdr:spPr>
        <a:xfrm>
          <a:off x="460375" y="2917825"/>
          <a:ext cx="2486025" cy="1143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editAs="absolute">
    <xdr:from>
      <xdr:col>2</xdr:col>
      <xdr:colOff>88900</xdr:colOff>
      <xdr:row>31</xdr:row>
      <xdr:rowOff>31750</xdr:rowOff>
    </xdr:from>
    <xdr:to>
      <xdr:col>5</xdr:col>
      <xdr:colOff>155575</xdr:colOff>
      <xdr:row>31</xdr:row>
      <xdr:rowOff>247650</xdr:rowOff>
    </xdr:to>
    <xdr:sp macro="" textlink="">
      <xdr:nvSpPr>
        <xdr:cNvPr id="236" name="Rechteck 235">
          <a:hlinkClick xmlns:r="http://schemas.openxmlformats.org/officeDocument/2006/relationships" r:id="rId14"/>
          <a:extLst>
            <a:ext uri="{FF2B5EF4-FFF2-40B4-BE49-F238E27FC236}">
              <a16:creationId xmlns:a16="http://schemas.microsoft.com/office/drawing/2014/main" id="{00000000-0008-0000-0100-0000EC000000}"/>
            </a:ext>
          </a:extLst>
        </xdr:cNvPr>
        <xdr:cNvSpPr/>
      </xdr:nvSpPr>
      <xdr:spPr>
        <a:xfrm>
          <a:off x="374650" y="6384925"/>
          <a:ext cx="2486025" cy="2159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editAs="absolute">
    <xdr:from>
      <xdr:col>2</xdr:col>
      <xdr:colOff>113038</xdr:colOff>
      <xdr:row>21</xdr:row>
      <xdr:rowOff>1187</xdr:rowOff>
    </xdr:from>
    <xdr:to>
      <xdr:col>4</xdr:col>
      <xdr:colOff>500788</xdr:colOff>
      <xdr:row>28</xdr:row>
      <xdr:rowOff>59629</xdr:rowOff>
    </xdr:to>
    <xdr:grpSp>
      <xdr:nvGrpSpPr>
        <xdr:cNvPr id="239" name="Gruppieren 238">
          <a:hlinkClick xmlns:r="http://schemas.openxmlformats.org/officeDocument/2006/relationships" r:id="rId15"/>
          <a:extLst>
            <a:ext uri="{FF2B5EF4-FFF2-40B4-BE49-F238E27FC236}">
              <a16:creationId xmlns:a16="http://schemas.microsoft.com/office/drawing/2014/main" id="{00000000-0008-0000-0100-0000EF000000}"/>
            </a:ext>
          </a:extLst>
        </xdr:cNvPr>
        <xdr:cNvGrpSpPr/>
      </xdr:nvGrpSpPr>
      <xdr:grpSpPr>
        <a:xfrm>
          <a:off x="402598" y="4329347"/>
          <a:ext cx="875430" cy="1338602"/>
          <a:chOff x="398788" y="4449362"/>
          <a:chExt cx="864000" cy="1391942"/>
        </a:xfrm>
      </xdr:grpSpPr>
      <xdr:grpSp>
        <xdr:nvGrpSpPr>
          <xdr:cNvPr id="25" name="Gruppieren 24">
            <a:extLst>
              <a:ext uri="{FF2B5EF4-FFF2-40B4-BE49-F238E27FC236}">
                <a16:creationId xmlns:a16="http://schemas.microsoft.com/office/drawing/2014/main" id="{00000000-0008-0000-0100-000019000000}"/>
              </a:ext>
            </a:extLst>
          </xdr:cNvPr>
          <xdr:cNvGrpSpPr/>
        </xdr:nvGrpSpPr>
        <xdr:grpSpPr>
          <a:xfrm>
            <a:off x="398788" y="4449362"/>
            <a:ext cx="864000" cy="864017"/>
            <a:chOff x="474988" y="4449362"/>
            <a:chExt cx="864000" cy="864017"/>
          </a:xfrm>
        </xdr:grpSpPr>
        <xdr:sp macro="" textlink="">
          <xdr:nvSpPr>
            <xdr:cNvPr id="371" name="Rectangle 340">
              <a:extLst>
                <a:ext uri="{FF2B5EF4-FFF2-40B4-BE49-F238E27FC236}">
                  <a16:creationId xmlns:a16="http://schemas.microsoft.com/office/drawing/2014/main" id="{00000000-0008-0000-0100-000073010000}"/>
                </a:ext>
              </a:extLst>
            </xdr:cNvPr>
            <xdr:cNvSpPr/>
          </xdr:nvSpPr>
          <xdr:spPr>
            <a:xfrm>
              <a:off x="474988" y="4449362"/>
              <a:ext cx="864000" cy="864017"/>
            </a:xfrm>
            <a:prstGeom prst="rect">
              <a:avLst/>
            </a:prstGeom>
            <a:solidFill>
              <a:srgbClr val="4DADB5"/>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nvGrpSpPr>
            <xdr:cNvPr id="12" name="Gruppieren 11">
              <a:extLst>
                <a:ext uri="{FF2B5EF4-FFF2-40B4-BE49-F238E27FC236}">
                  <a16:creationId xmlns:a16="http://schemas.microsoft.com/office/drawing/2014/main" id="{00000000-0008-0000-0100-00000C000000}"/>
                </a:ext>
              </a:extLst>
            </xdr:cNvPr>
            <xdr:cNvGrpSpPr/>
          </xdr:nvGrpSpPr>
          <xdr:grpSpPr>
            <a:xfrm>
              <a:off x="587915" y="4699240"/>
              <a:ext cx="654672" cy="364261"/>
              <a:chOff x="587917" y="4667766"/>
              <a:chExt cx="654672" cy="364261"/>
            </a:xfrm>
          </xdr:grpSpPr>
          <xdr:grpSp>
            <xdr:nvGrpSpPr>
              <xdr:cNvPr id="372" name="Group 343">
                <a:extLst>
                  <a:ext uri="{FF2B5EF4-FFF2-40B4-BE49-F238E27FC236}">
                    <a16:creationId xmlns:a16="http://schemas.microsoft.com/office/drawing/2014/main" id="{00000000-0008-0000-0100-000074010000}"/>
                  </a:ext>
                </a:extLst>
              </xdr:cNvPr>
              <xdr:cNvGrpSpPr/>
            </xdr:nvGrpSpPr>
            <xdr:grpSpPr>
              <a:xfrm>
                <a:off x="587917" y="4667766"/>
                <a:ext cx="654672" cy="72929"/>
                <a:chOff x="1813961" y="8560905"/>
                <a:chExt cx="2271780" cy="265043"/>
              </a:xfrm>
            </xdr:grpSpPr>
            <xdr:sp macro="" textlink="">
              <xdr:nvSpPr>
                <xdr:cNvPr id="379" name="Rectangle 353">
                  <a:extLst>
                    <a:ext uri="{FF2B5EF4-FFF2-40B4-BE49-F238E27FC236}">
                      <a16:creationId xmlns:a16="http://schemas.microsoft.com/office/drawing/2014/main" id="{00000000-0008-0000-0100-00007B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80" name="Rectangle 354">
                  <a:extLst>
                    <a:ext uri="{FF2B5EF4-FFF2-40B4-BE49-F238E27FC236}">
                      <a16:creationId xmlns:a16="http://schemas.microsoft.com/office/drawing/2014/main" id="{00000000-0008-0000-0100-00007C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73" name="Group 344">
                <a:extLst>
                  <a:ext uri="{FF2B5EF4-FFF2-40B4-BE49-F238E27FC236}">
                    <a16:creationId xmlns:a16="http://schemas.microsoft.com/office/drawing/2014/main" id="{00000000-0008-0000-0100-000075010000}"/>
                  </a:ext>
                </a:extLst>
              </xdr:cNvPr>
              <xdr:cNvGrpSpPr/>
            </xdr:nvGrpSpPr>
            <xdr:grpSpPr>
              <a:xfrm>
                <a:off x="587917" y="4813432"/>
                <a:ext cx="654672" cy="72929"/>
                <a:chOff x="1813961" y="8560905"/>
                <a:chExt cx="2271780" cy="265043"/>
              </a:xfrm>
            </xdr:grpSpPr>
            <xdr:sp macro="" textlink="">
              <xdr:nvSpPr>
                <xdr:cNvPr id="377" name="Rectangle 351">
                  <a:extLst>
                    <a:ext uri="{FF2B5EF4-FFF2-40B4-BE49-F238E27FC236}">
                      <a16:creationId xmlns:a16="http://schemas.microsoft.com/office/drawing/2014/main" id="{00000000-0008-0000-0100-000079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78" name="Rectangle 352">
                  <a:extLst>
                    <a:ext uri="{FF2B5EF4-FFF2-40B4-BE49-F238E27FC236}">
                      <a16:creationId xmlns:a16="http://schemas.microsoft.com/office/drawing/2014/main" id="{00000000-0008-0000-0100-00007A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74" name="Group 345">
                <a:extLst>
                  <a:ext uri="{FF2B5EF4-FFF2-40B4-BE49-F238E27FC236}">
                    <a16:creationId xmlns:a16="http://schemas.microsoft.com/office/drawing/2014/main" id="{00000000-0008-0000-0100-000076010000}"/>
                  </a:ext>
                </a:extLst>
              </xdr:cNvPr>
              <xdr:cNvGrpSpPr/>
            </xdr:nvGrpSpPr>
            <xdr:grpSpPr>
              <a:xfrm>
                <a:off x="587917" y="4959098"/>
                <a:ext cx="654672" cy="72929"/>
                <a:chOff x="1813961" y="8560905"/>
                <a:chExt cx="2271780" cy="265043"/>
              </a:xfrm>
            </xdr:grpSpPr>
            <xdr:sp macro="" textlink="">
              <xdr:nvSpPr>
                <xdr:cNvPr id="375" name="Rectangle 349">
                  <a:extLst>
                    <a:ext uri="{FF2B5EF4-FFF2-40B4-BE49-F238E27FC236}">
                      <a16:creationId xmlns:a16="http://schemas.microsoft.com/office/drawing/2014/main" id="{00000000-0008-0000-0100-000077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76" name="Rectangle 350">
                  <a:extLst>
                    <a:ext uri="{FF2B5EF4-FFF2-40B4-BE49-F238E27FC236}">
                      <a16:creationId xmlns:a16="http://schemas.microsoft.com/office/drawing/2014/main" id="{00000000-0008-0000-0100-000078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grpSp>
      <xdr:sp macro="" textlink="' '!A98">
        <xdr:nvSpPr>
          <xdr:cNvPr id="370" name="TextBox 142">
            <a:extLst>
              <a:ext uri="{FF2B5EF4-FFF2-40B4-BE49-F238E27FC236}">
                <a16:creationId xmlns:a16="http://schemas.microsoft.com/office/drawing/2014/main" id="{00000000-0008-0000-0100-000072010000}"/>
              </a:ext>
            </a:extLst>
          </xdr:cNvPr>
          <xdr:cNvSpPr txBox="1"/>
        </xdr:nvSpPr>
        <xdr:spPr>
          <a:xfrm>
            <a:off x="401776" y="5328237"/>
            <a:ext cx="858025" cy="513067"/>
          </a:xfrm>
          <a:prstGeom prst="rect">
            <a:avLst/>
          </a:prstGeom>
          <a:noFill/>
        </xdr:spPr>
        <xdr:txBody>
          <a:bodyPr wrap="square" lIns="36000" tIns="36000" rIns="36000" bIns="36000" rtlCol="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defTabSz="914217" rtl="0" fontAlgn="base">
              <a:spcBef>
                <a:spcPct val="0"/>
              </a:spcBef>
              <a:spcAft>
                <a:spcPct val="0"/>
              </a:spcAft>
              <a:buFont typeface="Times" pitchFamily="18" charset="0"/>
              <a:defRPr/>
            </a:pPr>
            <a:fld id="{9225420B-B7F1-4ED5-81A6-30043953A6E6}" type="TxLink">
              <a:rPr lang="en-US" sz="1400" b="1" kern="1200">
                <a:solidFill>
                  <a:sysClr val="window" lastClr="FFFFFF">
                    <a:lumMod val="65000"/>
                  </a:sysClr>
                </a:solidFill>
                <a:latin typeface="Calibri Light" panose="020F0302020204030204"/>
                <a:ea typeface="+mn-ea"/>
                <a:cs typeface="Poppins" pitchFamily="2" charset="77"/>
              </a:rPr>
              <a:pPr marL="0" indent="0" algn="ctr" defTabSz="914217" rtl="0" fontAlgn="base">
                <a:spcBef>
                  <a:spcPct val="0"/>
                </a:spcBef>
                <a:spcAft>
                  <a:spcPct val="0"/>
                </a:spcAft>
                <a:buFont typeface="Times" pitchFamily="18" charset="0"/>
                <a:defRPr/>
              </a:pPr>
              <a:t>Vision Scope</a:t>
            </a:fld>
            <a:endParaRPr lang="fr-CH" sz="1400" b="1" kern="1200">
              <a:solidFill>
                <a:sysClr val="window" lastClr="FFFFFF">
                  <a:lumMod val="65000"/>
                </a:sysClr>
              </a:solidFill>
              <a:latin typeface="Calibri Light" panose="020F0302020204030204"/>
              <a:ea typeface="+mn-ea"/>
              <a:cs typeface="Poppins" pitchFamily="2" charset="77"/>
            </a:endParaRPr>
          </a:p>
        </xdr:txBody>
      </xdr:sp>
    </xdr:grpSp>
    <xdr:clientData/>
  </xdr:twoCellAnchor>
  <xdr:twoCellAnchor editAs="absolute">
    <xdr:from>
      <xdr:col>4</xdr:col>
      <xdr:colOff>677946</xdr:colOff>
      <xdr:row>19</xdr:row>
      <xdr:rowOff>173572</xdr:rowOff>
    </xdr:from>
    <xdr:to>
      <xdr:col>4</xdr:col>
      <xdr:colOff>1541946</xdr:colOff>
      <xdr:row>28</xdr:row>
      <xdr:rowOff>69153</xdr:rowOff>
    </xdr:to>
    <xdr:grpSp>
      <xdr:nvGrpSpPr>
        <xdr:cNvPr id="3" name="Gruppieren 2">
          <a:hlinkClick xmlns:r="http://schemas.openxmlformats.org/officeDocument/2006/relationships" r:id="rId16"/>
          <a:extLst>
            <a:ext uri="{FF2B5EF4-FFF2-40B4-BE49-F238E27FC236}">
              <a16:creationId xmlns:a16="http://schemas.microsoft.com/office/drawing/2014/main" id="{00000000-0008-0000-0100-000003000000}"/>
            </a:ext>
          </a:extLst>
        </xdr:cNvPr>
        <xdr:cNvGrpSpPr/>
      </xdr:nvGrpSpPr>
      <xdr:grpSpPr>
        <a:xfrm>
          <a:off x="1455186" y="4135972"/>
          <a:ext cx="864000" cy="1541501"/>
          <a:chOff x="1439946" y="4240747"/>
          <a:chExt cx="864000" cy="1610081"/>
        </a:xfrm>
      </xdr:grpSpPr>
      <xdr:grpSp>
        <xdr:nvGrpSpPr>
          <xdr:cNvPr id="24" name="Gruppieren 23">
            <a:extLst>
              <a:ext uri="{FF2B5EF4-FFF2-40B4-BE49-F238E27FC236}">
                <a16:creationId xmlns:a16="http://schemas.microsoft.com/office/drawing/2014/main" id="{00000000-0008-0000-0100-000018000000}"/>
              </a:ext>
            </a:extLst>
          </xdr:cNvPr>
          <xdr:cNvGrpSpPr/>
        </xdr:nvGrpSpPr>
        <xdr:grpSpPr>
          <a:xfrm>
            <a:off x="1439946" y="4240747"/>
            <a:ext cx="864000" cy="1072631"/>
            <a:chOff x="1469220" y="4240747"/>
            <a:chExt cx="864000" cy="1072631"/>
          </a:xfrm>
        </xdr:grpSpPr>
        <xdr:sp macro="" textlink="">
          <xdr:nvSpPr>
            <xdr:cNvPr id="350" name="Rectangle 10">
              <a:extLst>
                <a:ext uri="{FF2B5EF4-FFF2-40B4-BE49-F238E27FC236}">
                  <a16:creationId xmlns:a16="http://schemas.microsoft.com/office/drawing/2014/main" id="{00000000-0008-0000-0100-00005E010000}"/>
                </a:ext>
              </a:extLst>
            </xdr:cNvPr>
            <xdr:cNvSpPr/>
          </xdr:nvSpPr>
          <xdr:spPr>
            <a:xfrm>
              <a:off x="1469220" y="4240747"/>
              <a:ext cx="864000" cy="1072631"/>
            </a:xfrm>
            <a:prstGeom prst="rect">
              <a:avLst/>
            </a:prstGeom>
            <a:solidFill>
              <a:srgbClr val="3984A3"/>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nvGrpSpPr>
            <xdr:cNvPr id="9" name="Gruppieren 8">
              <a:extLst>
                <a:ext uri="{FF2B5EF4-FFF2-40B4-BE49-F238E27FC236}">
                  <a16:creationId xmlns:a16="http://schemas.microsoft.com/office/drawing/2014/main" id="{00000000-0008-0000-0100-000009000000}"/>
                </a:ext>
              </a:extLst>
            </xdr:cNvPr>
            <xdr:cNvGrpSpPr/>
          </xdr:nvGrpSpPr>
          <xdr:grpSpPr>
            <a:xfrm>
              <a:off x="1599439" y="4376433"/>
              <a:ext cx="625101" cy="801259"/>
              <a:chOff x="1579927" y="4376433"/>
              <a:chExt cx="625101" cy="801259"/>
            </a:xfrm>
          </xdr:grpSpPr>
          <xdr:grpSp>
            <xdr:nvGrpSpPr>
              <xdr:cNvPr id="351" name="Group 14">
                <a:extLst>
                  <a:ext uri="{FF2B5EF4-FFF2-40B4-BE49-F238E27FC236}">
                    <a16:creationId xmlns:a16="http://schemas.microsoft.com/office/drawing/2014/main" id="{00000000-0008-0000-0100-00005F010000}"/>
                  </a:ext>
                </a:extLst>
              </xdr:cNvPr>
              <xdr:cNvGrpSpPr/>
            </xdr:nvGrpSpPr>
            <xdr:grpSpPr>
              <a:xfrm>
                <a:off x="1579927" y="4376433"/>
                <a:ext cx="625101" cy="72929"/>
                <a:chOff x="1813961" y="8560905"/>
                <a:chExt cx="2271780" cy="265043"/>
              </a:xfrm>
            </xdr:grpSpPr>
            <xdr:sp macro="" textlink="">
              <xdr:nvSpPr>
                <xdr:cNvPr id="367" name="Rectangle 13">
                  <a:extLst>
                    <a:ext uri="{FF2B5EF4-FFF2-40B4-BE49-F238E27FC236}">
                      <a16:creationId xmlns:a16="http://schemas.microsoft.com/office/drawing/2014/main" id="{00000000-0008-0000-0100-00006F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68" name="Rectangle 126">
                  <a:extLst>
                    <a:ext uri="{FF2B5EF4-FFF2-40B4-BE49-F238E27FC236}">
                      <a16:creationId xmlns:a16="http://schemas.microsoft.com/office/drawing/2014/main" id="{00000000-0008-0000-0100-000070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52" name="Group 127">
                <a:extLst>
                  <a:ext uri="{FF2B5EF4-FFF2-40B4-BE49-F238E27FC236}">
                    <a16:creationId xmlns:a16="http://schemas.microsoft.com/office/drawing/2014/main" id="{00000000-0008-0000-0100-000060010000}"/>
                  </a:ext>
                </a:extLst>
              </xdr:cNvPr>
              <xdr:cNvGrpSpPr/>
            </xdr:nvGrpSpPr>
            <xdr:grpSpPr>
              <a:xfrm>
                <a:off x="1579927" y="4522099"/>
                <a:ext cx="625101" cy="72929"/>
                <a:chOff x="1813961" y="8560905"/>
                <a:chExt cx="2271780" cy="265043"/>
              </a:xfrm>
            </xdr:grpSpPr>
            <xdr:sp macro="" textlink="">
              <xdr:nvSpPr>
                <xdr:cNvPr id="365" name="Rectangle 128">
                  <a:extLst>
                    <a:ext uri="{FF2B5EF4-FFF2-40B4-BE49-F238E27FC236}">
                      <a16:creationId xmlns:a16="http://schemas.microsoft.com/office/drawing/2014/main" id="{00000000-0008-0000-0100-00006D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66" name="Rectangle 129">
                  <a:extLst>
                    <a:ext uri="{FF2B5EF4-FFF2-40B4-BE49-F238E27FC236}">
                      <a16:creationId xmlns:a16="http://schemas.microsoft.com/office/drawing/2014/main" id="{00000000-0008-0000-0100-00006E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53" name="Group 130">
                <a:extLst>
                  <a:ext uri="{FF2B5EF4-FFF2-40B4-BE49-F238E27FC236}">
                    <a16:creationId xmlns:a16="http://schemas.microsoft.com/office/drawing/2014/main" id="{00000000-0008-0000-0100-000061010000}"/>
                  </a:ext>
                </a:extLst>
              </xdr:cNvPr>
              <xdr:cNvGrpSpPr/>
            </xdr:nvGrpSpPr>
            <xdr:grpSpPr>
              <a:xfrm>
                <a:off x="1579927" y="4667765"/>
                <a:ext cx="625101" cy="72929"/>
                <a:chOff x="1813961" y="8560905"/>
                <a:chExt cx="2271780" cy="265043"/>
              </a:xfrm>
            </xdr:grpSpPr>
            <xdr:sp macro="" textlink="">
              <xdr:nvSpPr>
                <xdr:cNvPr id="363" name="Rectangle 131">
                  <a:extLst>
                    <a:ext uri="{FF2B5EF4-FFF2-40B4-BE49-F238E27FC236}">
                      <a16:creationId xmlns:a16="http://schemas.microsoft.com/office/drawing/2014/main" id="{00000000-0008-0000-0100-00006B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64" name="Rectangle 132">
                  <a:extLst>
                    <a:ext uri="{FF2B5EF4-FFF2-40B4-BE49-F238E27FC236}">
                      <a16:creationId xmlns:a16="http://schemas.microsoft.com/office/drawing/2014/main" id="{00000000-0008-0000-0100-00006C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54" name="Group 133">
                <a:extLst>
                  <a:ext uri="{FF2B5EF4-FFF2-40B4-BE49-F238E27FC236}">
                    <a16:creationId xmlns:a16="http://schemas.microsoft.com/office/drawing/2014/main" id="{00000000-0008-0000-0100-000062010000}"/>
                  </a:ext>
                </a:extLst>
              </xdr:cNvPr>
              <xdr:cNvGrpSpPr/>
            </xdr:nvGrpSpPr>
            <xdr:grpSpPr>
              <a:xfrm>
                <a:off x="1579927" y="4813431"/>
                <a:ext cx="625101" cy="72929"/>
                <a:chOff x="1813961" y="8560905"/>
                <a:chExt cx="2271780" cy="265043"/>
              </a:xfrm>
            </xdr:grpSpPr>
            <xdr:sp macro="" textlink="">
              <xdr:nvSpPr>
                <xdr:cNvPr id="361" name="Rectangle 134">
                  <a:extLst>
                    <a:ext uri="{FF2B5EF4-FFF2-40B4-BE49-F238E27FC236}">
                      <a16:creationId xmlns:a16="http://schemas.microsoft.com/office/drawing/2014/main" id="{00000000-0008-0000-0100-000069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62" name="Rectangle 135">
                  <a:extLst>
                    <a:ext uri="{FF2B5EF4-FFF2-40B4-BE49-F238E27FC236}">
                      <a16:creationId xmlns:a16="http://schemas.microsoft.com/office/drawing/2014/main" id="{00000000-0008-0000-0100-00006A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55" name="Group 136">
                <a:extLst>
                  <a:ext uri="{FF2B5EF4-FFF2-40B4-BE49-F238E27FC236}">
                    <a16:creationId xmlns:a16="http://schemas.microsoft.com/office/drawing/2014/main" id="{00000000-0008-0000-0100-000063010000}"/>
                  </a:ext>
                </a:extLst>
              </xdr:cNvPr>
              <xdr:cNvGrpSpPr/>
            </xdr:nvGrpSpPr>
            <xdr:grpSpPr>
              <a:xfrm>
                <a:off x="1579927" y="4959097"/>
                <a:ext cx="625101" cy="72929"/>
                <a:chOff x="1813961" y="8560905"/>
                <a:chExt cx="2271780" cy="265043"/>
              </a:xfrm>
            </xdr:grpSpPr>
            <xdr:sp macro="" textlink="">
              <xdr:nvSpPr>
                <xdr:cNvPr id="359" name="Rectangle 137">
                  <a:extLst>
                    <a:ext uri="{FF2B5EF4-FFF2-40B4-BE49-F238E27FC236}">
                      <a16:creationId xmlns:a16="http://schemas.microsoft.com/office/drawing/2014/main" id="{00000000-0008-0000-0100-000067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60" name="Rectangle 138">
                  <a:extLst>
                    <a:ext uri="{FF2B5EF4-FFF2-40B4-BE49-F238E27FC236}">
                      <a16:creationId xmlns:a16="http://schemas.microsoft.com/office/drawing/2014/main" id="{00000000-0008-0000-0100-000068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56" name="Group 139">
                <a:extLst>
                  <a:ext uri="{FF2B5EF4-FFF2-40B4-BE49-F238E27FC236}">
                    <a16:creationId xmlns:a16="http://schemas.microsoft.com/office/drawing/2014/main" id="{00000000-0008-0000-0100-000064010000}"/>
                  </a:ext>
                </a:extLst>
              </xdr:cNvPr>
              <xdr:cNvGrpSpPr/>
            </xdr:nvGrpSpPr>
            <xdr:grpSpPr>
              <a:xfrm>
                <a:off x="1579927" y="5104763"/>
                <a:ext cx="625101" cy="72929"/>
                <a:chOff x="1813961" y="8560905"/>
                <a:chExt cx="2271780" cy="265043"/>
              </a:xfrm>
            </xdr:grpSpPr>
            <xdr:sp macro="" textlink="">
              <xdr:nvSpPr>
                <xdr:cNvPr id="357" name="Rectangle 140">
                  <a:extLst>
                    <a:ext uri="{FF2B5EF4-FFF2-40B4-BE49-F238E27FC236}">
                      <a16:creationId xmlns:a16="http://schemas.microsoft.com/office/drawing/2014/main" id="{00000000-0008-0000-0100-000065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58" name="Rectangle 141">
                  <a:extLst>
                    <a:ext uri="{FF2B5EF4-FFF2-40B4-BE49-F238E27FC236}">
                      <a16:creationId xmlns:a16="http://schemas.microsoft.com/office/drawing/2014/main" id="{00000000-0008-0000-0100-000066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grpSp>
      <xdr:sp macro="" textlink="' '!A99">
        <xdr:nvSpPr>
          <xdr:cNvPr id="349" name="TextBox 142">
            <a:extLst>
              <a:ext uri="{FF2B5EF4-FFF2-40B4-BE49-F238E27FC236}">
                <a16:creationId xmlns:a16="http://schemas.microsoft.com/office/drawing/2014/main" id="{00000000-0008-0000-0100-00005D010000}"/>
              </a:ext>
            </a:extLst>
          </xdr:cNvPr>
          <xdr:cNvSpPr txBox="1"/>
        </xdr:nvSpPr>
        <xdr:spPr>
          <a:xfrm>
            <a:off x="1442934" y="5337761"/>
            <a:ext cx="858025" cy="513067"/>
          </a:xfrm>
          <a:prstGeom prst="rect">
            <a:avLst/>
          </a:prstGeom>
          <a:noFill/>
        </xdr:spPr>
        <xdr:txBody>
          <a:bodyPr wrap="square" lIns="36000" tIns="36000" rIns="36000" bIns="36000" rtlCol="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defTabSz="914217" rtl="0" fontAlgn="base">
              <a:spcBef>
                <a:spcPct val="0"/>
              </a:spcBef>
              <a:spcAft>
                <a:spcPct val="0"/>
              </a:spcAft>
              <a:buFont typeface="Times" pitchFamily="18" charset="0"/>
              <a:defRPr/>
            </a:pPr>
            <a:fld id="{0C05F986-1940-4AB2-AD5D-07A5E30F185C}" type="TxLink">
              <a:rPr lang="en-US" sz="1400" b="1" kern="1200">
                <a:solidFill>
                  <a:sysClr val="window" lastClr="FFFFFF">
                    <a:lumMod val="65000"/>
                  </a:sysClr>
                </a:solidFill>
                <a:latin typeface="Calibri Light" panose="020F0302020204030204"/>
                <a:ea typeface="+mn-ea"/>
                <a:cs typeface="Poppins" pitchFamily="2" charset="77"/>
              </a:rPr>
              <a:pPr marL="0" indent="0" algn="ctr" defTabSz="914217" rtl="0" fontAlgn="base">
                <a:spcBef>
                  <a:spcPct val="0"/>
                </a:spcBef>
                <a:spcAft>
                  <a:spcPct val="0"/>
                </a:spcAft>
                <a:buFont typeface="Times" pitchFamily="18" charset="0"/>
                <a:defRPr/>
              </a:pPr>
              <a:t>Product Backlog</a:t>
            </a:fld>
            <a:endParaRPr lang="en-US" sz="1400" b="1" kern="1200">
              <a:solidFill>
                <a:sysClr val="window" lastClr="FFFFFF">
                  <a:lumMod val="65000"/>
                </a:sysClr>
              </a:solidFill>
              <a:latin typeface="Calibri Light" panose="020F0302020204030204"/>
              <a:ea typeface="+mn-ea"/>
              <a:cs typeface="Poppins" pitchFamily="2" charset="77"/>
            </a:endParaRPr>
          </a:p>
        </xdr:txBody>
      </xdr:sp>
    </xdr:grpSp>
    <xdr:clientData/>
  </xdr:twoCellAnchor>
  <xdr:twoCellAnchor>
    <xdr:from>
      <xdr:col>4</xdr:col>
      <xdr:colOff>1719104</xdr:colOff>
      <xdr:row>20</xdr:row>
      <xdr:rowOff>183394</xdr:rowOff>
    </xdr:from>
    <xdr:to>
      <xdr:col>6</xdr:col>
      <xdr:colOff>316154</xdr:colOff>
      <xdr:row>28</xdr:row>
      <xdr:rowOff>50103</xdr:rowOff>
    </xdr:to>
    <xdr:grpSp>
      <xdr:nvGrpSpPr>
        <xdr:cNvPr id="16" name="Gruppieren 15">
          <a:hlinkClick xmlns:r="http://schemas.openxmlformats.org/officeDocument/2006/relationships" r:id="rId17"/>
          <a:extLst>
            <a:ext uri="{FF2B5EF4-FFF2-40B4-BE49-F238E27FC236}">
              <a16:creationId xmlns:a16="http://schemas.microsoft.com/office/drawing/2014/main" id="{00000000-0008-0000-0100-000010000000}"/>
            </a:ext>
          </a:extLst>
        </xdr:cNvPr>
        <xdr:cNvGrpSpPr/>
      </xdr:nvGrpSpPr>
      <xdr:grpSpPr>
        <a:xfrm>
          <a:off x="2496344" y="4328674"/>
          <a:ext cx="928770" cy="1329749"/>
          <a:chOff x="2481104" y="4441069"/>
          <a:chExt cx="864000" cy="1390709"/>
        </a:xfrm>
      </xdr:grpSpPr>
      <xdr:sp macro="" textlink="' '!A100">
        <xdr:nvSpPr>
          <xdr:cNvPr id="329" name="TextBox 142">
            <a:extLst>
              <a:ext uri="{FF2B5EF4-FFF2-40B4-BE49-F238E27FC236}">
                <a16:creationId xmlns:a16="http://schemas.microsoft.com/office/drawing/2014/main" id="{00000000-0008-0000-0100-000049010000}"/>
              </a:ext>
            </a:extLst>
          </xdr:cNvPr>
          <xdr:cNvSpPr txBox="1"/>
        </xdr:nvSpPr>
        <xdr:spPr>
          <a:xfrm>
            <a:off x="2484092" y="5318711"/>
            <a:ext cx="858025" cy="513067"/>
          </a:xfrm>
          <a:prstGeom prst="rect">
            <a:avLst/>
          </a:prstGeom>
          <a:noFill/>
        </xdr:spPr>
        <xdr:txBody>
          <a:bodyPr wrap="square" lIns="36000" tIns="36000" rIns="36000" bIns="36000" rtlCol="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defTabSz="914217" rtl="0" fontAlgn="base">
              <a:spcBef>
                <a:spcPct val="0"/>
              </a:spcBef>
              <a:spcAft>
                <a:spcPct val="0"/>
              </a:spcAft>
              <a:buFont typeface="Times" pitchFamily="18" charset="0"/>
              <a:defRPr/>
            </a:pPr>
            <a:fld id="{B79BAF63-B257-444D-9E54-31B69F88B48C}" type="TxLink">
              <a:rPr lang="en-US" sz="1400" b="1" kern="1200">
                <a:solidFill>
                  <a:sysClr val="window" lastClr="FFFFFF">
                    <a:lumMod val="65000"/>
                  </a:sysClr>
                </a:solidFill>
                <a:latin typeface="Calibri Light" panose="020F0302020204030204"/>
                <a:ea typeface="+mn-ea"/>
                <a:cs typeface="Poppins" pitchFamily="2" charset="77"/>
              </a:rPr>
              <a:pPr marL="0" indent="0" algn="ctr" defTabSz="914217" rtl="0" fontAlgn="base">
                <a:spcBef>
                  <a:spcPct val="0"/>
                </a:spcBef>
                <a:spcAft>
                  <a:spcPct val="0"/>
                </a:spcAft>
                <a:buFont typeface="Times" pitchFamily="18" charset="0"/>
                <a:defRPr/>
              </a:pPr>
              <a:t>Sprint Planning</a:t>
            </a:fld>
            <a:endParaRPr lang="en-US" sz="1400" b="1" kern="1200">
              <a:solidFill>
                <a:sysClr val="window" lastClr="FFFFFF">
                  <a:lumMod val="65000"/>
                </a:sysClr>
              </a:solidFill>
              <a:latin typeface="Calibri Light" panose="020F0302020204030204"/>
              <a:ea typeface="+mn-ea"/>
              <a:cs typeface="Poppins" pitchFamily="2" charset="77"/>
            </a:endParaRPr>
          </a:p>
        </xdr:txBody>
      </xdr:sp>
      <xdr:grpSp>
        <xdr:nvGrpSpPr>
          <xdr:cNvPr id="15" name="Gruppieren 14">
            <a:extLst>
              <a:ext uri="{FF2B5EF4-FFF2-40B4-BE49-F238E27FC236}">
                <a16:creationId xmlns:a16="http://schemas.microsoft.com/office/drawing/2014/main" id="{00000000-0008-0000-0100-00000F000000}"/>
              </a:ext>
            </a:extLst>
          </xdr:cNvPr>
          <xdr:cNvGrpSpPr/>
        </xdr:nvGrpSpPr>
        <xdr:grpSpPr>
          <a:xfrm>
            <a:off x="2481104" y="4441069"/>
            <a:ext cx="864000" cy="864016"/>
            <a:chOff x="2481104" y="4441069"/>
            <a:chExt cx="864000" cy="864016"/>
          </a:xfrm>
        </xdr:grpSpPr>
        <xdr:sp macro="" textlink="">
          <xdr:nvSpPr>
            <xdr:cNvPr id="331" name="Rectangle 340">
              <a:extLst>
                <a:ext uri="{FF2B5EF4-FFF2-40B4-BE49-F238E27FC236}">
                  <a16:creationId xmlns:a16="http://schemas.microsoft.com/office/drawing/2014/main" id="{00000000-0008-0000-0100-00004B010000}"/>
                </a:ext>
              </a:extLst>
            </xdr:cNvPr>
            <xdr:cNvSpPr/>
          </xdr:nvSpPr>
          <xdr:spPr>
            <a:xfrm>
              <a:off x="2481104" y="4441069"/>
              <a:ext cx="864000" cy="864016"/>
            </a:xfrm>
            <a:prstGeom prst="rect">
              <a:avLst/>
            </a:prstGeom>
            <a:solidFill>
              <a:srgbClr val="2B526A"/>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defTabSz="914217" fontAlgn="auto">
                <a:spcBef>
                  <a:spcPts val="0"/>
                </a:spcBef>
                <a:spcAft>
                  <a:spcPts val="0"/>
                </a:spcAft>
              </a:pPr>
              <a:endParaRPr lang="en-US" sz="1800" b="0" kern="0">
                <a:solidFill>
                  <a:srgbClr val="FFFFFF"/>
                </a:solidFill>
                <a:latin typeface="Lato Light" panose="020F0502020204030203" pitchFamily="34" charset="0"/>
              </a:endParaRPr>
            </a:p>
          </xdr:txBody>
        </xdr:sp>
        <xdr:sp macro="" textlink="">
          <xdr:nvSpPr>
            <xdr:cNvPr id="332" name="Freeform 149">
              <a:extLst>
                <a:ext uri="{FF2B5EF4-FFF2-40B4-BE49-F238E27FC236}">
                  <a16:creationId xmlns:a16="http://schemas.microsoft.com/office/drawing/2014/main" id="{00000000-0008-0000-0100-00004C010000}"/>
                </a:ext>
              </a:extLst>
            </xdr:cNvPr>
            <xdr:cNvSpPr>
              <a:spLocks noChangeArrowheads="1"/>
            </xdr:cNvSpPr>
          </xdr:nvSpPr>
          <xdr:spPr bwMode="auto">
            <a:xfrm>
              <a:off x="2688215" y="4618114"/>
              <a:ext cx="560589" cy="509926"/>
            </a:xfrm>
            <a:custGeom>
              <a:avLst/>
              <a:gdLst>
                <a:gd name="connsiteX0" fmla="*/ 3810001 w 4250967"/>
                <a:gd name="connsiteY0" fmla="*/ 2982913 h 3866790"/>
                <a:gd name="connsiteX1" fmla="*/ 4250967 w 4250967"/>
                <a:gd name="connsiteY1" fmla="*/ 3424852 h 3866790"/>
                <a:gd name="connsiteX2" fmla="*/ 3810001 w 4250967"/>
                <a:gd name="connsiteY2" fmla="*/ 3866790 h 3866790"/>
                <a:gd name="connsiteX3" fmla="*/ 1797052 w 4250967"/>
                <a:gd name="connsiteY3" fmla="*/ 257175 h 3866790"/>
                <a:gd name="connsiteX4" fmla="*/ 3473092 w 4250967"/>
                <a:gd name="connsiteY4" fmla="*/ 1933395 h 3866790"/>
                <a:gd name="connsiteX5" fmla="*/ 2863171 w 4250967"/>
                <a:gd name="connsiteY5" fmla="*/ 3226849 h 3866790"/>
                <a:gd name="connsiteX6" fmla="*/ 2847592 w 4250967"/>
                <a:gd name="connsiteY6" fmla="*/ 3238500 h 3866790"/>
                <a:gd name="connsiteX7" fmla="*/ 3809771 w 4250967"/>
                <a:gd name="connsiteY7" fmla="*/ 3238500 h 3866790"/>
                <a:gd name="connsiteX8" fmla="*/ 3809771 w 4250967"/>
                <a:gd name="connsiteY8" fmla="*/ 3611203 h 3866790"/>
                <a:gd name="connsiteX9" fmla="*/ 1797052 w 4250967"/>
                <a:gd name="connsiteY9" fmla="*/ 3611203 h 3866790"/>
                <a:gd name="connsiteX10" fmla="*/ 1797052 w 4250967"/>
                <a:gd name="connsiteY10" fmla="*/ 3609615 h 3866790"/>
                <a:gd name="connsiteX11" fmla="*/ 1797052 w 4250967"/>
                <a:gd name="connsiteY11" fmla="*/ 3609569 h 3866790"/>
                <a:gd name="connsiteX12" fmla="*/ 1796804 w 4250967"/>
                <a:gd name="connsiteY12" fmla="*/ 3609559 h 3866790"/>
                <a:gd name="connsiteX13" fmla="*/ 1796804 w 4250967"/>
                <a:gd name="connsiteY13" fmla="*/ 3611203 h 3866790"/>
                <a:gd name="connsiteX14" fmla="*/ 0 w 4250967"/>
                <a:gd name="connsiteY14" fmla="*/ 3611203 h 3866790"/>
                <a:gd name="connsiteX15" fmla="*/ 0 w 4250967"/>
                <a:gd name="connsiteY15" fmla="*/ 3238500 h 3866790"/>
                <a:gd name="connsiteX16" fmla="*/ 752079 w 4250967"/>
                <a:gd name="connsiteY16" fmla="*/ 3238500 h 3866790"/>
                <a:gd name="connsiteX17" fmla="*/ 735586 w 4250967"/>
                <a:gd name="connsiteY17" fmla="*/ 3226743 h 3866790"/>
                <a:gd name="connsiteX18" fmla="*/ 295745 w 4250967"/>
                <a:gd name="connsiteY18" fmla="*/ 2668989 h 3866790"/>
                <a:gd name="connsiteX19" fmla="*/ 1065195 w 4250967"/>
                <a:gd name="connsiteY19" fmla="*/ 427038 h 3866790"/>
                <a:gd name="connsiteX20" fmla="*/ 1229023 w 4250967"/>
                <a:gd name="connsiteY20" fmla="*/ 761819 h 3866790"/>
                <a:gd name="connsiteX21" fmla="*/ 630602 w 4250967"/>
                <a:gd name="connsiteY21" fmla="*/ 2505199 h 3866790"/>
                <a:gd name="connsiteX22" fmla="*/ 1798279 w 4250967"/>
                <a:gd name="connsiteY22" fmla="*/ 3236677 h 3866790"/>
                <a:gd name="connsiteX23" fmla="*/ 1798279 w 4250967"/>
                <a:gd name="connsiteY23" fmla="*/ 3237020 h 3866790"/>
                <a:gd name="connsiteX24" fmla="*/ 1930306 w 4250967"/>
                <a:gd name="connsiteY24" fmla="*/ 3230350 h 3866790"/>
                <a:gd name="connsiteX25" fmla="*/ 3100239 w 4250967"/>
                <a:gd name="connsiteY25" fmla="*/ 1933395 h 3866790"/>
                <a:gd name="connsiteX26" fmla="*/ 1797052 w 4250967"/>
                <a:gd name="connsiteY26" fmla="*/ 630068 h 3866790"/>
                <a:gd name="connsiteX27" fmla="*/ 1796692 w 4250967"/>
                <a:gd name="connsiteY27" fmla="*/ 0 h 3866790"/>
                <a:gd name="connsiteX28" fmla="*/ 1796692 w 4250967"/>
                <a:gd name="connsiteY28" fmla="*/ 883878 h 3866790"/>
                <a:gd name="connsiteX29" fmla="*/ 1355727 w 4250967"/>
                <a:gd name="connsiteY29" fmla="*/ 441939 h 38667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Lst>
              <a:rect l="l" t="t" r="r" b="b"/>
              <a:pathLst>
                <a:path w="4250967" h="3866790">
                  <a:moveTo>
                    <a:pt x="3810001" y="2982913"/>
                  </a:moveTo>
                  <a:lnTo>
                    <a:pt x="4250967" y="3424852"/>
                  </a:lnTo>
                  <a:lnTo>
                    <a:pt x="3810001" y="3866790"/>
                  </a:lnTo>
                  <a:close/>
                  <a:moveTo>
                    <a:pt x="1797052" y="257175"/>
                  </a:moveTo>
                  <a:cubicBezTo>
                    <a:pt x="2722707" y="257175"/>
                    <a:pt x="3473092" y="1007641"/>
                    <a:pt x="3473092" y="1933395"/>
                  </a:cubicBezTo>
                  <a:cubicBezTo>
                    <a:pt x="3473092" y="2454132"/>
                    <a:pt x="3235666" y="2919406"/>
                    <a:pt x="2863171" y="3226849"/>
                  </a:cubicBezTo>
                  <a:lnTo>
                    <a:pt x="2847592" y="3238500"/>
                  </a:lnTo>
                  <a:lnTo>
                    <a:pt x="3809771" y="3238500"/>
                  </a:lnTo>
                  <a:lnTo>
                    <a:pt x="3809771" y="3611203"/>
                  </a:lnTo>
                  <a:lnTo>
                    <a:pt x="1797052" y="3611203"/>
                  </a:lnTo>
                  <a:lnTo>
                    <a:pt x="1797052" y="3609615"/>
                  </a:lnTo>
                  <a:lnTo>
                    <a:pt x="1797052" y="3609569"/>
                  </a:lnTo>
                  <a:lnTo>
                    <a:pt x="1796804" y="3609559"/>
                  </a:lnTo>
                  <a:lnTo>
                    <a:pt x="1796804" y="3611203"/>
                  </a:lnTo>
                  <a:lnTo>
                    <a:pt x="0" y="3611203"/>
                  </a:lnTo>
                  <a:lnTo>
                    <a:pt x="0" y="3238500"/>
                  </a:lnTo>
                  <a:lnTo>
                    <a:pt x="752079" y="3238500"/>
                  </a:lnTo>
                  <a:lnTo>
                    <a:pt x="735586" y="3226743"/>
                  </a:lnTo>
                  <a:cubicBezTo>
                    <a:pt x="556086" y="3079045"/>
                    <a:pt x="404574" y="2891456"/>
                    <a:pt x="295745" y="2668989"/>
                  </a:cubicBezTo>
                  <a:cubicBezTo>
                    <a:pt x="-111123" y="1837437"/>
                    <a:pt x="233455" y="833455"/>
                    <a:pt x="1065195" y="427038"/>
                  </a:cubicBezTo>
                  <a:lnTo>
                    <a:pt x="1229023" y="761819"/>
                  </a:lnTo>
                  <a:cubicBezTo>
                    <a:pt x="581994" y="1077881"/>
                    <a:pt x="314109" y="1858316"/>
                    <a:pt x="630602" y="2505199"/>
                  </a:cubicBezTo>
                  <a:cubicBezTo>
                    <a:pt x="856000" y="2966692"/>
                    <a:pt x="1317598" y="3234877"/>
                    <a:pt x="1798279" y="3236677"/>
                  </a:cubicBezTo>
                  <a:lnTo>
                    <a:pt x="1798279" y="3237020"/>
                  </a:lnTo>
                  <a:lnTo>
                    <a:pt x="1930306" y="3230350"/>
                  </a:lnTo>
                  <a:cubicBezTo>
                    <a:pt x="2587492" y="3163574"/>
                    <a:pt x="3100239" y="2608274"/>
                    <a:pt x="3100239" y="1933395"/>
                  </a:cubicBezTo>
                  <a:cubicBezTo>
                    <a:pt x="3100239" y="1213524"/>
                    <a:pt x="2516846" y="630068"/>
                    <a:pt x="1797052" y="630068"/>
                  </a:cubicBezTo>
                  <a:close/>
                  <a:moveTo>
                    <a:pt x="1796692" y="0"/>
                  </a:moveTo>
                  <a:lnTo>
                    <a:pt x="1796692" y="883878"/>
                  </a:lnTo>
                  <a:lnTo>
                    <a:pt x="1355727" y="441939"/>
                  </a:lnTo>
                  <a:close/>
                </a:path>
              </a:pathLst>
            </a:custGeom>
            <a:solidFill>
              <a:srgbClr val="FFFFFF"/>
            </a:solidFill>
            <a:ln>
              <a:noFill/>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algn="l"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7F7F7F"/>
                </a:solidFill>
                <a:effectLst/>
                <a:uLnTx/>
                <a:uFillTx/>
                <a:latin typeface="Lato Light" panose="020F0502020204030203" pitchFamily="34" charset="0"/>
              </a:endParaRPr>
            </a:p>
          </xdr:txBody>
        </xdr:sp>
      </xdr:grpSp>
    </xdr:grpSp>
    <xdr:clientData/>
  </xdr:twoCellAnchor>
  <xdr:twoCellAnchor>
    <xdr:from>
      <xdr:col>13</xdr:col>
      <xdr:colOff>393824</xdr:colOff>
      <xdr:row>21</xdr:row>
      <xdr:rowOff>1009</xdr:rowOff>
    </xdr:from>
    <xdr:to>
      <xdr:col>13</xdr:col>
      <xdr:colOff>1424726</xdr:colOff>
      <xdr:row>28</xdr:row>
      <xdr:rowOff>57439</xdr:rowOff>
    </xdr:to>
    <xdr:grpSp>
      <xdr:nvGrpSpPr>
        <xdr:cNvPr id="8" name="Gruppieren 7">
          <a:hlinkClick xmlns:r="http://schemas.openxmlformats.org/officeDocument/2006/relationships" r:id="rId18"/>
          <a:extLst>
            <a:ext uri="{FF2B5EF4-FFF2-40B4-BE49-F238E27FC236}">
              <a16:creationId xmlns:a16="http://schemas.microsoft.com/office/drawing/2014/main" id="{00000000-0008-0000-0100-000008000000}"/>
            </a:ext>
          </a:extLst>
        </xdr:cNvPr>
        <xdr:cNvGrpSpPr/>
      </xdr:nvGrpSpPr>
      <xdr:grpSpPr>
        <a:xfrm>
          <a:off x="8699624" y="4329169"/>
          <a:ext cx="1030902" cy="1336590"/>
          <a:chOff x="8480549" y="4449184"/>
          <a:chExt cx="1030902" cy="1389930"/>
        </a:xfrm>
      </xdr:grpSpPr>
      <xdr:sp macro="" textlink="' '!A105">
        <xdr:nvSpPr>
          <xdr:cNvPr id="316" name="TextBox 142">
            <a:extLst>
              <a:ext uri="{FF2B5EF4-FFF2-40B4-BE49-F238E27FC236}">
                <a16:creationId xmlns:a16="http://schemas.microsoft.com/office/drawing/2014/main" id="{00000000-0008-0000-0100-00003C010000}"/>
              </a:ext>
            </a:extLst>
          </xdr:cNvPr>
          <xdr:cNvSpPr txBox="1"/>
        </xdr:nvSpPr>
        <xdr:spPr>
          <a:xfrm>
            <a:off x="8480549" y="5326047"/>
            <a:ext cx="1030902" cy="513067"/>
          </a:xfrm>
          <a:prstGeom prst="rect">
            <a:avLst/>
          </a:prstGeom>
          <a:noFill/>
        </xdr:spPr>
        <xdr:txBody>
          <a:bodyPr wrap="square" lIns="36000" tIns="36000" rIns="36000" bIns="36000" rtlCol="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defTabSz="914217" rtl="0" fontAlgn="base">
              <a:spcBef>
                <a:spcPct val="0"/>
              </a:spcBef>
              <a:spcAft>
                <a:spcPct val="0"/>
              </a:spcAft>
              <a:buFont typeface="Times" pitchFamily="18" charset="0"/>
              <a:defRPr/>
            </a:pPr>
            <a:fld id="{CBC60889-33DC-4DC0-9ACC-E50A3B6D1C4B}" type="TxLink">
              <a:rPr lang="en-US" sz="1400" b="1" kern="1200">
                <a:solidFill>
                  <a:schemeClr val="bg1">
                    <a:lumMod val="65000"/>
                  </a:schemeClr>
                </a:solidFill>
                <a:latin typeface="Calibri Light" panose="020F0302020204030204"/>
                <a:ea typeface="+mn-ea"/>
                <a:cs typeface="Poppins" pitchFamily="2" charset="77"/>
              </a:rPr>
              <a:pPr marL="0" indent="0" algn="ctr" defTabSz="914217" rtl="0" fontAlgn="base">
                <a:spcBef>
                  <a:spcPct val="0"/>
                </a:spcBef>
                <a:spcAft>
                  <a:spcPct val="0"/>
                </a:spcAft>
                <a:buFont typeface="Times" pitchFamily="18" charset="0"/>
                <a:defRPr/>
              </a:pPr>
              <a:t>Sprint Retrospective</a:t>
            </a:fld>
            <a:endParaRPr lang="en-US" sz="1400" b="1" kern="1200">
              <a:solidFill>
                <a:schemeClr val="bg1">
                  <a:lumMod val="65000"/>
                </a:schemeClr>
              </a:solidFill>
              <a:latin typeface="Calibri Light" panose="020F0302020204030204"/>
              <a:ea typeface="+mn-ea"/>
              <a:cs typeface="Poppins" pitchFamily="2" charset="77"/>
            </a:endParaRPr>
          </a:p>
        </xdr:txBody>
      </xdr:sp>
      <xdr:grpSp>
        <xdr:nvGrpSpPr>
          <xdr:cNvPr id="20" name="Gruppieren 19">
            <a:extLst>
              <a:ext uri="{FF2B5EF4-FFF2-40B4-BE49-F238E27FC236}">
                <a16:creationId xmlns:a16="http://schemas.microsoft.com/office/drawing/2014/main" id="{00000000-0008-0000-0100-000014000000}"/>
              </a:ext>
            </a:extLst>
          </xdr:cNvPr>
          <xdr:cNvGrpSpPr/>
        </xdr:nvGrpSpPr>
        <xdr:grpSpPr>
          <a:xfrm>
            <a:off x="8564000" y="4449184"/>
            <a:ext cx="864000" cy="864016"/>
            <a:chOff x="8331697" y="4449184"/>
            <a:chExt cx="864000" cy="864016"/>
          </a:xfrm>
        </xdr:grpSpPr>
        <xdr:sp macro="" textlink="">
          <xdr:nvSpPr>
            <xdr:cNvPr id="315" name="Rectangle 340">
              <a:extLst>
                <a:ext uri="{FF2B5EF4-FFF2-40B4-BE49-F238E27FC236}">
                  <a16:creationId xmlns:a16="http://schemas.microsoft.com/office/drawing/2014/main" id="{00000000-0008-0000-0100-00003B010000}"/>
                </a:ext>
              </a:extLst>
            </xdr:cNvPr>
            <xdr:cNvSpPr/>
          </xdr:nvSpPr>
          <xdr:spPr>
            <a:xfrm>
              <a:off x="8331697" y="4449184"/>
              <a:ext cx="864000" cy="864016"/>
            </a:xfrm>
            <a:prstGeom prst="rect">
              <a:avLst/>
            </a:prstGeom>
            <a:solidFill>
              <a:srgbClr val="26575B"/>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17" name="Circular Arrow 30">
              <a:extLst>
                <a:ext uri="{FF2B5EF4-FFF2-40B4-BE49-F238E27FC236}">
                  <a16:creationId xmlns:a16="http://schemas.microsoft.com/office/drawing/2014/main" id="{00000000-0008-0000-0100-00003D010000}"/>
                </a:ext>
              </a:extLst>
            </xdr:cNvPr>
            <xdr:cNvSpPr>
              <a:spLocks/>
            </xdr:cNvSpPr>
          </xdr:nvSpPr>
          <xdr:spPr>
            <a:xfrm>
              <a:off x="8475697" y="4593192"/>
              <a:ext cx="576000" cy="576000"/>
            </a:xfrm>
            <a:prstGeom prst="circularArrow">
              <a:avLst>
                <a:gd name="adj1" fmla="val 7516"/>
                <a:gd name="adj2" fmla="val 1142319"/>
                <a:gd name="adj3" fmla="val 19484277"/>
                <a:gd name="adj4" fmla="val 313423"/>
                <a:gd name="adj5" fmla="val 11420"/>
              </a:avLst>
            </a:prstGeom>
            <a:solidFill>
              <a:sysClr val="window" lastClr="FFFFFF"/>
            </a:solidFill>
            <a:ln w="1905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algn="ctr"/>
              <a:endParaRPr lang="en-US" sz="1800">
                <a:solidFill>
                  <a:sysClr val="windowText" lastClr="000000"/>
                </a:solidFill>
                <a:latin typeface="Lato Light" panose="020F0502020204030203" pitchFamily="34" charset="0"/>
              </a:endParaRPr>
            </a:p>
          </xdr:txBody>
        </xdr:sp>
      </xdr:grpSp>
    </xdr:grpSp>
    <xdr:clientData/>
  </xdr:twoCellAnchor>
  <xdr:twoCellAnchor editAs="absolute">
    <xdr:from>
      <xdr:col>8</xdr:col>
      <xdr:colOff>132988</xdr:colOff>
      <xdr:row>21</xdr:row>
      <xdr:rowOff>99833</xdr:rowOff>
    </xdr:from>
    <xdr:to>
      <xdr:col>13</xdr:col>
      <xdr:colOff>194441</xdr:colOff>
      <xdr:row>26</xdr:row>
      <xdr:rowOff>156925</xdr:rowOff>
    </xdr:to>
    <xdr:sp macro="" textlink="">
      <xdr:nvSpPr>
        <xdr:cNvPr id="323" name="Right Arrow 27">
          <a:extLst>
            <a:ext uri="{FF2B5EF4-FFF2-40B4-BE49-F238E27FC236}">
              <a16:creationId xmlns:a16="http://schemas.microsoft.com/office/drawing/2014/main" id="{00000000-0008-0000-0100-000043010000}"/>
            </a:ext>
          </a:extLst>
        </xdr:cNvPr>
        <xdr:cNvSpPr/>
      </xdr:nvSpPr>
      <xdr:spPr>
        <a:xfrm>
          <a:off x="4704988" y="4548008"/>
          <a:ext cx="3576178" cy="1009592"/>
        </a:xfrm>
        <a:prstGeom prst="rightArrow">
          <a:avLst/>
        </a:prstGeom>
        <a:solidFill>
          <a:srgbClr val="486492"/>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algn="ctr"/>
          <a:endParaRPr lang="en-US" sz="1800">
            <a:latin typeface="Lato Light" panose="020F0502020204030203" pitchFamily="34" charset="0"/>
          </a:endParaRPr>
        </a:p>
      </xdr:txBody>
    </xdr:sp>
    <xdr:clientData/>
  </xdr:twoCellAnchor>
  <xdr:twoCellAnchor>
    <xdr:from>
      <xdr:col>8</xdr:col>
      <xdr:colOff>61269</xdr:colOff>
      <xdr:row>7</xdr:row>
      <xdr:rowOff>118635</xdr:rowOff>
    </xdr:from>
    <xdr:to>
      <xdr:col>12</xdr:col>
      <xdr:colOff>1155540</xdr:colOff>
      <xdr:row>28</xdr:row>
      <xdr:rowOff>51743</xdr:rowOff>
    </xdr:to>
    <xdr:grpSp>
      <xdr:nvGrpSpPr>
        <xdr:cNvPr id="14" name="Gruppieren 13">
          <a:hlinkClick xmlns:r="http://schemas.openxmlformats.org/officeDocument/2006/relationships" r:id="rId1"/>
          <a:extLst>
            <a:ext uri="{FF2B5EF4-FFF2-40B4-BE49-F238E27FC236}">
              <a16:creationId xmlns:a16="http://schemas.microsoft.com/office/drawing/2014/main" id="{00000000-0008-0000-0100-00000E000000}"/>
            </a:ext>
          </a:extLst>
        </xdr:cNvPr>
        <xdr:cNvGrpSpPr/>
      </xdr:nvGrpSpPr>
      <xdr:grpSpPr>
        <a:xfrm>
          <a:off x="4755189" y="2061735"/>
          <a:ext cx="3479331" cy="3598328"/>
          <a:chOff x="4633269" y="2090310"/>
          <a:chExt cx="3418371" cy="3743108"/>
        </a:xfrm>
      </xdr:grpSpPr>
      <xdr:sp macro="" textlink="">
        <xdr:nvSpPr>
          <xdr:cNvPr id="324" name="Circular Arrow 29">
            <a:extLst>
              <a:ext uri="{FF2B5EF4-FFF2-40B4-BE49-F238E27FC236}">
                <a16:creationId xmlns:a16="http://schemas.microsoft.com/office/drawing/2014/main" id="{00000000-0008-0000-0100-000044010000}"/>
              </a:ext>
            </a:extLst>
          </xdr:cNvPr>
          <xdr:cNvSpPr/>
        </xdr:nvSpPr>
        <xdr:spPr>
          <a:xfrm flipH="1">
            <a:off x="4633269" y="2090310"/>
            <a:ext cx="3418371" cy="3421304"/>
          </a:xfrm>
          <a:prstGeom prst="circularArrow">
            <a:avLst>
              <a:gd name="adj1" fmla="val 14005"/>
              <a:gd name="adj2" fmla="val 1142319"/>
              <a:gd name="adj3" fmla="val 772832"/>
              <a:gd name="adj4" fmla="val 6321353"/>
              <a:gd name="adj5" fmla="val 12500"/>
            </a:avLst>
          </a:prstGeom>
          <a:solidFill>
            <a:srgbClr val="486492"/>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algn="ctr"/>
            <a:endParaRPr lang="en-US" sz="1800">
              <a:solidFill>
                <a:sysClr val="windowText" lastClr="000000"/>
              </a:solidFill>
              <a:latin typeface="Lato Light" panose="020F0502020204030203" pitchFamily="34" charset="0"/>
            </a:endParaRPr>
          </a:p>
        </xdr:txBody>
      </xdr:sp>
      <xdr:sp macro="" textlink="' '!A101">
        <xdr:nvSpPr>
          <xdr:cNvPr id="325" name="TextBox 35">
            <a:extLst>
              <a:ext uri="{FF2B5EF4-FFF2-40B4-BE49-F238E27FC236}">
                <a16:creationId xmlns:a16="http://schemas.microsoft.com/office/drawing/2014/main" id="{00000000-0008-0000-0100-000045010000}"/>
              </a:ext>
            </a:extLst>
          </xdr:cNvPr>
          <xdr:cNvSpPr txBox="1"/>
        </xdr:nvSpPr>
        <xdr:spPr>
          <a:xfrm>
            <a:off x="5341665" y="5459277"/>
            <a:ext cx="1658678" cy="374141"/>
          </a:xfrm>
          <a:prstGeom prst="rect">
            <a:avLst/>
          </a:prstGeom>
          <a:noFill/>
        </xdr:spPr>
        <xdr:txBody>
          <a:bodyPr wrap="square" lIns="36000" tIns="36000" rIns="36000" bIns="36000" rtlCol="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defTabSz="914217" rtl="0" fontAlgn="base">
              <a:spcBef>
                <a:spcPct val="0"/>
              </a:spcBef>
              <a:spcAft>
                <a:spcPct val="0"/>
              </a:spcAft>
              <a:buFont typeface="Times" pitchFamily="18" charset="0"/>
              <a:defRPr/>
            </a:pPr>
            <a:fld id="{32F0426A-70DB-4505-9FEF-64A76F3E7703}" type="TxLink">
              <a:rPr lang="en-US" sz="1800" b="1" kern="1200">
                <a:solidFill>
                  <a:sysClr val="window" lastClr="FFFFFF">
                    <a:lumMod val="65000"/>
                  </a:sysClr>
                </a:solidFill>
                <a:latin typeface="Calibri Light" panose="020F0302020204030204"/>
                <a:ea typeface="+mn-ea"/>
                <a:cs typeface="Poppins" pitchFamily="2" charset="77"/>
              </a:rPr>
              <a:pPr marL="0" indent="0" algn="ctr" defTabSz="914217" rtl="0" fontAlgn="base">
                <a:spcBef>
                  <a:spcPct val="0"/>
                </a:spcBef>
                <a:spcAft>
                  <a:spcPct val="0"/>
                </a:spcAft>
                <a:buFont typeface="Times" pitchFamily="18" charset="0"/>
                <a:defRPr/>
              </a:pPr>
              <a:t>ITERATION</a:t>
            </a:fld>
            <a:endParaRPr lang="en-US" sz="1800" b="1" kern="1200">
              <a:solidFill>
                <a:sysClr val="window" lastClr="FFFFFF">
                  <a:lumMod val="65000"/>
                </a:sysClr>
              </a:solidFill>
              <a:latin typeface="Calibri Light" panose="020F0302020204030204"/>
              <a:ea typeface="+mn-ea"/>
              <a:cs typeface="Poppins" pitchFamily="2" charset="77"/>
            </a:endParaRPr>
          </a:p>
        </xdr:txBody>
      </xdr:sp>
      <xdr:sp macro="" textlink="">
        <xdr:nvSpPr>
          <xdr:cNvPr id="326" name="TextBox 37">
            <a:extLst>
              <a:ext uri="{FF2B5EF4-FFF2-40B4-BE49-F238E27FC236}">
                <a16:creationId xmlns:a16="http://schemas.microsoft.com/office/drawing/2014/main" id="{00000000-0008-0000-0100-000046010000}"/>
              </a:ext>
            </a:extLst>
          </xdr:cNvPr>
          <xdr:cNvSpPr txBox="1"/>
        </xdr:nvSpPr>
        <xdr:spPr>
          <a:xfrm>
            <a:off x="5747149" y="3481512"/>
            <a:ext cx="1190611" cy="468013"/>
          </a:xfrm>
          <a:prstGeom prst="rect">
            <a:avLst/>
          </a:prstGeom>
          <a:noFill/>
        </xdr:spPr>
        <xdr:txBody>
          <a:bodyPr wrap="square" rtlCol="0" anchor="b"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ctr"/>
            <a:r>
              <a:rPr lang="en-US" sz="2400" b="1">
                <a:solidFill>
                  <a:sysClr val="window" lastClr="FFFFFF">
                    <a:lumMod val="65000"/>
                  </a:sysClr>
                </a:solidFill>
                <a:latin typeface="+mn-lt"/>
                <a:ea typeface="League Spartan" charset="0"/>
                <a:cs typeface="Calibri Light" panose="020F0302020204030204" pitchFamily="34" charset="0"/>
              </a:rPr>
              <a:t>SPRINT</a:t>
            </a:r>
          </a:p>
        </xdr:txBody>
      </xdr:sp>
      <xdr:sp macro="" textlink="' '!A103">
        <xdr:nvSpPr>
          <xdr:cNvPr id="328" name="Subtitle 2">
            <a:extLst>
              <a:ext uri="{FF2B5EF4-FFF2-40B4-BE49-F238E27FC236}">
                <a16:creationId xmlns:a16="http://schemas.microsoft.com/office/drawing/2014/main" id="{00000000-0008-0000-0100-000048010000}"/>
              </a:ext>
            </a:extLst>
          </xdr:cNvPr>
          <xdr:cNvSpPr txBox="1">
            <a:spLocks/>
          </xdr:cNvSpPr>
        </xdr:nvSpPr>
        <xdr:spPr>
          <a:xfrm>
            <a:off x="5609595" y="3857624"/>
            <a:ext cx="1465719" cy="262787"/>
          </a:xfrm>
          <a:prstGeom prst="rect">
            <a:avLst/>
          </a:prstGeom>
        </xdr:spPr>
        <xdr:txBody>
          <a:bodyPr vert="horz" wrap="square" lIns="91440" tIns="45720" rIns="91440" bIns="45720" rtlCol="0" anchor="b">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rtl="0" fontAlgn="base">
              <a:lnSpc>
                <a:spcPts val="3500"/>
              </a:lnSpc>
              <a:spcBef>
                <a:spcPct val="0"/>
              </a:spcBef>
              <a:spcAft>
                <a:spcPct val="0"/>
              </a:spcAft>
              <a:buFont typeface="Times" pitchFamily="18" charset="0"/>
            </a:pPr>
            <a:fld id="{3FFF8755-DB6D-4D40-83D5-0F891D9081CE}" type="TxLink">
              <a:rPr lang="en-US" sz="1400" b="1" kern="1200">
                <a:solidFill>
                  <a:sysClr val="window" lastClr="FFFFFF">
                    <a:lumMod val="65000"/>
                  </a:sysClr>
                </a:solidFill>
                <a:latin typeface="Calibri Light" panose="020F0302020204030204"/>
                <a:ea typeface="Lato Light" panose="020F0502020204030203" pitchFamily="34" charset="0"/>
                <a:cs typeface="Mukta ExtraLight" panose="020B0000000000000000" pitchFamily="34" charset="77"/>
              </a:rPr>
              <a:pPr marL="0" indent="0" algn="ctr" rtl="0" fontAlgn="base">
                <a:lnSpc>
                  <a:spcPts val="3500"/>
                </a:lnSpc>
                <a:spcBef>
                  <a:spcPct val="0"/>
                </a:spcBef>
                <a:spcAft>
                  <a:spcPct val="0"/>
                </a:spcAft>
                <a:buFont typeface="Times" pitchFamily="18" charset="0"/>
              </a:pPr>
              <a:t>1-4 Weeks</a:t>
            </a:fld>
            <a:endParaRPr lang="en-US" sz="1400" b="1" kern="1200">
              <a:solidFill>
                <a:sysClr val="window" lastClr="FFFFFF">
                  <a:lumMod val="65000"/>
                </a:sysClr>
              </a:solidFill>
              <a:latin typeface="Calibri Light" panose="020F0302020204030204"/>
              <a:ea typeface="Lato Light" panose="020F0502020204030203" pitchFamily="34" charset="0"/>
              <a:cs typeface="Mukta ExtraLight" panose="020B0000000000000000" pitchFamily="34" charset="77"/>
            </a:endParaRPr>
          </a:p>
        </xdr:txBody>
      </xdr:sp>
    </xdr:grpSp>
    <xdr:clientData/>
  </xdr:twoCellAnchor>
  <xdr:twoCellAnchor editAs="absolute">
    <xdr:from>
      <xdr:col>10</xdr:col>
      <xdr:colOff>685800</xdr:colOff>
      <xdr:row>22</xdr:row>
      <xdr:rowOff>155933</xdr:rowOff>
    </xdr:from>
    <xdr:to>
      <xdr:col>12</xdr:col>
      <xdr:colOff>8492</xdr:colOff>
      <xdr:row>25</xdr:row>
      <xdr:rowOff>97500</xdr:rowOff>
    </xdr:to>
    <xdr:grpSp>
      <xdr:nvGrpSpPr>
        <xdr:cNvPr id="238" name="Gruppieren 237">
          <a:hlinkClick xmlns:r="http://schemas.openxmlformats.org/officeDocument/2006/relationships" r:id="rId1"/>
          <a:extLst>
            <a:ext uri="{FF2B5EF4-FFF2-40B4-BE49-F238E27FC236}">
              <a16:creationId xmlns:a16="http://schemas.microsoft.com/office/drawing/2014/main" id="{00000000-0008-0000-0100-0000EE000000}"/>
            </a:ext>
          </a:extLst>
        </xdr:cNvPr>
        <xdr:cNvGrpSpPr/>
      </xdr:nvGrpSpPr>
      <xdr:grpSpPr>
        <a:xfrm>
          <a:off x="5897880" y="4666973"/>
          <a:ext cx="1189592" cy="490207"/>
          <a:chOff x="5762625" y="4794608"/>
          <a:chExt cx="1141967" cy="513067"/>
        </a:xfrm>
      </xdr:grpSpPr>
      <xdr:sp macro="" textlink="' '!A102">
        <xdr:nvSpPr>
          <xdr:cNvPr id="320" name="TextBox 142">
            <a:extLst>
              <a:ext uri="{FF2B5EF4-FFF2-40B4-BE49-F238E27FC236}">
                <a16:creationId xmlns:a16="http://schemas.microsoft.com/office/drawing/2014/main" id="{00000000-0008-0000-0100-000040010000}"/>
              </a:ext>
            </a:extLst>
          </xdr:cNvPr>
          <xdr:cNvSpPr txBox="1"/>
        </xdr:nvSpPr>
        <xdr:spPr>
          <a:xfrm>
            <a:off x="5762625" y="4794608"/>
            <a:ext cx="780467" cy="513067"/>
          </a:xfrm>
          <a:prstGeom prst="rect">
            <a:avLst/>
          </a:prstGeom>
          <a:noFill/>
        </xdr:spPr>
        <xdr:txBody>
          <a:bodyPr wrap="square" lIns="36000" tIns="36000" rIns="36000" bIns="36000" rtlCol="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defTabSz="914217" rtl="0" fontAlgn="base">
              <a:spcBef>
                <a:spcPct val="0"/>
              </a:spcBef>
              <a:spcAft>
                <a:spcPct val="0"/>
              </a:spcAft>
              <a:buFont typeface="Times" pitchFamily="18" charset="0"/>
              <a:defRPr/>
            </a:pPr>
            <a:fld id="{D42BF92B-7C93-4235-9C7E-1D67DE4841EB}" type="TxLink">
              <a:rPr lang="en-US" sz="1400" b="1" kern="1200">
                <a:solidFill>
                  <a:sysClr val="window" lastClr="FFFFFF"/>
                </a:solidFill>
                <a:latin typeface="Calibri Light" panose="020F0302020204030204" pitchFamily="34" charset="0"/>
                <a:ea typeface="+mn-ea"/>
                <a:cs typeface="Calibri Light" panose="020F0302020204030204" pitchFamily="34" charset="0"/>
              </a:rPr>
              <a:pPr marL="0" indent="0" algn="ctr" defTabSz="914217" rtl="0" fontAlgn="base">
                <a:spcBef>
                  <a:spcPct val="0"/>
                </a:spcBef>
                <a:spcAft>
                  <a:spcPct val="0"/>
                </a:spcAft>
                <a:buFont typeface="Times" pitchFamily="18" charset="0"/>
                <a:defRPr/>
              </a:pPr>
              <a:t>Sprint Review</a:t>
            </a:fld>
            <a:endParaRPr lang="en-US" sz="1400" b="1" kern="1200">
              <a:solidFill>
                <a:sysClr val="window" lastClr="FFFFFF"/>
              </a:solidFill>
              <a:latin typeface="Calibri Light" panose="020F0302020204030204" pitchFamily="34" charset="0"/>
              <a:ea typeface="+mn-ea"/>
              <a:cs typeface="Calibri Light" panose="020F0302020204030204" pitchFamily="34" charset="0"/>
            </a:endParaRPr>
          </a:p>
        </xdr:txBody>
      </xdr:sp>
      <xdr:sp macro="" textlink="">
        <xdr:nvSpPr>
          <xdr:cNvPr id="321" name="Circular Arrow 30">
            <a:extLst>
              <a:ext uri="{FF2B5EF4-FFF2-40B4-BE49-F238E27FC236}">
                <a16:creationId xmlns:a16="http://schemas.microsoft.com/office/drawing/2014/main" id="{00000000-0008-0000-0100-000041010000}"/>
              </a:ext>
            </a:extLst>
          </xdr:cNvPr>
          <xdr:cNvSpPr/>
        </xdr:nvSpPr>
        <xdr:spPr>
          <a:xfrm>
            <a:off x="6528918" y="4853524"/>
            <a:ext cx="375674" cy="375996"/>
          </a:xfrm>
          <a:prstGeom prst="circularArrow">
            <a:avLst>
              <a:gd name="adj1" fmla="val 7516"/>
              <a:gd name="adj2" fmla="val 1142319"/>
              <a:gd name="adj3" fmla="val 19484277"/>
              <a:gd name="adj4" fmla="val 313423"/>
              <a:gd name="adj5" fmla="val 11420"/>
            </a:avLst>
          </a:prstGeom>
          <a:solidFill>
            <a:sysClr val="window" lastClr="FFFFFF"/>
          </a:solidFill>
          <a:ln w="1905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algn="ctr"/>
            <a:endParaRPr lang="en-US" sz="1800">
              <a:solidFill>
                <a:sysClr val="windowText" lastClr="000000"/>
              </a:solidFill>
              <a:latin typeface="Lato Light" panose="020F0502020204030203" pitchFamily="34" charset="0"/>
            </a:endParaRPr>
          </a:p>
        </xdr:txBody>
      </xdr:sp>
    </xdr:grpSp>
    <xdr:clientData/>
  </xdr:twoCellAnchor>
  <xdr:twoCellAnchor>
    <xdr:from>
      <xdr:col>6</xdr:col>
      <xdr:colOff>493312</xdr:colOff>
      <xdr:row>21</xdr:row>
      <xdr:rowOff>1187</xdr:rowOff>
    </xdr:from>
    <xdr:to>
      <xdr:col>7</xdr:col>
      <xdr:colOff>490536</xdr:colOff>
      <xdr:row>28</xdr:row>
      <xdr:rowOff>53542</xdr:rowOff>
    </xdr:to>
    <xdr:grpSp>
      <xdr:nvGrpSpPr>
        <xdr:cNvPr id="13" name="Gruppieren 12">
          <a:hlinkClick xmlns:r="http://schemas.openxmlformats.org/officeDocument/2006/relationships" r:id="rId17"/>
          <a:extLst>
            <a:ext uri="{FF2B5EF4-FFF2-40B4-BE49-F238E27FC236}">
              <a16:creationId xmlns:a16="http://schemas.microsoft.com/office/drawing/2014/main" id="{00000000-0008-0000-0100-00000D000000}"/>
            </a:ext>
          </a:extLst>
        </xdr:cNvPr>
        <xdr:cNvGrpSpPr/>
      </xdr:nvGrpSpPr>
      <xdr:grpSpPr>
        <a:xfrm>
          <a:off x="3602272" y="4329347"/>
          <a:ext cx="888764" cy="1332515"/>
          <a:chOff x="3522262" y="4449362"/>
          <a:chExt cx="863999" cy="1385855"/>
        </a:xfrm>
      </xdr:grpSpPr>
      <xdr:grpSp>
        <xdr:nvGrpSpPr>
          <xdr:cNvPr id="21" name="Gruppieren 20">
            <a:extLst>
              <a:ext uri="{FF2B5EF4-FFF2-40B4-BE49-F238E27FC236}">
                <a16:creationId xmlns:a16="http://schemas.microsoft.com/office/drawing/2014/main" id="{00000000-0008-0000-0100-000015000000}"/>
              </a:ext>
            </a:extLst>
          </xdr:cNvPr>
          <xdr:cNvGrpSpPr/>
        </xdr:nvGrpSpPr>
        <xdr:grpSpPr>
          <a:xfrm>
            <a:off x="3522262" y="4449362"/>
            <a:ext cx="863999" cy="864016"/>
            <a:chOff x="3466037" y="4449362"/>
            <a:chExt cx="863999" cy="864016"/>
          </a:xfrm>
        </xdr:grpSpPr>
        <xdr:sp macro="" textlink="">
          <xdr:nvSpPr>
            <xdr:cNvPr id="338" name="Rectangle 340">
              <a:extLst>
                <a:ext uri="{FF2B5EF4-FFF2-40B4-BE49-F238E27FC236}">
                  <a16:creationId xmlns:a16="http://schemas.microsoft.com/office/drawing/2014/main" id="{00000000-0008-0000-0100-000052010000}"/>
                </a:ext>
              </a:extLst>
            </xdr:cNvPr>
            <xdr:cNvSpPr/>
          </xdr:nvSpPr>
          <xdr:spPr>
            <a:xfrm>
              <a:off x="3466037" y="4449362"/>
              <a:ext cx="863999" cy="864016"/>
            </a:xfrm>
            <a:prstGeom prst="rect">
              <a:avLst/>
            </a:prstGeom>
            <a:solidFill>
              <a:srgbClr val="6C88B7"/>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nvGrpSpPr>
            <xdr:cNvPr id="7" name="Gruppieren 6">
              <a:extLst>
                <a:ext uri="{FF2B5EF4-FFF2-40B4-BE49-F238E27FC236}">
                  <a16:creationId xmlns:a16="http://schemas.microsoft.com/office/drawing/2014/main" id="{00000000-0008-0000-0100-000007000000}"/>
                </a:ext>
              </a:extLst>
            </xdr:cNvPr>
            <xdr:cNvGrpSpPr/>
          </xdr:nvGrpSpPr>
          <xdr:grpSpPr>
            <a:xfrm>
              <a:off x="3592914" y="4699240"/>
              <a:ext cx="625101" cy="364261"/>
              <a:chOff x="3573403" y="4667766"/>
              <a:chExt cx="625101" cy="364261"/>
            </a:xfrm>
          </xdr:grpSpPr>
          <xdr:grpSp>
            <xdr:nvGrpSpPr>
              <xdr:cNvPr id="339" name="Group 343">
                <a:extLst>
                  <a:ext uri="{FF2B5EF4-FFF2-40B4-BE49-F238E27FC236}">
                    <a16:creationId xmlns:a16="http://schemas.microsoft.com/office/drawing/2014/main" id="{00000000-0008-0000-0100-000053010000}"/>
                  </a:ext>
                </a:extLst>
              </xdr:cNvPr>
              <xdr:cNvGrpSpPr/>
            </xdr:nvGrpSpPr>
            <xdr:grpSpPr>
              <a:xfrm>
                <a:off x="3573403" y="4667766"/>
                <a:ext cx="625101" cy="72929"/>
                <a:chOff x="1813961" y="8560905"/>
                <a:chExt cx="2271780" cy="265043"/>
              </a:xfrm>
            </xdr:grpSpPr>
            <xdr:sp macro="" textlink="">
              <xdr:nvSpPr>
                <xdr:cNvPr id="346" name="Rectangle 353">
                  <a:extLst>
                    <a:ext uri="{FF2B5EF4-FFF2-40B4-BE49-F238E27FC236}">
                      <a16:creationId xmlns:a16="http://schemas.microsoft.com/office/drawing/2014/main" id="{00000000-0008-0000-0100-00005A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47" name="Rectangle 354">
                  <a:extLst>
                    <a:ext uri="{FF2B5EF4-FFF2-40B4-BE49-F238E27FC236}">
                      <a16:creationId xmlns:a16="http://schemas.microsoft.com/office/drawing/2014/main" id="{00000000-0008-0000-0100-00005B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40" name="Group 344">
                <a:extLst>
                  <a:ext uri="{FF2B5EF4-FFF2-40B4-BE49-F238E27FC236}">
                    <a16:creationId xmlns:a16="http://schemas.microsoft.com/office/drawing/2014/main" id="{00000000-0008-0000-0100-000054010000}"/>
                  </a:ext>
                </a:extLst>
              </xdr:cNvPr>
              <xdr:cNvGrpSpPr/>
            </xdr:nvGrpSpPr>
            <xdr:grpSpPr>
              <a:xfrm>
                <a:off x="3573403" y="4813432"/>
                <a:ext cx="625101" cy="72929"/>
                <a:chOff x="1813961" y="8560905"/>
                <a:chExt cx="2271780" cy="265043"/>
              </a:xfrm>
            </xdr:grpSpPr>
            <xdr:sp macro="" textlink="">
              <xdr:nvSpPr>
                <xdr:cNvPr id="344" name="Rectangle 351">
                  <a:extLst>
                    <a:ext uri="{FF2B5EF4-FFF2-40B4-BE49-F238E27FC236}">
                      <a16:creationId xmlns:a16="http://schemas.microsoft.com/office/drawing/2014/main" id="{00000000-0008-0000-0100-000058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45" name="Rectangle 352">
                  <a:extLst>
                    <a:ext uri="{FF2B5EF4-FFF2-40B4-BE49-F238E27FC236}">
                      <a16:creationId xmlns:a16="http://schemas.microsoft.com/office/drawing/2014/main" id="{00000000-0008-0000-0100-000059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341" name="Group 345">
                <a:extLst>
                  <a:ext uri="{FF2B5EF4-FFF2-40B4-BE49-F238E27FC236}">
                    <a16:creationId xmlns:a16="http://schemas.microsoft.com/office/drawing/2014/main" id="{00000000-0008-0000-0100-000055010000}"/>
                  </a:ext>
                </a:extLst>
              </xdr:cNvPr>
              <xdr:cNvGrpSpPr/>
            </xdr:nvGrpSpPr>
            <xdr:grpSpPr>
              <a:xfrm>
                <a:off x="3573403" y="4959098"/>
                <a:ext cx="625101" cy="72929"/>
                <a:chOff x="1813961" y="8560905"/>
                <a:chExt cx="2271780" cy="265043"/>
              </a:xfrm>
            </xdr:grpSpPr>
            <xdr:sp macro="" textlink="">
              <xdr:nvSpPr>
                <xdr:cNvPr id="342" name="Rectangle 349">
                  <a:extLst>
                    <a:ext uri="{FF2B5EF4-FFF2-40B4-BE49-F238E27FC236}">
                      <a16:creationId xmlns:a16="http://schemas.microsoft.com/office/drawing/2014/main" id="{00000000-0008-0000-0100-00005601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343" name="Rectangle 350">
                  <a:extLst>
                    <a:ext uri="{FF2B5EF4-FFF2-40B4-BE49-F238E27FC236}">
                      <a16:creationId xmlns:a16="http://schemas.microsoft.com/office/drawing/2014/main" id="{00000000-0008-0000-0100-00005701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grpSp>
      <xdr:sp macro="" textlink="">
        <xdr:nvSpPr>
          <xdr:cNvPr id="337" name="TextBox 142">
            <a:extLst>
              <a:ext uri="{FF2B5EF4-FFF2-40B4-BE49-F238E27FC236}">
                <a16:creationId xmlns:a16="http://schemas.microsoft.com/office/drawing/2014/main" id="{00000000-0008-0000-0100-000051010000}"/>
              </a:ext>
            </a:extLst>
          </xdr:cNvPr>
          <xdr:cNvSpPr txBox="1"/>
        </xdr:nvSpPr>
        <xdr:spPr>
          <a:xfrm>
            <a:off x="3525249" y="5322150"/>
            <a:ext cx="858025" cy="513067"/>
          </a:xfrm>
          <a:prstGeom prst="rect">
            <a:avLst/>
          </a:prstGeom>
          <a:noFill/>
        </xdr:spPr>
        <xdr:txBody>
          <a:bodyPr wrap="square" lIns="36000" tIns="36000" rIns="36000" bIns="36000" rtlCol="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defTabSz="914217">
              <a:defRPr/>
            </a:pPr>
            <a:r>
              <a:rPr lang="en-US" sz="1400">
                <a:solidFill>
                  <a:sysClr val="window" lastClr="FFFFFF">
                    <a:lumMod val="65000"/>
                  </a:sysClr>
                </a:solidFill>
                <a:latin typeface="Calibri Light" panose="020F0302020204030204"/>
                <a:cs typeface="Poppins" pitchFamily="2" charset="77"/>
              </a:rPr>
              <a:t>Sprint Backlog</a:t>
            </a:r>
          </a:p>
        </xdr:txBody>
      </xdr:sp>
    </xdr:grpSp>
    <xdr:clientData/>
  </xdr:twoCellAnchor>
  <xdr:twoCellAnchor editAs="absolute">
    <xdr:from>
      <xdr:col>1</xdr:col>
      <xdr:colOff>238125</xdr:colOff>
      <xdr:row>28</xdr:row>
      <xdr:rowOff>167640</xdr:rowOff>
    </xdr:from>
    <xdr:to>
      <xdr:col>15</xdr:col>
      <xdr:colOff>161925</xdr:colOff>
      <xdr:row>31</xdr:row>
      <xdr:rowOff>173355</xdr:rowOff>
    </xdr:to>
    <xdr:graphicFrame macro="">
      <xdr:nvGraphicFramePr>
        <xdr:cNvPr id="381" name="Diagramm 380">
          <a:extLst>
            <a:ext uri="{FF2B5EF4-FFF2-40B4-BE49-F238E27FC236}">
              <a16:creationId xmlns:a16="http://schemas.microsoft.com/office/drawing/2014/main" id="{00000000-0008-0000-0100-00007D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editAs="absolute">
    <xdr:from>
      <xdr:col>2</xdr:col>
      <xdr:colOff>141742</xdr:colOff>
      <xdr:row>29</xdr:row>
      <xdr:rowOff>142875</xdr:rowOff>
    </xdr:from>
    <xdr:to>
      <xdr:col>4</xdr:col>
      <xdr:colOff>1046824</xdr:colOff>
      <xdr:row>31</xdr:row>
      <xdr:rowOff>10726</xdr:rowOff>
    </xdr:to>
    <xdr:sp macro="" textlink="Detailplan!$F$4">
      <xdr:nvSpPr>
        <xdr:cNvPr id="6" name="TextBox 5">
          <a:hlinkClick xmlns:r="http://schemas.openxmlformats.org/officeDocument/2006/relationships" r:id="rId20" tooltip="Planning"/>
          <a:extLst>
            <a:ext uri="{FF2B5EF4-FFF2-40B4-BE49-F238E27FC236}">
              <a16:creationId xmlns:a16="http://schemas.microsoft.com/office/drawing/2014/main" id="{00000000-0008-0000-0100-000006000000}"/>
            </a:ext>
          </a:extLst>
        </xdr:cNvPr>
        <xdr:cNvSpPr txBox="1"/>
      </xdr:nvSpPr>
      <xdr:spPr>
        <a:xfrm>
          <a:off x="427492" y="6115050"/>
          <a:ext cx="1381332"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lIns="36000" rtlCol="0" anchor="t">
          <a:noAutofit/>
        </a:bodyPr>
        <a:lstStyle/>
        <a:p>
          <a:pPr algn="l"/>
          <a:fld id="{C248CEE8-7ECF-456B-8F83-7A464D76838E}" type="TxLink">
            <a:rPr lang="en-US" sz="1200" b="0" i="0" u="none" strike="noStrike">
              <a:solidFill>
                <a:schemeClr val="bg1"/>
              </a:solidFill>
              <a:latin typeface="Calibri Light"/>
              <a:cs typeface="Calibri Light"/>
            </a:rPr>
            <a:pPr algn="l"/>
            <a:t>0/0</a:t>
          </a:fld>
          <a:endParaRPr lang="fr-CH" sz="1200">
            <a:solidFill>
              <a:schemeClr val="bg1"/>
            </a:solidFill>
            <a:latin typeface="Calibri Light" panose="020F0302020204030204" pitchFamily="34" charset="0"/>
            <a:cs typeface="Calibri Light" panose="020F0302020204030204" pitchFamily="34" charset="0"/>
          </a:endParaRPr>
        </a:p>
      </xdr:txBody>
    </xdr:sp>
    <xdr:clientData/>
  </xdr:twoCellAnchor>
  <xdr:twoCellAnchor>
    <xdr:from>
      <xdr:col>13</xdr:col>
      <xdr:colOff>1438275</xdr:colOff>
      <xdr:row>21</xdr:row>
      <xdr:rowOff>0</xdr:rowOff>
    </xdr:from>
    <xdr:to>
      <xdr:col>15</xdr:col>
      <xdr:colOff>59780</xdr:colOff>
      <xdr:row>28</xdr:row>
      <xdr:rowOff>50587</xdr:rowOff>
    </xdr:to>
    <xdr:grpSp>
      <xdr:nvGrpSpPr>
        <xdr:cNvPr id="92" name="Gruppieren 91">
          <a:hlinkClick xmlns:r="http://schemas.openxmlformats.org/officeDocument/2006/relationships" r:id="rId21"/>
          <a:extLst>
            <a:ext uri="{FF2B5EF4-FFF2-40B4-BE49-F238E27FC236}">
              <a16:creationId xmlns:a16="http://schemas.microsoft.com/office/drawing/2014/main" id="{00000000-0008-0000-0100-00005C000000}"/>
            </a:ext>
          </a:extLst>
        </xdr:cNvPr>
        <xdr:cNvGrpSpPr/>
      </xdr:nvGrpSpPr>
      <xdr:grpSpPr>
        <a:xfrm>
          <a:off x="9744075" y="4328160"/>
          <a:ext cx="1090385" cy="1330747"/>
          <a:chOff x="9520332" y="4462433"/>
          <a:chExt cx="1021805" cy="1384087"/>
        </a:xfrm>
      </xdr:grpSpPr>
      <xdr:sp macro="" textlink="">
        <xdr:nvSpPr>
          <xdr:cNvPr id="93" name="Rectangle 340">
            <a:extLst>
              <a:ext uri="{FF2B5EF4-FFF2-40B4-BE49-F238E27FC236}">
                <a16:creationId xmlns:a16="http://schemas.microsoft.com/office/drawing/2014/main" id="{00000000-0008-0000-0100-00005D000000}"/>
              </a:ext>
            </a:extLst>
          </xdr:cNvPr>
          <xdr:cNvSpPr/>
        </xdr:nvSpPr>
        <xdr:spPr>
          <a:xfrm>
            <a:off x="9599234" y="4462433"/>
            <a:ext cx="864000" cy="864016"/>
          </a:xfrm>
          <a:prstGeom prst="rect">
            <a:avLst/>
          </a:prstGeom>
          <a:solidFill>
            <a:srgbClr val="4C5974"/>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94" name="TextBox 142">
            <a:extLst>
              <a:ext uri="{FF2B5EF4-FFF2-40B4-BE49-F238E27FC236}">
                <a16:creationId xmlns:a16="http://schemas.microsoft.com/office/drawing/2014/main" id="{00000000-0008-0000-0100-00005E000000}"/>
              </a:ext>
            </a:extLst>
          </xdr:cNvPr>
          <xdr:cNvSpPr txBox="1"/>
        </xdr:nvSpPr>
        <xdr:spPr>
          <a:xfrm>
            <a:off x="9520332" y="5333453"/>
            <a:ext cx="1021805" cy="513067"/>
          </a:xfrm>
          <a:prstGeom prst="rect">
            <a:avLst/>
          </a:prstGeom>
          <a:noFill/>
        </xdr:spPr>
        <xdr:txBody>
          <a:bodyPr wrap="square" lIns="36000" tIns="36000" rIns="36000" bIns="36000" rtlCol="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defTabSz="914217" rtl="0" fontAlgn="base">
              <a:spcBef>
                <a:spcPct val="0"/>
              </a:spcBef>
              <a:spcAft>
                <a:spcPct val="0"/>
              </a:spcAft>
              <a:buFont typeface="Times" pitchFamily="18" charset="0"/>
              <a:defRPr/>
            </a:pPr>
            <a:fld id="{D861DC5A-C665-4CB9-ACE7-139983FE3C64}" type="TxLink">
              <a:rPr lang="en-US" sz="1400" b="1" kern="1200">
                <a:solidFill>
                  <a:schemeClr val="bg1">
                    <a:lumMod val="65000"/>
                  </a:schemeClr>
                </a:solidFill>
                <a:latin typeface="Calibri Light" panose="020F0302020204030204"/>
                <a:ea typeface="+mn-ea"/>
                <a:cs typeface="Poppins" pitchFamily="2" charset="77"/>
              </a:rPr>
              <a:pPr marL="0" indent="0" algn="ctr" defTabSz="914217" rtl="0" fontAlgn="base">
                <a:spcBef>
                  <a:spcPct val="0"/>
                </a:spcBef>
                <a:spcAft>
                  <a:spcPct val="0"/>
                </a:spcAft>
                <a:buFont typeface="Times" pitchFamily="18" charset="0"/>
                <a:defRPr/>
              </a:pPr>
              <a:t>Product Increment</a:t>
            </a:fld>
            <a:endParaRPr lang="en-US" sz="1400" b="1" kern="1200">
              <a:solidFill>
                <a:schemeClr val="bg1">
                  <a:lumMod val="65000"/>
                </a:schemeClr>
              </a:solidFill>
              <a:latin typeface="Calibri Light" panose="020F0302020204030204"/>
              <a:ea typeface="+mn-ea"/>
              <a:cs typeface="Poppins" pitchFamily="2" charset="77"/>
            </a:endParaRPr>
          </a:p>
        </xdr:txBody>
      </xdr:sp>
      <xdr:grpSp>
        <xdr:nvGrpSpPr>
          <xdr:cNvPr id="95" name="Gruppieren 94">
            <a:extLst>
              <a:ext uri="{FF2B5EF4-FFF2-40B4-BE49-F238E27FC236}">
                <a16:creationId xmlns:a16="http://schemas.microsoft.com/office/drawing/2014/main" id="{00000000-0008-0000-0100-00005F000000}"/>
              </a:ext>
            </a:extLst>
          </xdr:cNvPr>
          <xdr:cNvGrpSpPr/>
        </xdr:nvGrpSpPr>
        <xdr:grpSpPr>
          <a:xfrm>
            <a:off x="9734549" y="4572000"/>
            <a:ext cx="599100" cy="646725"/>
            <a:chOff x="9753599" y="4533900"/>
            <a:chExt cx="599100" cy="646725"/>
          </a:xfrm>
        </xdr:grpSpPr>
        <xdr:grpSp>
          <xdr:nvGrpSpPr>
            <xdr:cNvPr id="96" name="Gruppieren 95">
              <a:extLst>
                <a:ext uri="{FF2B5EF4-FFF2-40B4-BE49-F238E27FC236}">
                  <a16:creationId xmlns:a16="http://schemas.microsoft.com/office/drawing/2014/main" id="{00000000-0008-0000-0100-000060000000}"/>
                </a:ext>
              </a:extLst>
            </xdr:cNvPr>
            <xdr:cNvGrpSpPr/>
          </xdr:nvGrpSpPr>
          <xdr:grpSpPr>
            <a:xfrm>
              <a:off x="9753599" y="5000625"/>
              <a:ext cx="599100" cy="180000"/>
              <a:chOff x="9753599" y="4943475"/>
              <a:chExt cx="599100" cy="180000"/>
            </a:xfrm>
          </xdr:grpSpPr>
          <xdr:sp macro="" textlink="">
            <xdr:nvSpPr>
              <xdr:cNvPr id="103" name="Rectangle 353">
                <a:extLst>
                  <a:ext uri="{FF2B5EF4-FFF2-40B4-BE49-F238E27FC236}">
                    <a16:creationId xmlns:a16="http://schemas.microsoft.com/office/drawing/2014/main" id="{00000000-0008-0000-0100-000067000000}"/>
                  </a:ext>
                </a:extLst>
              </xdr:cNvPr>
              <xdr:cNvSpPr/>
            </xdr:nvSpPr>
            <xdr:spPr>
              <a:xfrm>
                <a:off x="9753599" y="4943475"/>
                <a:ext cx="180000" cy="180000"/>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104" name="Rectangle 353">
                <a:extLst>
                  <a:ext uri="{FF2B5EF4-FFF2-40B4-BE49-F238E27FC236}">
                    <a16:creationId xmlns:a16="http://schemas.microsoft.com/office/drawing/2014/main" id="{00000000-0008-0000-0100-000068000000}"/>
                  </a:ext>
                </a:extLst>
              </xdr:cNvPr>
              <xdr:cNvSpPr/>
            </xdr:nvSpPr>
            <xdr:spPr>
              <a:xfrm>
                <a:off x="9963149" y="4943475"/>
                <a:ext cx="180000" cy="180000"/>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105" name="Rectangle 353">
                <a:extLst>
                  <a:ext uri="{FF2B5EF4-FFF2-40B4-BE49-F238E27FC236}">
                    <a16:creationId xmlns:a16="http://schemas.microsoft.com/office/drawing/2014/main" id="{00000000-0008-0000-0100-000069000000}"/>
                  </a:ext>
                </a:extLst>
              </xdr:cNvPr>
              <xdr:cNvSpPr/>
            </xdr:nvSpPr>
            <xdr:spPr>
              <a:xfrm>
                <a:off x="10172699" y="4943475"/>
                <a:ext cx="180000" cy="180000"/>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nvGrpSpPr>
            <xdr:cNvPr id="97" name="Gruppieren 96">
              <a:extLst>
                <a:ext uri="{FF2B5EF4-FFF2-40B4-BE49-F238E27FC236}">
                  <a16:creationId xmlns:a16="http://schemas.microsoft.com/office/drawing/2014/main" id="{00000000-0008-0000-0100-000061000000}"/>
                </a:ext>
              </a:extLst>
            </xdr:cNvPr>
            <xdr:cNvGrpSpPr/>
          </xdr:nvGrpSpPr>
          <xdr:grpSpPr>
            <a:xfrm>
              <a:off x="9753599" y="4781550"/>
              <a:ext cx="599100" cy="180000"/>
              <a:chOff x="9753599" y="4943475"/>
              <a:chExt cx="599100" cy="180000"/>
            </a:xfrm>
          </xdr:grpSpPr>
          <xdr:sp macro="" textlink="">
            <xdr:nvSpPr>
              <xdr:cNvPr id="100" name="Rectangle 353">
                <a:extLst>
                  <a:ext uri="{FF2B5EF4-FFF2-40B4-BE49-F238E27FC236}">
                    <a16:creationId xmlns:a16="http://schemas.microsoft.com/office/drawing/2014/main" id="{00000000-0008-0000-0100-000064000000}"/>
                  </a:ext>
                </a:extLst>
              </xdr:cNvPr>
              <xdr:cNvSpPr/>
            </xdr:nvSpPr>
            <xdr:spPr>
              <a:xfrm>
                <a:off x="9753599" y="4943475"/>
                <a:ext cx="180000" cy="180000"/>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101" name="Rectangle 353">
                <a:extLst>
                  <a:ext uri="{FF2B5EF4-FFF2-40B4-BE49-F238E27FC236}">
                    <a16:creationId xmlns:a16="http://schemas.microsoft.com/office/drawing/2014/main" id="{00000000-0008-0000-0100-000065000000}"/>
                  </a:ext>
                </a:extLst>
              </xdr:cNvPr>
              <xdr:cNvSpPr/>
            </xdr:nvSpPr>
            <xdr:spPr>
              <a:xfrm>
                <a:off x="9963149" y="4943475"/>
                <a:ext cx="180000" cy="180000"/>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102" name="Rectangle 353">
                <a:extLst>
                  <a:ext uri="{FF2B5EF4-FFF2-40B4-BE49-F238E27FC236}">
                    <a16:creationId xmlns:a16="http://schemas.microsoft.com/office/drawing/2014/main" id="{00000000-0008-0000-0100-000066000000}"/>
                  </a:ext>
                </a:extLst>
              </xdr:cNvPr>
              <xdr:cNvSpPr/>
            </xdr:nvSpPr>
            <xdr:spPr>
              <a:xfrm>
                <a:off x="10172699" y="4943475"/>
                <a:ext cx="180000" cy="180000"/>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sp macro="" textlink="">
          <xdr:nvSpPr>
            <xdr:cNvPr id="98" name="Rectangle 353">
              <a:extLst>
                <a:ext uri="{FF2B5EF4-FFF2-40B4-BE49-F238E27FC236}">
                  <a16:creationId xmlns:a16="http://schemas.microsoft.com/office/drawing/2014/main" id="{00000000-0008-0000-0100-000062000000}"/>
                </a:ext>
              </a:extLst>
            </xdr:cNvPr>
            <xdr:cNvSpPr/>
          </xdr:nvSpPr>
          <xdr:spPr>
            <a:xfrm rot="892431">
              <a:off x="9925049" y="4533900"/>
              <a:ext cx="180000" cy="180000"/>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99" name="Rectangle 353">
              <a:extLst>
                <a:ext uri="{FF2B5EF4-FFF2-40B4-BE49-F238E27FC236}">
                  <a16:creationId xmlns:a16="http://schemas.microsoft.com/office/drawing/2014/main" id="{00000000-0008-0000-0100-000063000000}"/>
                </a:ext>
              </a:extLst>
            </xdr:cNvPr>
            <xdr:cNvSpPr/>
          </xdr:nvSpPr>
          <xdr:spPr>
            <a:xfrm>
              <a:off x="10172699" y="4562475"/>
              <a:ext cx="180000" cy="180000"/>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68580</xdr:colOff>
      <xdr:row>0</xdr:row>
      <xdr:rowOff>229555</xdr:rowOff>
    </xdr:from>
    <xdr:to>
      <xdr:col>0</xdr:col>
      <xdr:colOff>392580</xdr:colOff>
      <xdr:row>0</xdr:row>
      <xdr:rowOff>555020</xdr:rowOff>
    </xdr:to>
    <xdr:grpSp>
      <xdr:nvGrpSpPr>
        <xdr:cNvPr id="14" name="Gruppieren 13">
          <a:hlinkClick xmlns:r="http://schemas.openxmlformats.org/officeDocument/2006/relationships" r:id="rId1" tooltip="Home"/>
          <a:extLst>
            <a:ext uri="{FF2B5EF4-FFF2-40B4-BE49-F238E27FC236}">
              <a16:creationId xmlns:a16="http://schemas.microsoft.com/office/drawing/2014/main" id="{00000000-0008-0000-0200-00000E000000}"/>
            </a:ext>
          </a:extLst>
        </xdr:cNvPr>
        <xdr:cNvGrpSpPr/>
      </xdr:nvGrpSpPr>
      <xdr:grpSpPr>
        <a:xfrm>
          <a:off x="68580" y="229555"/>
          <a:ext cx="324000" cy="325465"/>
          <a:chOff x="12729063" y="1298331"/>
          <a:chExt cx="324000" cy="323267"/>
        </a:xfrm>
      </xdr:grpSpPr>
      <xdr:sp macro="" textlink="">
        <xdr:nvSpPr>
          <xdr:cNvPr id="15" name="Rechteck 14">
            <a:extLst>
              <a:ext uri="{FF2B5EF4-FFF2-40B4-BE49-F238E27FC236}">
                <a16:creationId xmlns:a16="http://schemas.microsoft.com/office/drawing/2014/main" id="{00000000-0008-0000-0200-00000F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6" name="Grafik 15" descr="http://www.clker.com/cliparts/Z/I/5/L/X/x/white-house-md.png">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mc:AlternateContent xmlns:mc="http://schemas.openxmlformats.org/markup-compatibility/2006">
    <mc:Choice xmlns:a14="http://schemas.microsoft.com/office/drawing/2010/main" Requires="a14">
      <xdr:twoCellAnchor editAs="oneCell">
        <xdr:from>
          <xdr:col>28</xdr:col>
          <xdr:colOff>533400</xdr:colOff>
          <xdr:row>0</xdr:row>
          <xdr:rowOff>9525</xdr:rowOff>
        </xdr:from>
        <xdr:to>
          <xdr:col>38</xdr:col>
          <xdr:colOff>1701800</xdr:colOff>
          <xdr:row>0</xdr:row>
          <xdr:rowOff>504825</xdr:rowOff>
        </xdr:to>
        <xdr:pic>
          <xdr:nvPicPr>
            <xdr:cNvPr id="57" name="Grafik 56">
              <a:extLst>
                <a:ext uri="{FF2B5EF4-FFF2-40B4-BE49-F238E27FC236}">
                  <a16:creationId xmlns:a16="http://schemas.microsoft.com/office/drawing/2014/main" id="{00000000-0008-0000-0200-000039000000}"/>
                </a:ext>
              </a:extLst>
            </xdr:cNvPr>
            <xdr:cNvPicPr>
              <a:picLocks noChangeAspect="1" noChangeArrowheads="1"/>
              <a:extLst>
                <a:ext uri="{84589F7E-364E-4C9E-8A38-B11213B215E9}">
                  <a14:cameraTool cellRange="Logo!$D$6" spid="_x0000_s206742"/>
                </a:ext>
              </a:extLst>
            </xdr:cNvPicPr>
          </xdr:nvPicPr>
          <xdr:blipFill>
            <a:blip xmlns:r="http://schemas.openxmlformats.org/officeDocument/2006/relationships" r:embed="rId3"/>
            <a:srcRect/>
            <a:stretch>
              <a:fillRect/>
            </a:stretch>
          </xdr:blipFill>
          <xdr:spPr bwMode="auto">
            <a:xfrm>
              <a:off x="9677400" y="9525"/>
              <a:ext cx="1997075" cy="495300"/>
            </a:xfrm>
            <a:prstGeom prst="rect">
              <a:avLst/>
            </a:prstGeom>
            <a:solidFill>
              <a:schemeClr val="bg1"/>
            </a:solidFill>
            <a:ln w="9525">
              <a:noFill/>
              <a:miter lim="800000"/>
              <a:headEnd/>
              <a:tailEnd/>
            </a:ln>
          </xdr:spPr>
        </xdr:pic>
        <xdr:clientData/>
      </xdr:twoCellAnchor>
    </mc:Choice>
    <mc:Fallback/>
  </mc:AlternateContent>
  <xdr:twoCellAnchor>
    <xdr:from>
      <xdr:col>38</xdr:col>
      <xdr:colOff>1076338</xdr:colOff>
      <xdr:row>1</xdr:row>
      <xdr:rowOff>52389</xdr:rowOff>
    </xdr:from>
    <xdr:to>
      <xdr:col>38</xdr:col>
      <xdr:colOff>1747849</xdr:colOff>
      <xdr:row>1</xdr:row>
      <xdr:rowOff>232389</xdr:rowOff>
    </xdr:to>
    <xdr:grpSp>
      <xdr:nvGrpSpPr>
        <xdr:cNvPr id="8" name="Gruppieren 7">
          <a:extLst>
            <a:ext uri="{FF2B5EF4-FFF2-40B4-BE49-F238E27FC236}">
              <a16:creationId xmlns:a16="http://schemas.microsoft.com/office/drawing/2014/main" id="{00000000-0008-0000-0200-000008000000}"/>
            </a:ext>
          </a:extLst>
        </xdr:cNvPr>
        <xdr:cNvGrpSpPr/>
      </xdr:nvGrpSpPr>
      <xdr:grpSpPr>
        <a:xfrm>
          <a:off x="9625978" y="639129"/>
          <a:ext cx="671511" cy="180000"/>
          <a:chOff x="14092239" y="623889"/>
          <a:chExt cx="671511" cy="180000"/>
        </a:xfrm>
      </xdr:grpSpPr>
      <xdr:grpSp>
        <xdr:nvGrpSpPr>
          <xdr:cNvPr id="58" name="Gruppieren 47">
            <a:hlinkClick xmlns:r="http://schemas.openxmlformats.org/officeDocument/2006/relationships" r:id="rId4" tooltip="Help"/>
            <a:extLst>
              <a:ext uri="{FF2B5EF4-FFF2-40B4-BE49-F238E27FC236}">
                <a16:creationId xmlns:a16="http://schemas.microsoft.com/office/drawing/2014/main" id="{00000000-0008-0000-0200-00003A000000}"/>
              </a:ext>
            </a:extLst>
          </xdr:cNvPr>
          <xdr:cNvGrpSpPr>
            <a:grpSpLocks/>
          </xdr:cNvGrpSpPr>
        </xdr:nvGrpSpPr>
        <xdr:grpSpPr>
          <a:xfrm>
            <a:off x="14592300" y="623889"/>
            <a:ext cx="171450" cy="180000"/>
            <a:chOff x="8105775" y="571500"/>
            <a:chExt cx="172800" cy="172800"/>
          </a:xfrm>
        </xdr:grpSpPr>
        <xdr:sp macro="" textlink="">
          <xdr:nvSpPr>
            <xdr:cNvPr id="59" name="Rechteck 48">
              <a:extLst>
                <a:ext uri="{FF2B5EF4-FFF2-40B4-BE49-F238E27FC236}">
                  <a16:creationId xmlns:a16="http://schemas.microsoft.com/office/drawing/2014/main" id="{00000000-0008-0000-0200-00003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6" name="Textfeld 49">
              <a:extLst>
                <a:ext uri="{FF2B5EF4-FFF2-40B4-BE49-F238E27FC236}">
                  <a16:creationId xmlns:a16="http://schemas.microsoft.com/office/drawing/2014/main" id="{00000000-0008-0000-0200-000042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67" name="Rechteck 78">
            <a:extLst>
              <a:ext uri="{FF2B5EF4-FFF2-40B4-BE49-F238E27FC236}">
                <a16:creationId xmlns:a16="http://schemas.microsoft.com/office/drawing/2014/main" id="{00000000-0008-0000-0200-000043000000}"/>
              </a:ext>
            </a:extLst>
          </xdr:cNvPr>
          <xdr:cNvSpPr>
            <a:spLocks noChangeAspect="1"/>
          </xdr:cNvSpPr>
        </xdr:nvSpPr>
        <xdr:spPr>
          <a:xfrm>
            <a:off x="14092239" y="623889"/>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68" name="Rechteck 84">
            <a:extLst>
              <a:ext uri="{FF2B5EF4-FFF2-40B4-BE49-F238E27FC236}">
                <a16:creationId xmlns:a16="http://schemas.microsoft.com/office/drawing/2014/main" id="{00000000-0008-0000-0200-000044000000}"/>
              </a:ext>
            </a:extLst>
          </xdr:cNvPr>
          <xdr:cNvSpPr>
            <a:spLocks noChangeAspect="1"/>
          </xdr:cNvSpPr>
        </xdr:nvSpPr>
        <xdr:spPr>
          <a:xfrm>
            <a:off x="14312266" y="623889"/>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absolute">
    <xdr:from>
      <xdr:col>2</xdr:col>
      <xdr:colOff>0</xdr:colOff>
      <xdr:row>1</xdr:row>
      <xdr:rowOff>285750</xdr:rowOff>
    </xdr:from>
    <xdr:to>
      <xdr:col>2</xdr:col>
      <xdr:colOff>1247775</xdr:colOff>
      <xdr:row>4</xdr:row>
      <xdr:rowOff>52387</xdr:rowOff>
    </xdr:to>
    <xdr:sp macro="" textlink="">
      <xdr:nvSpPr>
        <xdr:cNvPr id="54" name="TextBox 53">
          <a:hlinkClick xmlns:r="http://schemas.openxmlformats.org/officeDocument/2006/relationships" r:id="rId5" tooltip="Charter"/>
          <a:extLst>
            <a:ext uri="{FF2B5EF4-FFF2-40B4-BE49-F238E27FC236}">
              <a16:creationId xmlns:a16="http://schemas.microsoft.com/office/drawing/2014/main" id="{00000000-0008-0000-0200-000036000000}"/>
            </a:ext>
          </a:extLst>
        </xdr:cNvPr>
        <xdr:cNvSpPr txBox="1"/>
      </xdr:nvSpPr>
      <xdr:spPr>
        <a:xfrm>
          <a:off x="1724025" y="876300"/>
          <a:ext cx="1247775"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endParaRPr lang="en-US" sz="900" b="0" i="0" u="none" strike="noStrike">
            <a:solidFill>
              <a:schemeClr val="tx1">
                <a:lumMod val="50000"/>
                <a:lumOff val="50000"/>
              </a:schemeClr>
            </a:solidFill>
            <a:latin typeface="Calibri"/>
          </a:endParaRPr>
        </a:p>
      </xdr:txBody>
    </xdr:sp>
    <xdr:clientData/>
  </xdr:twoCellAnchor>
  <xdr:oneCellAnchor>
    <xdr:from>
      <xdr:col>1</xdr:col>
      <xdr:colOff>290510</xdr:colOff>
      <xdr:row>6</xdr:row>
      <xdr:rowOff>57152</xdr:rowOff>
    </xdr:from>
    <xdr:ext cx="928689" cy="233205"/>
    <xdr:sp macro="" textlink="Projektmgmt!#REF!">
      <xdr:nvSpPr>
        <xdr:cNvPr id="73" name="TextBox 5">
          <a:extLst>
            <a:ext uri="{FF2B5EF4-FFF2-40B4-BE49-F238E27FC236}">
              <a16:creationId xmlns:a16="http://schemas.microsoft.com/office/drawing/2014/main" id="{00000000-0008-0000-0200-000049000000}"/>
            </a:ext>
          </a:extLst>
        </xdr:cNvPr>
        <xdr:cNvSpPr txBox="1"/>
      </xdr:nvSpPr>
      <xdr:spPr>
        <a:xfrm>
          <a:off x="757235" y="2038352"/>
          <a:ext cx="928689"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lIns="36000" rtlCol="0" anchor="t">
          <a:noAutofit/>
        </a:bodyPr>
        <a:lstStyle/>
        <a:p>
          <a:pPr algn="l"/>
          <a:fld id="{931DCFC8-787A-483B-B3AF-1F049B793E55}" type="TxLink">
            <a:rPr lang="en-US" sz="900" b="0" i="0" u="none" strike="noStrike">
              <a:solidFill>
                <a:schemeClr val="accent4">
                  <a:lumMod val="75000"/>
                </a:schemeClr>
              </a:solidFill>
              <a:latin typeface="Calibri"/>
            </a:rPr>
            <a:pPr algn="l"/>
            <a:t> </a:t>
          </a:fld>
          <a:endParaRPr lang="fr-CH" sz="900">
            <a:solidFill>
              <a:schemeClr val="accent4">
                <a:lumMod val="75000"/>
              </a:schemeClr>
            </a:solidFill>
          </a:endParaRPr>
        </a:p>
      </xdr:txBody>
    </xdr:sp>
    <xdr:clientData/>
  </xdr:oneCellAnchor>
  <xdr:twoCellAnchor>
    <xdr:from>
      <xdr:col>0</xdr:col>
      <xdr:colOff>457201</xdr:colOff>
      <xdr:row>0</xdr:row>
      <xdr:rowOff>100015</xdr:rowOff>
    </xdr:from>
    <xdr:to>
      <xdr:col>24</xdr:col>
      <xdr:colOff>205351</xdr:colOff>
      <xdr:row>1</xdr:row>
      <xdr:rowOff>2</xdr:rowOff>
    </xdr:to>
    <xdr:sp macro="" textlink="">
      <xdr:nvSpPr>
        <xdr:cNvPr id="87" name="Rectangle 1">
          <a:extLst>
            <a:ext uri="{FF2B5EF4-FFF2-40B4-BE49-F238E27FC236}">
              <a16:creationId xmlns:a16="http://schemas.microsoft.com/office/drawing/2014/main" id="{00000000-0008-0000-0200-000057000000}"/>
            </a:ext>
          </a:extLst>
        </xdr:cNvPr>
        <xdr:cNvSpPr/>
      </xdr:nvSpPr>
      <xdr:spPr>
        <a:xfrm>
          <a:off x="457201" y="100015"/>
          <a:ext cx="4991663" cy="423862"/>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editAs="oneCell">
    <xdr:from>
      <xdr:col>1</xdr:col>
      <xdr:colOff>1052522</xdr:colOff>
      <xdr:row>8</xdr:row>
      <xdr:rowOff>123825</xdr:rowOff>
    </xdr:from>
    <xdr:to>
      <xdr:col>1</xdr:col>
      <xdr:colOff>1232522</xdr:colOff>
      <xdr:row>8</xdr:row>
      <xdr:rowOff>303825</xdr:rowOff>
    </xdr:to>
    <xdr:pic macro="[0]!Filter_aus">
      <xdr:nvPicPr>
        <xdr:cNvPr id="74" name="Grafik 73">
          <a:extLst>
            <a:ext uri="{FF2B5EF4-FFF2-40B4-BE49-F238E27FC236}">
              <a16:creationId xmlns:a16="http://schemas.microsoft.com/office/drawing/2014/main" id="{00000000-0008-0000-0200-00004A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519247" y="2419350"/>
          <a:ext cx="180000" cy="180000"/>
        </a:xfrm>
        <a:prstGeom prst="rect">
          <a:avLst/>
        </a:prstGeom>
      </xdr:spPr>
    </xdr:pic>
    <xdr:clientData fPrintsWithSheet="0"/>
  </xdr:twoCellAnchor>
  <xdr:twoCellAnchor editAs="oneCell">
    <xdr:from>
      <xdr:col>0</xdr:col>
      <xdr:colOff>81169</xdr:colOff>
      <xdr:row>11</xdr:row>
      <xdr:rowOff>173832</xdr:rowOff>
    </xdr:from>
    <xdr:to>
      <xdr:col>0</xdr:col>
      <xdr:colOff>333169</xdr:colOff>
      <xdr:row>13</xdr:row>
      <xdr:rowOff>61782</xdr:rowOff>
    </xdr:to>
    <xdr:sp macro="[0]!Team_Ausblenden" textlink="">
      <xdr:nvSpPr>
        <xdr:cNvPr id="76" name="Minus Sign 75">
          <a:extLst>
            <a:ext uri="{FF2B5EF4-FFF2-40B4-BE49-F238E27FC236}">
              <a16:creationId xmlns:a16="http://schemas.microsoft.com/office/drawing/2014/main" id="{00000000-0008-0000-0200-00004C000000}"/>
            </a:ext>
          </a:extLst>
        </xdr:cNvPr>
        <xdr:cNvSpPr>
          <a:spLocks noChangeAspect="1"/>
        </xdr:cNvSpPr>
      </xdr:nvSpPr>
      <xdr:spPr>
        <a:xfrm>
          <a:off x="81169" y="3174207"/>
          <a:ext cx="252000" cy="288000"/>
        </a:xfrm>
        <a:prstGeom prst="mathMinus">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editAs="oneCell">
    <xdr:from>
      <xdr:col>0</xdr:col>
      <xdr:colOff>71438</xdr:colOff>
      <xdr:row>10</xdr:row>
      <xdr:rowOff>54763</xdr:rowOff>
    </xdr:from>
    <xdr:to>
      <xdr:col>0</xdr:col>
      <xdr:colOff>342900</xdr:colOff>
      <xdr:row>11</xdr:row>
      <xdr:rowOff>126200</xdr:rowOff>
    </xdr:to>
    <xdr:sp macro="[0]!Team_Einblenden" textlink="">
      <xdr:nvSpPr>
        <xdr:cNvPr id="79" name="Plus Sign 78">
          <a:extLst>
            <a:ext uri="{FF2B5EF4-FFF2-40B4-BE49-F238E27FC236}">
              <a16:creationId xmlns:a16="http://schemas.microsoft.com/office/drawing/2014/main" id="{00000000-0008-0000-0200-00004F000000}"/>
            </a:ext>
          </a:extLst>
        </xdr:cNvPr>
        <xdr:cNvSpPr>
          <a:spLocks noChangeAspect="1"/>
        </xdr:cNvSpPr>
      </xdr:nvSpPr>
      <xdr:spPr>
        <a:xfrm>
          <a:off x="71438" y="2855113"/>
          <a:ext cx="271462" cy="271462"/>
        </a:xfrm>
        <a:prstGeom prst="mathPlus">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lt1"/>
            </a:solidFill>
            <a:latin typeface="+mn-lt"/>
            <a:ea typeface="+mn-ea"/>
            <a:cs typeface="+mn-cs"/>
          </a:endParaRPr>
        </a:p>
      </xdr:txBody>
    </xdr:sp>
    <xdr:clientData fPrintsWithSheet="0"/>
  </xdr:twoCellAnchor>
  <xdr:twoCellAnchor>
    <xdr:from>
      <xdr:col>35</xdr:col>
      <xdr:colOff>1060450</xdr:colOff>
      <xdr:row>10</xdr:row>
      <xdr:rowOff>57149</xdr:rowOff>
    </xdr:from>
    <xdr:to>
      <xdr:col>37</xdr:col>
      <xdr:colOff>1060450</xdr:colOff>
      <xdr:row>34</xdr:row>
      <xdr:rowOff>50799</xdr:rowOff>
    </xdr:to>
    <xdr:sp macro="" textlink="">
      <xdr:nvSpPr>
        <xdr:cNvPr id="80" name="Rechteck 79">
          <a:hlinkClick xmlns:r="http://schemas.openxmlformats.org/officeDocument/2006/relationships" r:id="rId7" tooltip="Goto Planning"/>
          <a:extLst>
            <a:ext uri="{FF2B5EF4-FFF2-40B4-BE49-F238E27FC236}">
              <a16:creationId xmlns:a16="http://schemas.microsoft.com/office/drawing/2014/main" id="{00000000-0008-0000-0200-000050000000}"/>
            </a:ext>
          </a:extLst>
        </xdr:cNvPr>
        <xdr:cNvSpPr/>
      </xdr:nvSpPr>
      <xdr:spPr>
        <a:xfrm>
          <a:off x="16630650" y="2857499"/>
          <a:ext cx="1701800" cy="471805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30</xdr:col>
      <xdr:colOff>234950</xdr:colOff>
      <xdr:row>8</xdr:row>
      <xdr:rowOff>0</xdr:rowOff>
    </xdr:from>
    <xdr:to>
      <xdr:col>32</xdr:col>
      <xdr:colOff>0</xdr:colOff>
      <xdr:row>33</xdr:row>
      <xdr:rowOff>190499</xdr:rowOff>
    </xdr:to>
    <xdr:sp macro="" textlink="">
      <xdr:nvSpPr>
        <xdr:cNvPr id="81" name="Rechteck 80">
          <a:hlinkClick xmlns:r="http://schemas.openxmlformats.org/officeDocument/2006/relationships" r:id="rId8" tooltip="Goto Planning"/>
          <a:extLst>
            <a:ext uri="{FF2B5EF4-FFF2-40B4-BE49-F238E27FC236}">
              <a16:creationId xmlns:a16="http://schemas.microsoft.com/office/drawing/2014/main" id="{00000000-0008-0000-0200-000051000000}"/>
            </a:ext>
          </a:extLst>
        </xdr:cNvPr>
        <xdr:cNvSpPr/>
      </xdr:nvSpPr>
      <xdr:spPr>
        <a:xfrm>
          <a:off x="11303000" y="2298700"/>
          <a:ext cx="1250950" cy="521969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27</xdr:col>
      <xdr:colOff>0</xdr:colOff>
      <xdr:row>3</xdr:row>
      <xdr:rowOff>304799</xdr:rowOff>
    </xdr:from>
    <xdr:to>
      <xdr:col>27</xdr:col>
      <xdr:colOff>857250</xdr:colOff>
      <xdr:row>4</xdr:row>
      <xdr:rowOff>200024</xdr:rowOff>
    </xdr:to>
    <xdr:sp macro="" textlink="">
      <xdr:nvSpPr>
        <xdr:cNvPr id="82" name="Rechteck 81">
          <a:hlinkClick xmlns:r="http://schemas.openxmlformats.org/officeDocument/2006/relationships" r:id="rId9" tooltip="Goto Charter"/>
          <a:extLst>
            <a:ext uri="{FF2B5EF4-FFF2-40B4-BE49-F238E27FC236}">
              <a16:creationId xmlns:a16="http://schemas.microsoft.com/office/drawing/2014/main" id="{00000000-0008-0000-0200-000052000000}"/>
            </a:ext>
          </a:extLst>
        </xdr:cNvPr>
        <xdr:cNvSpPr/>
      </xdr:nvSpPr>
      <xdr:spPr>
        <a:xfrm>
          <a:off x="8305800" y="1419224"/>
          <a:ext cx="857250" cy="20002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mc:AlternateContent xmlns:mc="http://schemas.openxmlformats.org/markup-compatibility/2006">
    <mc:Choice xmlns:a14="http://schemas.microsoft.com/office/drawing/2010/main" Requires="a14">
      <xdr:twoCellAnchor>
        <xdr:from>
          <xdr:col>4</xdr:col>
          <xdr:colOff>0</xdr:colOff>
          <xdr:row>11</xdr:row>
          <xdr:rowOff>0</xdr:rowOff>
        </xdr:from>
        <xdr:to>
          <xdr:col>5</xdr:col>
          <xdr:colOff>160020</xdr:colOff>
          <xdr:row>11</xdr:row>
          <xdr:rowOff>0</xdr:rowOff>
        </xdr:to>
        <xdr:sp macro="" textlink="">
          <xdr:nvSpPr>
            <xdr:cNvPr id="206174" name="Control 350" hidden="1">
              <a:extLst>
                <a:ext uri="{63B3BB69-23CF-44E3-9099-C40C66FF867C}">
                  <a14:compatExt spid="_x0000_s206174"/>
                </a:ext>
                <a:ext uri="{FF2B5EF4-FFF2-40B4-BE49-F238E27FC236}">
                  <a16:creationId xmlns:a16="http://schemas.microsoft.com/office/drawing/2014/main" id="{00000000-0008-0000-0200-00005E25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541020</xdr:colOff>
          <xdr:row>8</xdr:row>
          <xdr:rowOff>190500</xdr:rowOff>
        </xdr:from>
        <xdr:to>
          <xdr:col>28</xdr:col>
          <xdr:colOff>762000</xdr:colOff>
          <xdr:row>9</xdr:row>
          <xdr:rowOff>0</xdr:rowOff>
        </xdr:to>
        <xdr:sp macro="" textlink="">
          <xdr:nvSpPr>
            <xdr:cNvPr id="206545" name="Check Box 721" descr="h" hidden="1">
              <a:extLst>
                <a:ext uri="{63B3BB69-23CF-44E3-9099-C40C66FF867C}">
                  <a14:compatExt spid="_x0000_s206545"/>
                </a:ext>
                <a:ext uri="{FF2B5EF4-FFF2-40B4-BE49-F238E27FC236}">
                  <a16:creationId xmlns:a16="http://schemas.microsoft.com/office/drawing/2014/main" id="{00000000-0008-0000-0200-0000D126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twoCellAnchor editAs="oneCell">
    <xdr:from>
      <xdr:col>38</xdr:col>
      <xdr:colOff>781050</xdr:colOff>
      <xdr:row>1</xdr:row>
      <xdr:rowOff>38100</xdr:rowOff>
    </xdr:from>
    <xdr:to>
      <xdr:col>38</xdr:col>
      <xdr:colOff>997050</xdr:colOff>
      <xdr:row>1</xdr:row>
      <xdr:rowOff>254100</xdr:rowOff>
    </xdr:to>
    <xdr:pic>
      <xdr:nvPicPr>
        <xdr:cNvPr id="84" name="Grafik 83">
          <a:hlinkClick xmlns:r="http://schemas.openxmlformats.org/officeDocument/2006/relationships" r:id="rId10" tooltip="Options"/>
          <a:extLst>
            <a:ext uri="{FF2B5EF4-FFF2-40B4-BE49-F238E27FC236}">
              <a16:creationId xmlns:a16="http://schemas.microsoft.com/office/drawing/2014/main" id="{00000000-0008-0000-0200-000054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9077325" y="561975"/>
          <a:ext cx="216000" cy="216000"/>
        </a:xfrm>
        <a:prstGeom prst="rect">
          <a:avLst/>
        </a:prstGeom>
      </xdr:spPr>
    </xdr:pic>
    <xdr:clientData fPrintsWithSheet="0"/>
  </xdr:twoCellAnchor>
  <xdr:twoCellAnchor editAs="absolute">
    <xdr:from>
      <xdr:col>0</xdr:col>
      <xdr:colOff>309560</xdr:colOff>
      <xdr:row>5</xdr:row>
      <xdr:rowOff>238125</xdr:rowOff>
    </xdr:from>
    <xdr:to>
      <xdr:col>64</xdr:col>
      <xdr:colOff>247650</xdr:colOff>
      <xdr:row>8</xdr:row>
      <xdr:rowOff>147639</xdr:rowOff>
    </xdr:to>
    <xdr:graphicFrame macro="">
      <xdr:nvGraphicFramePr>
        <xdr:cNvPr id="69" name="Diagramm 9">
          <a:extLst>
            <a:ext uri="{FF2B5EF4-FFF2-40B4-BE49-F238E27FC236}">
              <a16:creationId xmlns:a16="http://schemas.microsoft.com/office/drawing/2014/main" id="{00000000-0008-0000-0200-00004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0</xdr:colOff>
      <xdr:row>0</xdr:row>
      <xdr:rowOff>228600</xdr:rowOff>
    </xdr:from>
    <xdr:to>
      <xdr:col>26</xdr:col>
      <xdr:colOff>664001</xdr:colOff>
      <xdr:row>0</xdr:row>
      <xdr:rowOff>555824</xdr:rowOff>
    </xdr:to>
    <xdr:grpSp>
      <xdr:nvGrpSpPr>
        <xdr:cNvPr id="2" name="Gruppieren 1">
          <a:extLst>
            <a:ext uri="{FF2B5EF4-FFF2-40B4-BE49-F238E27FC236}">
              <a16:creationId xmlns:a16="http://schemas.microsoft.com/office/drawing/2014/main" id="{00000000-0008-0000-0200-000002000000}"/>
            </a:ext>
          </a:extLst>
        </xdr:cNvPr>
        <xdr:cNvGrpSpPr/>
      </xdr:nvGrpSpPr>
      <xdr:grpSpPr>
        <a:xfrm>
          <a:off x="480060" y="228600"/>
          <a:ext cx="5891321" cy="327224"/>
          <a:chOff x="466725" y="228600"/>
          <a:chExt cx="5731301" cy="327224"/>
        </a:xfrm>
      </xdr:grpSpPr>
      <xdr:sp macro="" textlink="">
        <xdr:nvSpPr>
          <xdr:cNvPr id="33" name="Rechteck: obere Ecken abgerundet 13">
            <a:hlinkClick xmlns:r="http://schemas.openxmlformats.org/officeDocument/2006/relationships" r:id="rId13" tooltip="Go to"/>
            <a:extLst>
              <a:ext uri="{FF2B5EF4-FFF2-40B4-BE49-F238E27FC236}">
                <a16:creationId xmlns:a16="http://schemas.microsoft.com/office/drawing/2014/main" id="{00000000-0008-0000-0200-000021000000}"/>
              </a:ext>
            </a:extLst>
          </xdr:cNvPr>
          <xdr:cNvSpPr/>
        </xdr:nvSpPr>
        <xdr:spPr>
          <a:xfrm>
            <a:off x="466725" y="228600"/>
            <a:ext cx="1109910" cy="327224"/>
          </a:xfrm>
          <a:prstGeom prst="round2Same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sp macro="" textlink="' '!A42">
        <xdr:nvSpPr>
          <xdr:cNvPr id="34" name="Rechteck: obere Ecken abgerundet 14">
            <a:hlinkClick xmlns:r="http://schemas.openxmlformats.org/officeDocument/2006/relationships" r:id="rId14" tooltip="Go to"/>
            <a:extLst>
              <a:ext uri="{FF2B5EF4-FFF2-40B4-BE49-F238E27FC236}">
                <a16:creationId xmlns:a16="http://schemas.microsoft.com/office/drawing/2014/main" id="{00000000-0008-0000-0200-000022000000}"/>
              </a:ext>
            </a:extLst>
          </xdr:cNvPr>
          <xdr:cNvSpPr/>
        </xdr:nvSpPr>
        <xdr:spPr>
          <a:xfrm>
            <a:off x="1617862" y="228600"/>
            <a:ext cx="1114121" cy="327224"/>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99">
        <xdr:nvSpPr>
          <xdr:cNvPr id="35" name="Rechteck: obere Ecken abgerundet 15">
            <a:hlinkClick xmlns:r="http://schemas.openxmlformats.org/officeDocument/2006/relationships" r:id="rId15" tooltip="Go to"/>
            <a:extLst>
              <a:ext uri="{FF2B5EF4-FFF2-40B4-BE49-F238E27FC236}">
                <a16:creationId xmlns:a16="http://schemas.microsoft.com/office/drawing/2014/main" id="{00000000-0008-0000-0200-000023000000}"/>
              </a:ext>
            </a:extLst>
          </xdr:cNvPr>
          <xdr:cNvSpPr/>
        </xdr:nvSpPr>
        <xdr:spPr>
          <a:xfrm>
            <a:off x="2773210" y="228600"/>
            <a:ext cx="1114121" cy="327224"/>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36" name="Rechteck: obere Ecken abgerundet 14">
            <a:hlinkClick xmlns:r="http://schemas.openxmlformats.org/officeDocument/2006/relationships" r:id="rId16" tooltip="Go to"/>
            <a:extLst>
              <a:ext uri="{FF2B5EF4-FFF2-40B4-BE49-F238E27FC236}">
                <a16:creationId xmlns:a16="http://schemas.microsoft.com/office/drawing/2014/main" id="{00000000-0008-0000-0200-000024000000}"/>
              </a:ext>
            </a:extLst>
          </xdr:cNvPr>
          <xdr:cNvSpPr/>
        </xdr:nvSpPr>
        <xdr:spPr>
          <a:xfrm>
            <a:off x="3928557" y="228600"/>
            <a:ext cx="1114121" cy="327224"/>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02">
        <xdr:nvSpPr>
          <xdr:cNvPr id="39" name="Rechteck: obere Ecken abgerundet 14">
            <a:hlinkClick xmlns:r="http://schemas.openxmlformats.org/officeDocument/2006/relationships" r:id="rId17" tooltip="Go to"/>
            <a:extLst>
              <a:ext uri="{FF2B5EF4-FFF2-40B4-BE49-F238E27FC236}">
                <a16:creationId xmlns:a16="http://schemas.microsoft.com/office/drawing/2014/main" id="{00000000-0008-0000-0200-000027000000}"/>
              </a:ext>
            </a:extLst>
          </xdr:cNvPr>
          <xdr:cNvSpPr/>
        </xdr:nvSpPr>
        <xdr:spPr>
          <a:xfrm>
            <a:off x="5083905" y="228600"/>
            <a:ext cx="1114121" cy="327224"/>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E3A21285-16A6-4B9D-8378-81F287973AD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Review</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130628</xdr:colOff>
      <xdr:row>29</xdr:row>
      <xdr:rowOff>74840</xdr:rowOff>
    </xdr:from>
    <xdr:to>
      <xdr:col>6</xdr:col>
      <xdr:colOff>128928</xdr:colOff>
      <xdr:row>32</xdr:row>
      <xdr:rowOff>27215</xdr:rowOff>
    </xdr:to>
    <xdr:graphicFrame macro="">
      <xdr:nvGraphicFramePr>
        <xdr:cNvPr id="29" name="Diagramm 28">
          <a:extLst>
            <a:ext uri="{FF2B5EF4-FFF2-40B4-BE49-F238E27FC236}">
              <a16:creationId xmlns:a16="http://schemas.microsoft.com/office/drawing/2014/main" id="{00000000-0008-0000-03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3</xdr:col>
      <xdr:colOff>130628</xdr:colOff>
      <xdr:row>30</xdr:row>
      <xdr:rowOff>239067</xdr:rowOff>
    </xdr:from>
    <xdr:to>
      <xdr:col>6</xdr:col>
      <xdr:colOff>127000</xdr:colOff>
      <xdr:row>34</xdr:row>
      <xdr:rowOff>33129</xdr:rowOff>
    </xdr:to>
    <xdr:graphicFrame macro="">
      <xdr:nvGraphicFramePr>
        <xdr:cNvPr id="36" name="Diagramm 35">
          <a:extLst>
            <a:ext uri="{FF2B5EF4-FFF2-40B4-BE49-F238E27FC236}">
              <a16:creationId xmlns:a16="http://schemas.microsoft.com/office/drawing/2014/main" id="{00000000-0008-0000-03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xdr:col>
      <xdr:colOff>130628</xdr:colOff>
      <xdr:row>32</xdr:row>
      <xdr:rowOff>239066</xdr:rowOff>
    </xdr:from>
    <xdr:to>
      <xdr:col>6</xdr:col>
      <xdr:colOff>128928</xdr:colOff>
      <xdr:row>36</xdr:row>
      <xdr:rowOff>36412</xdr:rowOff>
    </xdr:to>
    <xdr:graphicFrame macro="">
      <xdr:nvGraphicFramePr>
        <xdr:cNvPr id="37" name="Diagramm 36">
          <a:extLst>
            <a:ext uri="{FF2B5EF4-FFF2-40B4-BE49-F238E27FC236}">
              <a16:creationId xmlns:a16="http://schemas.microsoft.com/office/drawing/2014/main" id="{00000000-0008-0000-03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8</xdr:col>
      <xdr:colOff>10</xdr:colOff>
      <xdr:row>4</xdr:row>
      <xdr:rowOff>66675</xdr:rowOff>
    </xdr:from>
    <xdr:to>
      <xdr:col>9</xdr:col>
      <xdr:colOff>1966</xdr:colOff>
      <xdr:row>4</xdr:row>
      <xdr:rowOff>246675</xdr:rowOff>
    </xdr:to>
    <xdr:grpSp>
      <xdr:nvGrpSpPr>
        <xdr:cNvPr id="5" name="Gruppieren 4">
          <a:hlinkClick xmlns:r="http://schemas.openxmlformats.org/officeDocument/2006/relationships" r:id="rId4" tooltip="Team"/>
          <a:extLst>
            <a:ext uri="{FF2B5EF4-FFF2-40B4-BE49-F238E27FC236}">
              <a16:creationId xmlns:a16="http://schemas.microsoft.com/office/drawing/2014/main" id="{00000000-0008-0000-0300-000005000000}"/>
            </a:ext>
          </a:extLst>
        </xdr:cNvPr>
        <xdr:cNvGrpSpPr/>
      </xdr:nvGrpSpPr>
      <xdr:grpSpPr>
        <a:xfrm>
          <a:off x="6172210" y="1141095"/>
          <a:ext cx="177216" cy="180000"/>
          <a:chOff x="6000760" y="1152525"/>
          <a:chExt cx="173406" cy="180000"/>
        </a:xfrm>
      </xdr:grpSpPr>
      <xdr:sp macro="" textlink="">
        <xdr:nvSpPr>
          <xdr:cNvPr id="55" name="Rechteck 54">
            <a:extLst>
              <a:ext uri="{FF2B5EF4-FFF2-40B4-BE49-F238E27FC236}">
                <a16:creationId xmlns:a16="http://schemas.microsoft.com/office/drawing/2014/main" id="{00000000-0008-0000-0300-000037000000}"/>
              </a:ext>
            </a:extLst>
          </xdr:cNvPr>
          <xdr:cNvSpPr>
            <a:spLocks noChangeAspect="1"/>
          </xdr:cNvSpPr>
        </xdr:nvSpPr>
        <xdr:spPr>
          <a:xfrm>
            <a:off x="6000760" y="1152525"/>
            <a:ext cx="173406" cy="180000"/>
          </a:xfrm>
          <a:prstGeom prst="rect">
            <a:avLst/>
          </a:prstGeom>
          <a:gradFill>
            <a:gsLst>
              <a:gs pos="0">
                <a:srgbClr val="4DADB5"/>
              </a:gs>
              <a:gs pos="80000">
                <a:srgbClr val="68BAC0"/>
              </a:gs>
              <a:gs pos="100000">
                <a:srgbClr val="75BFC5"/>
              </a:gs>
            </a:gsLst>
          </a:gradFill>
          <a:ln>
            <a:solidFill>
              <a:srgbClr val="4DADB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6" name="Pfeil nach rechts 55">
            <a:extLst>
              <a:ext uri="{FF2B5EF4-FFF2-40B4-BE49-F238E27FC236}">
                <a16:creationId xmlns:a16="http://schemas.microsoft.com/office/drawing/2014/main" id="{00000000-0008-0000-0300-000038000000}"/>
              </a:ext>
            </a:extLst>
          </xdr:cNvPr>
          <xdr:cNvSpPr/>
        </xdr:nvSpPr>
        <xdr:spPr>
          <a:xfrm>
            <a:off x="6051738" y="1194668"/>
            <a:ext cx="86703" cy="99550"/>
          </a:xfrm>
          <a:prstGeom prst="rightArrow">
            <a:avLst/>
          </a:prstGeom>
          <a:solidFill>
            <a:schemeClr val="bg1"/>
          </a:solidFill>
          <a:ln>
            <a:no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grpSp>
    <xdr:clientData fPrintsWithSheet="0"/>
  </xdr:twoCellAnchor>
  <xdr:twoCellAnchor>
    <xdr:from>
      <xdr:col>3</xdr:col>
      <xdr:colOff>753666</xdr:colOff>
      <xdr:row>28</xdr:row>
      <xdr:rowOff>2377</xdr:rowOff>
    </xdr:from>
    <xdr:to>
      <xdr:col>3</xdr:col>
      <xdr:colOff>933666</xdr:colOff>
      <xdr:row>28</xdr:row>
      <xdr:rowOff>182377</xdr:rowOff>
    </xdr:to>
    <xdr:grpSp>
      <xdr:nvGrpSpPr>
        <xdr:cNvPr id="7" name="Gruppieren 6">
          <a:hlinkClick xmlns:r="http://schemas.openxmlformats.org/officeDocument/2006/relationships" r:id="rId5" tooltip="Budget"/>
          <a:extLst>
            <a:ext uri="{FF2B5EF4-FFF2-40B4-BE49-F238E27FC236}">
              <a16:creationId xmlns:a16="http://schemas.microsoft.com/office/drawing/2014/main" id="{00000000-0008-0000-0300-000007000000}"/>
            </a:ext>
          </a:extLst>
        </xdr:cNvPr>
        <xdr:cNvGrpSpPr/>
      </xdr:nvGrpSpPr>
      <xdr:grpSpPr>
        <a:xfrm>
          <a:off x="2536746" y="5831677"/>
          <a:ext cx="180000" cy="180000"/>
          <a:chOff x="2488219" y="5988088"/>
          <a:chExt cx="180000" cy="180000"/>
        </a:xfrm>
      </xdr:grpSpPr>
      <xdr:sp macro="" textlink="">
        <xdr:nvSpPr>
          <xdr:cNvPr id="42" name="Rechteck 41">
            <a:extLst>
              <a:ext uri="{FF2B5EF4-FFF2-40B4-BE49-F238E27FC236}">
                <a16:creationId xmlns:a16="http://schemas.microsoft.com/office/drawing/2014/main" id="{00000000-0008-0000-0300-00002A000000}"/>
              </a:ext>
            </a:extLst>
          </xdr:cNvPr>
          <xdr:cNvSpPr>
            <a:spLocks noChangeAspect="1"/>
          </xdr:cNvSpPr>
        </xdr:nvSpPr>
        <xdr:spPr>
          <a:xfrm>
            <a:off x="2488219" y="5988088"/>
            <a:ext cx="180000" cy="180000"/>
          </a:xfrm>
          <a:prstGeom prst="rect">
            <a:avLst/>
          </a:prstGeom>
          <a:gradFill>
            <a:gsLst>
              <a:gs pos="0">
                <a:srgbClr val="4DADB5"/>
              </a:gs>
              <a:gs pos="80000">
                <a:srgbClr val="68BAC0"/>
              </a:gs>
              <a:gs pos="100000">
                <a:srgbClr val="75BFC5"/>
              </a:gs>
            </a:gsLst>
          </a:gradFill>
          <a:ln>
            <a:solidFill>
              <a:srgbClr val="4DADB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3" name="Pfeil nach rechts 42">
            <a:extLst>
              <a:ext uri="{FF2B5EF4-FFF2-40B4-BE49-F238E27FC236}">
                <a16:creationId xmlns:a16="http://schemas.microsoft.com/office/drawing/2014/main" id="{00000000-0008-0000-0300-00002B000000}"/>
              </a:ext>
            </a:extLst>
          </xdr:cNvPr>
          <xdr:cNvSpPr/>
        </xdr:nvSpPr>
        <xdr:spPr>
          <a:xfrm>
            <a:off x="2541136" y="6030231"/>
            <a:ext cx="90000" cy="99550"/>
          </a:xfrm>
          <a:prstGeom prst="rightArrow">
            <a:avLst/>
          </a:prstGeom>
          <a:solidFill>
            <a:schemeClr val="bg1"/>
          </a:solidFill>
          <a:ln>
            <a:no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xdr:from>
          <xdr:col>7</xdr:col>
          <xdr:colOff>945976</xdr:colOff>
          <xdr:row>0</xdr:row>
          <xdr:rowOff>190499</xdr:rowOff>
        </xdr:from>
        <xdr:to>
          <xdr:col>9</xdr:col>
          <xdr:colOff>1119190</xdr:colOff>
          <xdr:row>0</xdr:row>
          <xdr:rowOff>523874</xdr:rowOff>
        </xdr:to>
        <xdr:pic>
          <xdr:nvPicPr>
            <xdr:cNvPr id="47" name="Grafik 46">
              <a:extLst>
                <a:ext uri="{FF2B5EF4-FFF2-40B4-BE49-F238E27FC236}">
                  <a16:creationId xmlns:a16="http://schemas.microsoft.com/office/drawing/2014/main" id="{00000000-0008-0000-0300-00002F000000}"/>
                </a:ext>
              </a:extLst>
            </xdr:cNvPr>
            <xdr:cNvPicPr>
              <a:picLocks noChangeAspect="1" noChangeArrowheads="1"/>
              <a:extLst>
                <a:ext uri="{84589F7E-364E-4C9E-8A38-B11213B215E9}">
                  <a14:cameraTool cellRange="Logo!$D$6" spid="_x0000_s201931"/>
                </a:ext>
              </a:extLst>
            </xdr:cNvPicPr>
          </xdr:nvPicPr>
          <xdr:blipFill>
            <a:blip xmlns:r="http://schemas.openxmlformats.org/officeDocument/2006/relationships" r:embed="rId6"/>
            <a:srcRect/>
            <a:stretch>
              <a:fillRect/>
            </a:stretch>
          </xdr:blipFill>
          <xdr:spPr bwMode="auto">
            <a:xfrm>
              <a:off x="5908501" y="190499"/>
              <a:ext cx="1382889" cy="333375"/>
            </a:xfrm>
            <a:prstGeom prst="rect">
              <a:avLst/>
            </a:prstGeom>
            <a:solidFill>
              <a:schemeClr val="bg1"/>
            </a:solidFill>
            <a:ln w="9525">
              <a:noFill/>
              <a:miter lim="800000"/>
              <a:headEnd/>
              <a:tailEnd/>
            </a:ln>
          </xdr:spPr>
        </xdr:pic>
        <xdr:clientData/>
      </xdr:twoCellAnchor>
    </mc:Choice>
    <mc:Fallback/>
  </mc:AlternateContent>
  <xdr:twoCellAnchor>
    <xdr:from>
      <xdr:col>9</xdr:col>
      <xdr:colOff>1028699</xdr:colOff>
      <xdr:row>8</xdr:row>
      <xdr:rowOff>0</xdr:rowOff>
    </xdr:from>
    <xdr:to>
      <xdr:col>10</xdr:col>
      <xdr:colOff>171449</xdr:colOff>
      <xdr:row>9</xdr:row>
      <xdr:rowOff>9525</xdr:rowOff>
    </xdr:to>
    <xdr:sp macro="" textlink="">
      <xdr:nvSpPr>
        <xdr:cNvPr id="88" name="Rechteck 87">
          <a:hlinkClick xmlns:r="http://schemas.openxmlformats.org/officeDocument/2006/relationships" r:id="rId7"/>
          <a:extLst>
            <a:ext uri="{FF2B5EF4-FFF2-40B4-BE49-F238E27FC236}">
              <a16:creationId xmlns:a16="http://schemas.microsoft.com/office/drawing/2014/main" id="{00000000-0008-0000-0300-000058000000}"/>
            </a:ext>
          </a:extLst>
        </xdr:cNvPr>
        <xdr:cNvSpPr/>
      </xdr:nvSpPr>
      <xdr:spPr>
        <a:xfrm>
          <a:off x="6010274" y="2066925"/>
          <a:ext cx="180975" cy="20002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0</xdr:col>
      <xdr:colOff>66675</xdr:colOff>
      <xdr:row>0</xdr:row>
      <xdr:rowOff>195265</xdr:rowOff>
    </xdr:from>
    <xdr:to>
      <xdr:col>0</xdr:col>
      <xdr:colOff>389403</xdr:colOff>
      <xdr:row>0</xdr:row>
      <xdr:rowOff>520730</xdr:rowOff>
    </xdr:to>
    <xdr:grpSp>
      <xdr:nvGrpSpPr>
        <xdr:cNvPr id="9" name="Gruppieren 8">
          <a:hlinkClick xmlns:r="http://schemas.openxmlformats.org/officeDocument/2006/relationships" r:id="rId8" tooltip="Home"/>
          <a:extLst>
            <a:ext uri="{FF2B5EF4-FFF2-40B4-BE49-F238E27FC236}">
              <a16:creationId xmlns:a16="http://schemas.microsoft.com/office/drawing/2014/main" id="{00000000-0008-0000-0300-000009000000}"/>
            </a:ext>
          </a:extLst>
        </xdr:cNvPr>
        <xdr:cNvGrpSpPr/>
      </xdr:nvGrpSpPr>
      <xdr:grpSpPr>
        <a:xfrm>
          <a:off x="66675" y="195265"/>
          <a:ext cx="322728" cy="325465"/>
          <a:chOff x="66675" y="195265"/>
          <a:chExt cx="322728" cy="325465"/>
        </a:xfrm>
      </xdr:grpSpPr>
      <xdr:sp macro="" textlink="">
        <xdr:nvSpPr>
          <xdr:cNvPr id="52" name="Rechteck 51">
            <a:extLst>
              <a:ext uri="{FF2B5EF4-FFF2-40B4-BE49-F238E27FC236}">
                <a16:creationId xmlns:a16="http://schemas.microsoft.com/office/drawing/2014/main" id="{00000000-0008-0000-0300-000034000000}"/>
              </a:ext>
            </a:extLst>
          </xdr:cNvPr>
          <xdr:cNvSpPr>
            <a:spLocks noChangeAspect="1"/>
          </xdr:cNvSpPr>
        </xdr:nvSpPr>
        <xdr:spPr>
          <a:xfrm>
            <a:off x="66675" y="195265"/>
            <a:ext cx="322728" cy="325465"/>
          </a:xfrm>
          <a:prstGeom prst="rect">
            <a:avLst/>
          </a:prstGeom>
          <a:gradFill>
            <a:gsLst>
              <a:gs pos="0">
                <a:srgbClr val="4DADB5"/>
              </a:gs>
              <a:gs pos="80000">
                <a:srgbClr val="68BAC0"/>
              </a:gs>
              <a:gs pos="100000">
                <a:srgbClr val="75BFC5"/>
              </a:gs>
            </a:gsLst>
          </a:gradFill>
          <a:ln>
            <a:solidFill>
              <a:srgbClr val="4DADB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53" name="Grafik 52" descr="http://www.clker.com/cliparts/Z/I/5/L/X/x/white-house-md.png">
            <a:extLst>
              <a:ext uri="{FF2B5EF4-FFF2-40B4-BE49-F238E27FC236}">
                <a16:creationId xmlns:a16="http://schemas.microsoft.com/office/drawing/2014/main" id="{00000000-0008-0000-0300-00003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23602" y="242476"/>
            <a:ext cx="227359" cy="217469"/>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6</xdr:col>
      <xdr:colOff>28575</xdr:colOff>
      <xdr:row>30</xdr:row>
      <xdr:rowOff>9524</xdr:rowOff>
    </xdr:from>
    <xdr:to>
      <xdr:col>6</xdr:col>
      <xdr:colOff>1047750</xdr:colOff>
      <xdr:row>34</xdr:row>
      <xdr:rowOff>266699</xdr:rowOff>
    </xdr:to>
    <xdr:sp macro="" textlink="">
      <xdr:nvSpPr>
        <xdr:cNvPr id="4" name="Rechteck 3">
          <a:hlinkClick xmlns:r="http://schemas.openxmlformats.org/officeDocument/2006/relationships" r:id="rId10" tooltip="Goto Team"/>
          <a:extLst>
            <a:ext uri="{FF2B5EF4-FFF2-40B4-BE49-F238E27FC236}">
              <a16:creationId xmlns:a16="http://schemas.microsoft.com/office/drawing/2014/main" id="{00000000-0008-0000-0300-000004000000}"/>
            </a:ext>
          </a:extLst>
        </xdr:cNvPr>
        <xdr:cNvSpPr/>
      </xdr:nvSpPr>
      <xdr:spPr>
        <a:xfrm>
          <a:off x="3952875" y="6105524"/>
          <a:ext cx="1019175" cy="9429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6</xdr:col>
      <xdr:colOff>19050</xdr:colOff>
      <xdr:row>35</xdr:row>
      <xdr:rowOff>66676</xdr:rowOff>
    </xdr:from>
    <xdr:to>
      <xdr:col>6</xdr:col>
      <xdr:colOff>1038225</xdr:colOff>
      <xdr:row>36</xdr:row>
      <xdr:rowOff>266698</xdr:rowOff>
    </xdr:to>
    <xdr:sp macro="" textlink="">
      <xdr:nvSpPr>
        <xdr:cNvPr id="57" name="Rechteck 56">
          <a:hlinkClick xmlns:r="http://schemas.openxmlformats.org/officeDocument/2006/relationships" r:id="rId11" tooltip="Goto budget"/>
          <a:extLst>
            <a:ext uri="{FF2B5EF4-FFF2-40B4-BE49-F238E27FC236}">
              <a16:creationId xmlns:a16="http://schemas.microsoft.com/office/drawing/2014/main" id="{00000000-0008-0000-0300-000039000000}"/>
            </a:ext>
          </a:extLst>
        </xdr:cNvPr>
        <xdr:cNvSpPr/>
      </xdr:nvSpPr>
      <xdr:spPr>
        <a:xfrm>
          <a:off x="3943350" y="7115176"/>
          <a:ext cx="1019175" cy="27622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7</xdr:col>
      <xdr:colOff>9525</xdr:colOff>
      <xdr:row>29</xdr:row>
      <xdr:rowOff>180976</xdr:rowOff>
    </xdr:from>
    <xdr:to>
      <xdr:col>7</xdr:col>
      <xdr:colOff>1028700</xdr:colOff>
      <xdr:row>35</xdr:row>
      <xdr:rowOff>0</xdr:rowOff>
    </xdr:to>
    <xdr:sp macro="" textlink="">
      <xdr:nvSpPr>
        <xdr:cNvPr id="58" name="Rechteck 57">
          <a:hlinkClick xmlns:r="http://schemas.openxmlformats.org/officeDocument/2006/relationships" r:id="rId5" tooltip="Goto budget"/>
          <a:extLst>
            <a:ext uri="{FF2B5EF4-FFF2-40B4-BE49-F238E27FC236}">
              <a16:creationId xmlns:a16="http://schemas.microsoft.com/office/drawing/2014/main" id="{00000000-0008-0000-0300-00003A000000}"/>
            </a:ext>
          </a:extLst>
        </xdr:cNvPr>
        <xdr:cNvSpPr/>
      </xdr:nvSpPr>
      <xdr:spPr>
        <a:xfrm>
          <a:off x="4991100" y="6086476"/>
          <a:ext cx="1019175"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9</xdr:col>
      <xdr:colOff>9525</xdr:colOff>
      <xdr:row>30</xdr:row>
      <xdr:rowOff>1</xdr:rowOff>
    </xdr:from>
    <xdr:to>
      <xdr:col>9</xdr:col>
      <xdr:colOff>1143000</xdr:colOff>
      <xdr:row>35</xdr:row>
      <xdr:rowOff>9525</xdr:rowOff>
    </xdr:to>
    <xdr:sp macro="" textlink="">
      <xdr:nvSpPr>
        <xdr:cNvPr id="60" name="Rechteck 59">
          <a:hlinkClick xmlns:r="http://schemas.openxmlformats.org/officeDocument/2006/relationships" r:id="rId5" tooltip="Goto budget"/>
          <a:extLst>
            <a:ext uri="{FF2B5EF4-FFF2-40B4-BE49-F238E27FC236}">
              <a16:creationId xmlns:a16="http://schemas.microsoft.com/office/drawing/2014/main" id="{00000000-0008-0000-0300-00003C000000}"/>
            </a:ext>
          </a:extLst>
        </xdr:cNvPr>
        <xdr:cNvSpPr/>
      </xdr:nvSpPr>
      <xdr:spPr>
        <a:xfrm>
          <a:off x="6200775" y="6096001"/>
          <a:ext cx="1133475"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0</xdr:col>
      <xdr:colOff>482601</xdr:colOff>
      <xdr:row>30</xdr:row>
      <xdr:rowOff>3176</xdr:rowOff>
    </xdr:from>
    <xdr:to>
      <xdr:col>3</xdr:col>
      <xdr:colOff>269876</xdr:colOff>
      <xdr:row>35</xdr:row>
      <xdr:rowOff>12700</xdr:rowOff>
    </xdr:to>
    <xdr:sp macro="" textlink="">
      <xdr:nvSpPr>
        <xdr:cNvPr id="63" name="Rechteck 62">
          <a:hlinkClick xmlns:r="http://schemas.openxmlformats.org/officeDocument/2006/relationships" r:id="rId5" tooltip="Goto budget"/>
          <a:extLst>
            <a:ext uri="{FF2B5EF4-FFF2-40B4-BE49-F238E27FC236}">
              <a16:creationId xmlns:a16="http://schemas.microsoft.com/office/drawing/2014/main" id="{00000000-0008-0000-0300-00003F000000}"/>
            </a:ext>
          </a:extLst>
        </xdr:cNvPr>
        <xdr:cNvSpPr/>
      </xdr:nvSpPr>
      <xdr:spPr>
        <a:xfrm>
          <a:off x="482601" y="5959476"/>
          <a:ext cx="1609725"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9</xdr:col>
      <xdr:colOff>974174</xdr:colOff>
      <xdr:row>1</xdr:row>
      <xdr:rowOff>80750</xdr:rowOff>
    </xdr:from>
    <xdr:to>
      <xdr:col>9</xdr:col>
      <xdr:colOff>1142040</xdr:colOff>
      <xdr:row>2</xdr:row>
      <xdr:rowOff>45934</xdr:rowOff>
    </xdr:to>
    <xdr:grpSp>
      <xdr:nvGrpSpPr>
        <xdr:cNvPr id="6" name="Gruppieren 5">
          <a:extLst>
            <a:ext uri="{FF2B5EF4-FFF2-40B4-BE49-F238E27FC236}">
              <a16:creationId xmlns:a16="http://schemas.microsoft.com/office/drawing/2014/main" id="{00000000-0008-0000-0300-000006000000}"/>
            </a:ext>
          </a:extLst>
        </xdr:cNvPr>
        <xdr:cNvGrpSpPr/>
      </xdr:nvGrpSpPr>
      <xdr:grpSpPr>
        <a:xfrm>
          <a:off x="7321634" y="621770"/>
          <a:ext cx="167866" cy="170924"/>
          <a:chOff x="7146374" y="623675"/>
          <a:chExt cx="167866" cy="174734"/>
        </a:xfrm>
      </xdr:grpSpPr>
      <xdr:sp macro="" textlink="">
        <xdr:nvSpPr>
          <xdr:cNvPr id="49" name="Rechteck 48">
            <a:extLst>
              <a:ext uri="{FF2B5EF4-FFF2-40B4-BE49-F238E27FC236}">
                <a16:creationId xmlns:a16="http://schemas.microsoft.com/office/drawing/2014/main" id="{00000000-0008-0000-0300-000031000000}"/>
              </a:ext>
            </a:extLst>
          </xdr:cNvPr>
          <xdr:cNvSpPr>
            <a:spLocks noChangeAspect="1"/>
          </xdr:cNvSpPr>
        </xdr:nvSpPr>
        <xdr:spPr>
          <a:xfrm>
            <a:off x="7146374" y="623675"/>
            <a:ext cx="167866" cy="174734"/>
          </a:xfrm>
          <a:prstGeom prst="rect">
            <a:avLst/>
          </a:prstGeom>
          <a:gradFill>
            <a:gsLst>
              <a:gs pos="0">
                <a:srgbClr val="4DADB5"/>
              </a:gs>
              <a:gs pos="80000">
                <a:srgbClr val="68BAC0"/>
              </a:gs>
              <a:gs pos="100000">
                <a:srgbClr val="75BFC5"/>
              </a:gs>
            </a:gsLst>
          </a:gradFill>
          <a:ln>
            <a:solidFill>
              <a:srgbClr val="4DADB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0" name="Textfeld 49">
            <a:hlinkClick xmlns:r="http://schemas.openxmlformats.org/officeDocument/2006/relationships" r:id="rId12"/>
            <a:extLst>
              <a:ext uri="{FF2B5EF4-FFF2-40B4-BE49-F238E27FC236}">
                <a16:creationId xmlns:a16="http://schemas.microsoft.com/office/drawing/2014/main" id="{00000000-0008-0000-0300-000032000000}"/>
              </a:ext>
            </a:extLst>
          </xdr:cNvPr>
          <xdr:cNvSpPr txBox="1"/>
        </xdr:nvSpPr>
        <xdr:spPr>
          <a:xfrm>
            <a:off x="7192249" y="636479"/>
            <a:ext cx="76118" cy="1491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xdr:from>
      <xdr:col>9</xdr:col>
      <xdr:colOff>507823</xdr:colOff>
      <xdr:row>1</xdr:row>
      <xdr:rowOff>80750</xdr:rowOff>
    </xdr:from>
    <xdr:to>
      <xdr:col>9</xdr:col>
      <xdr:colOff>687823</xdr:colOff>
      <xdr:row>2</xdr:row>
      <xdr:rowOff>51200</xdr:rowOff>
    </xdr:to>
    <xdr:sp macro="[0]!Register_ein" textlink="">
      <xdr:nvSpPr>
        <xdr:cNvPr id="72" name="Rechteck 78">
          <a:extLst>
            <a:ext uri="{FF2B5EF4-FFF2-40B4-BE49-F238E27FC236}">
              <a16:creationId xmlns:a16="http://schemas.microsoft.com/office/drawing/2014/main" id="{00000000-0008-0000-0300-000048000000}"/>
            </a:ext>
          </a:extLst>
        </xdr:cNvPr>
        <xdr:cNvSpPr>
          <a:spLocks/>
        </xdr:cNvSpPr>
      </xdr:nvSpPr>
      <xdr:spPr>
        <a:xfrm>
          <a:off x="6680023" y="623675"/>
          <a:ext cx="180000" cy="180000"/>
        </a:xfrm>
        <a:prstGeom prst="rect">
          <a:avLst/>
        </a:prstGeom>
        <a:gradFill>
          <a:gsLst>
            <a:gs pos="0">
              <a:srgbClr val="4DADB5"/>
            </a:gs>
            <a:gs pos="80000">
              <a:srgbClr val="68BAC0"/>
            </a:gs>
            <a:gs pos="100000">
              <a:srgbClr val="75BFC5"/>
            </a:gs>
          </a:gsLst>
        </a:gradFill>
        <a:ln>
          <a:solidFill>
            <a:srgbClr val="4DADB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xdr:from>
      <xdr:col>9</xdr:col>
      <xdr:colOff>714004</xdr:colOff>
      <xdr:row>1</xdr:row>
      <xdr:rowOff>80750</xdr:rowOff>
    </xdr:from>
    <xdr:to>
      <xdr:col>9</xdr:col>
      <xdr:colOff>894004</xdr:colOff>
      <xdr:row>2</xdr:row>
      <xdr:rowOff>51200</xdr:rowOff>
    </xdr:to>
    <xdr:sp macro="[0]!Register_aus" textlink="">
      <xdr:nvSpPr>
        <xdr:cNvPr id="73" name="Rechteck 84">
          <a:extLst>
            <a:ext uri="{FF2B5EF4-FFF2-40B4-BE49-F238E27FC236}">
              <a16:creationId xmlns:a16="http://schemas.microsoft.com/office/drawing/2014/main" id="{00000000-0008-0000-0300-000049000000}"/>
            </a:ext>
          </a:extLst>
        </xdr:cNvPr>
        <xdr:cNvSpPr>
          <a:spLocks/>
        </xdr:cNvSpPr>
      </xdr:nvSpPr>
      <xdr:spPr>
        <a:xfrm>
          <a:off x="6886204" y="623675"/>
          <a:ext cx="180000" cy="180000"/>
        </a:xfrm>
        <a:prstGeom prst="rect">
          <a:avLst/>
        </a:prstGeom>
        <a:gradFill>
          <a:gsLst>
            <a:gs pos="0">
              <a:srgbClr val="4DADB5"/>
            </a:gs>
            <a:gs pos="80000">
              <a:srgbClr val="68BAC0"/>
            </a:gs>
            <a:gs pos="100000">
              <a:srgbClr val="75BFC5"/>
            </a:gs>
          </a:gsLst>
        </a:gradFill>
        <a:ln>
          <a:solidFill>
            <a:srgbClr val="4DADB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xdr:from>
      <xdr:col>9</xdr:col>
      <xdr:colOff>200025</xdr:colOff>
      <xdr:row>1</xdr:row>
      <xdr:rowOff>66675</xdr:rowOff>
    </xdr:from>
    <xdr:to>
      <xdr:col>9</xdr:col>
      <xdr:colOff>416025</xdr:colOff>
      <xdr:row>2</xdr:row>
      <xdr:rowOff>73125</xdr:rowOff>
    </xdr:to>
    <xdr:pic>
      <xdr:nvPicPr>
        <xdr:cNvPr id="77" name="Grafik 76">
          <a:hlinkClick xmlns:r="http://schemas.openxmlformats.org/officeDocument/2006/relationships" r:id="rId13" tooltip="Options"/>
          <a:extLst>
            <a:ext uri="{FF2B5EF4-FFF2-40B4-BE49-F238E27FC236}">
              <a16:creationId xmlns:a16="http://schemas.microsoft.com/office/drawing/2014/main" id="{00000000-0008-0000-0300-00004D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372225" y="609600"/>
          <a:ext cx="216000" cy="216000"/>
        </a:xfrm>
        <a:prstGeom prst="rect">
          <a:avLst/>
        </a:prstGeom>
      </xdr:spPr>
    </xdr:pic>
    <xdr:clientData fPrintsWithSheet="0"/>
  </xdr:twoCellAnchor>
  <xdr:twoCellAnchor editAs="oneCell">
    <xdr:from>
      <xdr:col>17</xdr:col>
      <xdr:colOff>125989</xdr:colOff>
      <xdr:row>29</xdr:row>
      <xdr:rowOff>46954</xdr:rowOff>
    </xdr:from>
    <xdr:to>
      <xdr:col>19</xdr:col>
      <xdr:colOff>351040</xdr:colOff>
      <xdr:row>29</xdr:row>
      <xdr:rowOff>119883</xdr:rowOff>
    </xdr:to>
    <xdr:grpSp>
      <xdr:nvGrpSpPr>
        <xdr:cNvPr id="78" name="Group 343">
          <a:extLst>
            <a:ext uri="{FF2B5EF4-FFF2-40B4-BE49-F238E27FC236}">
              <a16:creationId xmlns:a16="http://schemas.microsoft.com/office/drawing/2014/main" id="{00000000-0008-0000-0300-00004E000000}"/>
            </a:ext>
          </a:extLst>
        </xdr:cNvPr>
        <xdr:cNvGrpSpPr/>
      </xdr:nvGrpSpPr>
      <xdr:grpSpPr>
        <a:xfrm>
          <a:off x="9536689" y="6066754"/>
          <a:ext cx="636531" cy="72929"/>
          <a:chOff x="1813961" y="8560905"/>
          <a:chExt cx="2271780" cy="265043"/>
        </a:xfrm>
      </xdr:grpSpPr>
      <xdr:sp macro="" textlink="">
        <xdr:nvSpPr>
          <xdr:cNvPr id="89" name="Rectangle 353">
            <a:extLst>
              <a:ext uri="{FF2B5EF4-FFF2-40B4-BE49-F238E27FC236}">
                <a16:creationId xmlns:a16="http://schemas.microsoft.com/office/drawing/2014/main" id="{00000000-0008-0000-0300-00005900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90" name="Rectangle 354">
            <a:extLst>
              <a:ext uri="{FF2B5EF4-FFF2-40B4-BE49-F238E27FC236}">
                <a16:creationId xmlns:a16="http://schemas.microsoft.com/office/drawing/2014/main" id="{00000000-0008-0000-0300-00005A00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clientData/>
  </xdr:twoCellAnchor>
  <xdr:twoCellAnchor editAs="oneCell">
    <xdr:from>
      <xdr:col>17</xdr:col>
      <xdr:colOff>125989</xdr:colOff>
      <xdr:row>30</xdr:row>
      <xdr:rowOff>2120</xdr:rowOff>
    </xdr:from>
    <xdr:to>
      <xdr:col>19</xdr:col>
      <xdr:colOff>351040</xdr:colOff>
      <xdr:row>30</xdr:row>
      <xdr:rowOff>75049</xdr:rowOff>
    </xdr:to>
    <xdr:grpSp>
      <xdr:nvGrpSpPr>
        <xdr:cNvPr id="79" name="Group 344">
          <a:extLst>
            <a:ext uri="{FF2B5EF4-FFF2-40B4-BE49-F238E27FC236}">
              <a16:creationId xmlns:a16="http://schemas.microsoft.com/office/drawing/2014/main" id="{00000000-0008-0000-0300-00004F000000}"/>
            </a:ext>
          </a:extLst>
        </xdr:cNvPr>
        <xdr:cNvGrpSpPr/>
      </xdr:nvGrpSpPr>
      <xdr:grpSpPr>
        <a:xfrm>
          <a:off x="9536689" y="6212420"/>
          <a:ext cx="636531" cy="72929"/>
          <a:chOff x="1813961" y="8560905"/>
          <a:chExt cx="2271780" cy="265043"/>
        </a:xfrm>
      </xdr:grpSpPr>
      <xdr:sp macro="" textlink="">
        <xdr:nvSpPr>
          <xdr:cNvPr id="83" name="Rectangle 351">
            <a:extLst>
              <a:ext uri="{FF2B5EF4-FFF2-40B4-BE49-F238E27FC236}">
                <a16:creationId xmlns:a16="http://schemas.microsoft.com/office/drawing/2014/main" id="{00000000-0008-0000-0300-00005300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84" name="Rectangle 352">
            <a:extLst>
              <a:ext uri="{FF2B5EF4-FFF2-40B4-BE49-F238E27FC236}">
                <a16:creationId xmlns:a16="http://schemas.microsoft.com/office/drawing/2014/main" id="{00000000-0008-0000-0300-00005400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clientData/>
  </xdr:twoCellAnchor>
  <xdr:twoCellAnchor editAs="oneCell">
    <xdr:from>
      <xdr:col>17</xdr:col>
      <xdr:colOff>125989</xdr:colOff>
      <xdr:row>30</xdr:row>
      <xdr:rowOff>147786</xdr:rowOff>
    </xdr:from>
    <xdr:to>
      <xdr:col>19</xdr:col>
      <xdr:colOff>351040</xdr:colOff>
      <xdr:row>30</xdr:row>
      <xdr:rowOff>220715</xdr:rowOff>
    </xdr:to>
    <xdr:grpSp>
      <xdr:nvGrpSpPr>
        <xdr:cNvPr id="80" name="Group 345">
          <a:extLst>
            <a:ext uri="{FF2B5EF4-FFF2-40B4-BE49-F238E27FC236}">
              <a16:creationId xmlns:a16="http://schemas.microsoft.com/office/drawing/2014/main" id="{00000000-0008-0000-0300-000050000000}"/>
            </a:ext>
          </a:extLst>
        </xdr:cNvPr>
        <xdr:cNvGrpSpPr/>
      </xdr:nvGrpSpPr>
      <xdr:grpSpPr>
        <a:xfrm>
          <a:off x="9536689" y="6358086"/>
          <a:ext cx="636531" cy="72929"/>
          <a:chOff x="1813961" y="8560905"/>
          <a:chExt cx="2271780" cy="265043"/>
        </a:xfrm>
      </xdr:grpSpPr>
      <xdr:sp macro="" textlink="">
        <xdr:nvSpPr>
          <xdr:cNvPr id="81" name="Rectangle 349">
            <a:extLst>
              <a:ext uri="{FF2B5EF4-FFF2-40B4-BE49-F238E27FC236}">
                <a16:creationId xmlns:a16="http://schemas.microsoft.com/office/drawing/2014/main" id="{00000000-0008-0000-0300-000051000000}"/>
              </a:ext>
            </a:extLst>
          </xdr:cNvPr>
          <xdr:cNvSpPr/>
        </xdr:nvSpPr>
        <xdr:spPr>
          <a:xfrm>
            <a:off x="1813961" y="8560905"/>
            <a:ext cx="225287"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sp macro="" textlink="">
        <xdr:nvSpPr>
          <xdr:cNvPr id="82" name="Rectangle 350">
            <a:extLst>
              <a:ext uri="{FF2B5EF4-FFF2-40B4-BE49-F238E27FC236}">
                <a16:creationId xmlns:a16="http://schemas.microsoft.com/office/drawing/2014/main" id="{00000000-0008-0000-0300-000052000000}"/>
              </a:ext>
            </a:extLst>
          </xdr:cNvPr>
          <xdr:cNvSpPr/>
        </xdr:nvSpPr>
        <xdr:spPr>
          <a:xfrm>
            <a:off x="2219738" y="8560905"/>
            <a:ext cx="1866003" cy="265043"/>
          </a:xfrm>
          <a:prstGeom prst="rect">
            <a:avLst/>
          </a:prstGeom>
          <a:solidFill>
            <a:srgbClr val="FFFFFF"/>
          </a:solidFill>
          <a:ln w="12700" cap="flat" cmpd="sng" algn="ctr">
            <a:noFill/>
            <a:prstDash val="solid"/>
            <a:miter lim="800000"/>
          </a:ln>
          <a:effectLst/>
        </xdr:spPr>
        <xdr:txBody>
          <a:bodyPr wrap="square" rtlCol="0"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lvl="0" indent="0" defTabSz="914217"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rgbClr val="FFFFFF"/>
              </a:solidFill>
              <a:effectLst/>
              <a:uLnTx/>
              <a:uFillTx/>
              <a:latin typeface="Lato Light" panose="020F0502020204030203" pitchFamily="34" charset="0"/>
            </a:endParaRPr>
          </a:p>
        </xdr:txBody>
      </xdr:sp>
    </xdr:grpSp>
    <xdr:clientData/>
  </xdr:twoCellAnchor>
  <xdr:twoCellAnchor>
    <xdr:from>
      <xdr:col>3</xdr:col>
      <xdr:colOff>504826</xdr:colOff>
      <xdr:row>0</xdr:row>
      <xdr:rowOff>200025</xdr:rowOff>
    </xdr:from>
    <xdr:to>
      <xdr:col>8</xdr:col>
      <xdr:colOff>145734</xdr:colOff>
      <xdr:row>0</xdr:row>
      <xdr:rowOff>498675</xdr:rowOff>
    </xdr:to>
    <xdr:grpSp>
      <xdr:nvGrpSpPr>
        <xdr:cNvPr id="2" name="Gruppieren 1">
          <a:extLst>
            <a:ext uri="{FF2B5EF4-FFF2-40B4-BE49-F238E27FC236}">
              <a16:creationId xmlns:a16="http://schemas.microsoft.com/office/drawing/2014/main" id="{00000000-0008-0000-0300-000002000000}"/>
            </a:ext>
          </a:extLst>
        </xdr:cNvPr>
        <xdr:cNvGrpSpPr/>
      </xdr:nvGrpSpPr>
      <xdr:grpSpPr>
        <a:xfrm>
          <a:off x="2287906" y="200025"/>
          <a:ext cx="4030028" cy="298650"/>
          <a:chOff x="2238376" y="200025"/>
          <a:chExt cx="3908108" cy="298650"/>
        </a:xfrm>
      </xdr:grpSpPr>
      <xdr:sp macro="" textlink="">
        <xdr:nvSpPr>
          <xdr:cNvPr id="48" name="Rechteck: obere Ecken abgerundet 13">
            <a:hlinkClick xmlns:r="http://schemas.openxmlformats.org/officeDocument/2006/relationships" r:id="rId15" tooltip="Go to"/>
            <a:extLst>
              <a:ext uri="{FF2B5EF4-FFF2-40B4-BE49-F238E27FC236}">
                <a16:creationId xmlns:a16="http://schemas.microsoft.com/office/drawing/2014/main" id="{00000000-0008-0000-0300-000030000000}"/>
              </a:ext>
            </a:extLst>
          </xdr:cNvPr>
          <xdr:cNvSpPr/>
        </xdr:nvSpPr>
        <xdr:spPr>
          <a:xfrm>
            <a:off x="2238376" y="200025"/>
            <a:ext cx="1265459" cy="298650"/>
          </a:xfrm>
          <a:prstGeom prst="round2SameRect">
            <a:avLst/>
          </a:prstGeom>
          <a:gradFill>
            <a:gsLst>
              <a:gs pos="0">
                <a:srgbClr val="3D8D93"/>
              </a:gs>
              <a:gs pos="80000">
                <a:srgbClr val="A1D3D7"/>
              </a:gs>
              <a:gs pos="100000">
                <a:srgbClr val="ADDADD"/>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sp macro="" textlink="' '!A99">
        <xdr:nvSpPr>
          <xdr:cNvPr id="59" name="Rechteck: obere Ecken abgerundet 15">
            <a:hlinkClick xmlns:r="http://schemas.openxmlformats.org/officeDocument/2006/relationships" r:id="rId16" tooltip="Go to"/>
            <a:extLst>
              <a:ext uri="{FF2B5EF4-FFF2-40B4-BE49-F238E27FC236}">
                <a16:creationId xmlns:a16="http://schemas.microsoft.com/office/drawing/2014/main" id="{00000000-0008-0000-0300-00003B000000}"/>
              </a:ext>
            </a:extLst>
          </xdr:cNvPr>
          <xdr:cNvSpPr/>
        </xdr:nvSpPr>
        <xdr:spPr>
          <a:xfrm>
            <a:off x="4876223" y="200025"/>
            <a:ext cx="1270261" cy="298650"/>
          </a:xfrm>
          <a:prstGeom prst="round2SameRect">
            <a:avLst/>
          </a:prstGeom>
          <a:gradFill>
            <a:gsLst>
              <a:gs pos="0">
                <a:srgbClr val="3D8D93"/>
              </a:gs>
              <a:gs pos="80000">
                <a:srgbClr val="A1D3D7"/>
              </a:gs>
              <a:gs pos="100000">
                <a:srgbClr val="ADDADD"/>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61">
        <xdr:nvSpPr>
          <xdr:cNvPr id="61" name="Rechteck: obere Ecken abgerundet 14">
            <a:hlinkClick xmlns:r="http://schemas.openxmlformats.org/officeDocument/2006/relationships" r:id="rId17" tooltip="Go to"/>
            <a:extLst>
              <a:ext uri="{FF2B5EF4-FFF2-40B4-BE49-F238E27FC236}">
                <a16:creationId xmlns:a16="http://schemas.microsoft.com/office/drawing/2014/main" id="{00000000-0008-0000-0300-00003D000000}"/>
              </a:ext>
            </a:extLst>
          </xdr:cNvPr>
          <xdr:cNvSpPr/>
        </xdr:nvSpPr>
        <xdr:spPr>
          <a:xfrm>
            <a:off x="3554898" y="200025"/>
            <a:ext cx="1270261" cy="298650"/>
          </a:xfrm>
          <a:prstGeom prst="round2SameRect">
            <a:avLst/>
          </a:prstGeom>
          <a:gradFill>
            <a:gsLst>
              <a:gs pos="0">
                <a:srgbClr val="3D8D93"/>
              </a:gs>
              <a:gs pos="80000">
                <a:srgbClr val="A1D3D7"/>
              </a:gs>
              <a:gs pos="100000">
                <a:srgbClr val="ADDADD"/>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621B008B-9BC6-4949-9FFA-0952FFBFB07E}"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Budget</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xdr:twoCellAnchor>
  <xdr:twoCellAnchor>
    <xdr:from>
      <xdr:col>0</xdr:col>
      <xdr:colOff>66675</xdr:colOff>
      <xdr:row>2</xdr:row>
      <xdr:rowOff>128590</xdr:rowOff>
    </xdr:from>
    <xdr:to>
      <xdr:col>0</xdr:col>
      <xdr:colOff>389403</xdr:colOff>
      <xdr:row>4</xdr:row>
      <xdr:rowOff>120680</xdr:rowOff>
    </xdr:to>
    <xdr:grpSp>
      <xdr:nvGrpSpPr>
        <xdr:cNvPr id="10" name="Gruppieren 9">
          <a:hlinkClick xmlns:r="http://schemas.openxmlformats.org/officeDocument/2006/relationships" r:id="rId18" tooltip="Different Analyses"/>
          <a:extLst>
            <a:ext uri="{FF2B5EF4-FFF2-40B4-BE49-F238E27FC236}">
              <a16:creationId xmlns:a16="http://schemas.microsoft.com/office/drawing/2014/main" id="{00000000-0008-0000-0300-00000A000000}"/>
            </a:ext>
          </a:extLst>
        </xdr:cNvPr>
        <xdr:cNvGrpSpPr/>
      </xdr:nvGrpSpPr>
      <xdr:grpSpPr>
        <a:xfrm>
          <a:off x="66675" y="875350"/>
          <a:ext cx="322728" cy="319750"/>
          <a:chOff x="66675" y="881065"/>
          <a:chExt cx="322728" cy="325465"/>
        </a:xfrm>
      </xdr:grpSpPr>
      <xdr:sp macro="" textlink="">
        <xdr:nvSpPr>
          <xdr:cNvPr id="41" name="Rechteck 40">
            <a:extLst>
              <a:ext uri="{FF2B5EF4-FFF2-40B4-BE49-F238E27FC236}">
                <a16:creationId xmlns:a16="http://schemas.microsoft.com/office/drawing/2014/main" id="{00000000-0008-0000-0300-000029000000}"/>
              </a:ext>
            </a:extLst>
          </xdr:cNvPr>
          <xdr:cNvSpPr>
            <a:spLocks noChangeAspect="1"/>
          </xdr:cNvSpPr>
        </xdr:nvSpPr>
        <xdr:spPr>
          <a:xfrm>
            <a:off x="66675" y="881065"/>
            <a:ext cx="322728" cy="325465"/>
          </a:xfrm>
          <a:prstGeom prst="rect">
            <a:avLst/>
          </a:prstGeom>
          <a:gradFill>
            <a:gsLst>
              <a:gs pos="0">
                <a:srgbClr val="4DADB5"/>
              </a:gs>
              <a:gs pos="80000">
                <a:srgbClr val="68BAC0"/>
              </a:gs>
              <a:gs pos="100000">
                <a:srgbClr val="75BFC5"/>
              </a:gs>
            </a:gsLst>
          </a:gradFill>
          <a:ln>
            <a:solidFill>
              <a:srgbClr val="ADDADD"/>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5" name="Freeform 969">
            <a:extLst>
              <a:ext uri="{FF2B5EF4-FFF2-40B4-BE49-F238E27FC236}">
                <a16:creationId xmlns:a16="http://schemas.microsoft.com/office/drawing/2014/main" id="{00000000-0008-0000-0300-00002D000000}"/>
              </a:ext>
            </a:extLst>
          </xdr:cNvPr>
          <xdr:cNvSpPr>
            <a:spLocks noChangeAspect="1" noChangeArrowheads="1"/>
          </xdr:cNvSpPr>
        </xdr:nvSpPr>
        <xdr:spPr bwMode="auto">
          <a:xfrm>
            <a:off x="123264" y="924411"/>
            <a:ext cx="209550" cy="238772"/>
          </a:xfrm>
          <a:custGeom>
            <a:avLst/>
            <a:gdLst>
              <a:gd name="T0" fmla="*/ 716677 w 256815"/>
              <a:gd name="T1" fmla="*/ 4947853 h 293327"/>
              <a:gd name="T2" fmla="*/ 1369698 w 256815"/>
              <a:gd name="T3" fmla="*/ 4567981 h 293327"/>
              <a:gd name="T4" fmla="*/ 1085783 w 256815"/>
              <a:gd name="T5" fmla="*/ 4195282 h 293327"/>
              <a:gd name="T6" fmla="*/ 1547187 w 256815"/>
              <a:gd name="T7" fmla="*/ 4998031 h 293327"/>
              <a:gd name="T8" fmla="*/ 1043188 w 256815"/>
              <a:gd name="T9" fmla="*/ 5327736 h 293327"/>
              <a:gd name="T10" fmla="*/ 539234 w 256815"/>
              <a:gd name="T11" fmla="*/ 4998031 h 293327"/>
              <a:gd name="T12" fmla="*/ 1000601 w 256815"/>
              <a:gd name="T13" fmla="*/ 4195282 h 293327"/>
              <a:gd name="T14" fmla="*/ 2212240 w 256815"/>
              <a:gd name="T15" fmla="*/ 4292229 h 293327"/>
              <a:gd name="T16" fmla="*/ 3459299 w 256815"/>
              <a:gd name="T17" fmla="*/ 2906367 h 293327"/>
              <a:gd name="T18" fmla="*/ 2212240 w 256815"/>
              <a:gd name="T19" fmla="*/ 1506311 h 293327"/>
              <a:gd name="T20" fmla="*/ 557289 w 256815"/>
              <a:gd name="T21" fmla="*/ 1661828 h 293327"/>
              <a:gd name="T22" fmla="*/ 557289 w 256815"/>
              <a:gd name="T23" fmla="*/ 4043965 h 293327"/>
              <a:gd name="T24" fmla="*/ 1907743 w 256815"/>
              <a:gd name="T25" fmla="*/ 4757198 h 293327"/>
              <a:gd name="T26" fmla="*/ 1500470 w 256815"/>
              <a:gd name="T27" fmla="*/ 1740250 h 293327"/>
              <a:gd name="T28" fmla="*/ 1557636 w 256815"/>
              <a:gd name="T29" fmla="*/ 249684 h 293327"/>
              <a:gd name="T30" fmla="*/ 1093210 w 256815"/>
              <a:gd name="T31" fmla="*/ 1390795 h 293327"/>
              <a:gd name="T32" fmla="*/ 543000 w 256815"/>
              <a:gd name="T33" fmla="*/ 1069848 h 293327"/>
              <a:gd name="T34" fmla="*/ 678813 w 256815"/>
              <a:gd name="T35" fmla="*/ 28544 h 293327"/>
              <a:gd name="T36" fmla="*/ 1050341 w 256815"/>
              <a:gd name="T37" fmla="*/ 1212485 h 293327"/>
              <a:gd name="T38" fmla="*/ 1414737 w 256815"/>
              <a:gd name="T39" fmla="*/ 28544 h 293327"/>
              <a:gd name="T40" fmla="*/ 1664802 w 256815"/>
              <a:gd name="T41" fmla="*/ 1775929 h 293327"/>
              <a:gd name="T42" fmla="*/ 1050341 w 256815"/>
              <a:gd name="T43" fmla="*/ 5798487 h 293327"/>
              <a:gd name="T44" fmla="*/ 421598 w 256815"/>
              <a:gd name="T45" fmla="*/ 1775929 h 293327"/>
              <a:gd name="T46" fmla="*/ 2084769 w 256815"/>
              <a:gd name="T47" fmla="*/ 0 h 293327"/>
              <a:gd name="T48" fmla="*/ 2653782 w 256815"/>
              <a:gd name="T49" fmla="*/ 532641 h 293327"/>
              <a:gd name="T50" fmla="*/ 3309210 w 256815"/>
              <a:gd name="T51" fmla="*/ 262747 h 293327"/>
              <a:gd name="T52" fmla="*/ 3935843 w 256815"/>
              <a:gd name="T53" fmla="*/ 809690 h 293327"/>
              <a:gd name="T54" fmla="*/ 4310386 w 256815"/>
              <a:gd name="T55" fmla="*/ 1179009 h 293327"/>
              <a:gd name="T56" fmla="*/ 4843358 w 256815"/>
              <a:gd name="T57" fmla="*/ 1626464 h 293327"/>
              <a:gd name="T58" fmla="*/ 4490414 w 256815"/>
              <a:gd name="T59" fmla="*/ 2088086 h 293327"/>
              <a:gd name="T60" fmla="*/ 5131496 w 256815"/>
              <a:gd name="T61" fmla="*/ 2670486 h 293327"/>
              <a:gd name="T62" fmla="*/ 4591266 w 256815"/>
              <a:gd name="T63" fmla="*/ 3323903 h 293327"/>
              <a:gd name="T64" fmla="*/ 4843358 w 256815"/>
              <a:gd name="T65" fmla="*/ 4140674 h 293327"/>
              <a:gd name="T66" fmla="*/ 4310386 w 256815"/>
              <a:gd name="T67" fmla="*/ 4595220 h 293327"/>
              <a:gd name="T68" fmla="*/ 3935843 w 256815"/>
              <a:gd name="T69" fmla="*/ 4964558 h 293327"/>
              <a:gd name="T70" fmla="*/ 3309210 w 256815"/>
              <a:gd name="T71" fmla="*/ 5511442 h 293327"/>
              <a:gd name="T72" fmla="*/ 2653782 w 256815"/>
              <a:gd name="T73" fmla="*/ 5234445 h 293327"/>
              <a:gd name="T74" fmla="*/ 2084769 w 256815"/>
              <a:gd name="T75" fmla="*/ 5767122 h 293327"/>
              <a:gd name="T76" fmla="*/ 2423295 w 256815"/>
              <a:gd name="T77" fmla="*/ 5589582 h 293327"/>
              <a:gd name="T78" fmla="*/ 2545769 w 256815"/>
              <a:gd name="T79" fmla="*/ 5071109 h 293327"/>
              <a:gd name="T80" fmla="*/ 3316416 w 256815"/>
              <a:gd name="T81" fmla="*/ 5312585 h 293327"/>
              <a:gd name="T82" fmla="*/ 3770178 w 256815"/>
              <a:gd name="T83" fmla="*/ 5120829 h 293327"/>
              <a:gd name="T84" fmla="*/ 3611723 w 256815"/>
              <a:gd name="T85" fmla="*/ 4616526 h 293327"/>
              <a:gd name="T86" fmla="*/ 4403996 w 256815"/>
              <a:gd name="T87" fmla="*/ 4438985 h 293327"/>
              <a:gd name="T88" fmla="*/ 4684926 w 256815"/>
              <a:gd name="T89" fmla="*/ 4055459 h 293327"/>
              <a:gd name="T90" fmla="*/ 4339189 w 256815"/>
              <a:gd name="T91" fmla="*/ 3799780 h 293327"/>
              <a:gd name="T92" fmla="*/ 4519224 w 256815"/>
              <a:gd name="T93" fmla="*/ 3146360 h 293327"/>
              <a:gd name="T94" fmla="*/ 4951381 w 256815"/>
              <a:gd name="T95" fmla="*/ 2670486 h 293327"/>
              <a:gd name="T96" fmla="*/ 4425601 w 256815"/>
              <a:gd name="T97" fmla="*/ 2542652 h 293327"/>
              <a:gd name="T98" fmla="*/ 4670527 w 256815"/>
              <a:gd name="T99" fmla="*/ 1782706 h 293327"/>
              <a:gd name="T100" fmla="*/ 4476008 w 256815"/>
              <a:gd name="T101" fmla="*/ 1342367 h 293327"/>
              <a:gd name="T102" fmla="*/ 4079887 w 256815"/>
              <a:gd name="T103" fmla="*/ 1512807 h 293327"/>
              <a:gd name="T104" fmla="*/ 3590120 w 256815"/>
              <a:gd name="T105" fmla="*/ 1036980 h 293327"/>
              <a:gd name="T106" fmla="*/ 3395668 w 256815"/>
              <a:gd name="T107" fmla="*/ 440355 h 293327"/>
              <a:gd name="T108" fmla="*/ 3129148 w 256815"/>
              <a:gd name="T109" fmla="*/ 781276 h 293327"/>
              <a:gd name="T110" fmla="*/ 2473752 w 256815"/>
              <a:gd name="T111" fmla="*/ 603728 h 293327"/>
              <a:gd name="T112" fmla="*/ 2084769 w 256815"/>
              <a:gd name="T113" fmla="*/ 170505 h 293327"/>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Lst>
            <a:ahLst/>
            <a:cxnLst>
              <a:cxn ang="T114">
                <a:pos x="T0" y="T1"/>
              </a:cxn>
              <a:cxn ang="T115">
                <a:pos x="T2" y="T3"/>
              </a:cxn>
              <a:cxn ang="T116">
                <a:pos x="T4" y="T5"/>
              </a:cxn>
              <a:cxn ang="T117">
                <a:pos x="T6" y="T7"/>
              </a:cxn>
              <a:cxn ang="T118">
                <a:pos x="T8" y="T9"/>
              </a:cxn>
              <a:cxn ang="T119">
                <a:pos x="T10" y="T11"/>
              </a:cxn>
              <a:cxn ang="T120">
                <a:pos x="T12" y="T13"/>
              </a:cxn>
              <a:cxn ang="T121">
                <a:pos x="T14" y="T15"/>
              </a:cxn>
              <a:cxn ang="T122">
                <a:pos x="T16" y="T17"/>
              </a:cxn>
              <a:cxn ang="T123">
                <a:pos x="T18" y="T19"/>
              </a:cxn>
              <a:cxn ang="T124">
                <a:pos x="T20" y="T21"/>
              </a:cxn>
              <a:cxn ang="T125">
                <a:pos x="T22" y="T23"/>
              </a:cxn>
              <a:cxn ang="T126">
                <a:pos x="T24" y="T25"/>
              </a:cxn>
              <a:cxn ang="T127">
                <a:pos x="T26" y="T27"/>
              </a:cxn>
              <a:cxn ang="T128">
                <a:pos x="T28" y="T29"/>
              </a:cxn>
              <a:cxn ang="T129">
                <a:pos x="T30" y="T31"/>
              </a:cxn>
              <a:cxn ang="T130">
                <a:pos x="T32" y="T33"/>
              </a:cxn>
              <a:cxn ang="T131">
                <a:pos x="T34" y="T35"/>
              </a:cxn>
              <a:cxn ang="T132">
                <a:pos x="T36" y="T37"/>
              </a:cxn>
              <a:cxn ang="T133">
                <a:pos x="T38" y="T39"/>
              </a:cxn>
              <a:cxn ang="T134">
                <a:pos x="T40" y="T41"/>
              </a:cxn>
              <a:cxn ang="T135">
                <a:pos x="T42" y="T43"/>
              </a:cxn>
              <a:cxn ang="T136">
                <a:pos x="T44" y="T45"/>
              </a:cxn>
              <a:cxn ang="T137">
                <a:pos x="T46" y="T47"/>
              </a:cxn>
              <a:cxn ang="T138">
                <a:pos x="T48" y="T49"/>
              </a:cxn>
              <a:cxn ang="T139">
                <a:pos x="T50" y="T51"/>
              </a:cxn>
              <a:cxn ang="T140">
                <a:pos x="T52" y="T53"/>
              </a:cxn>
              <a:cxn ang="T141">
                <a:pos x="T54" y="T55"/>
              </a:cxn>
              <a:cxn ang="T142">
                <a:pos x="T56" y="T57"/>
              </a:cxn>
              <a:cxn ang="T143">
                <a:pos x="T58" y="T59"/>
              </a:cxn>
              <a:cxn ang="T144">
                <a:pos x="T60" y="T61"/>
              </a:cxn>
              <a:cxn ang="T145">
                <a:pos x="T62" y="T63"/>
              </a:cxn>
              <a:cxn ang="T146">
                <a:pos x="T64" y="T65"/>
              </a:cxn>
              <a:cxn ang="T147">
                <a:pos x="T66" y="T67"/>
              </a:cxn>
              <a:cxn ang="T148">
                <a:pos x="T68" y="T69"/>
              </a:cxn>
              <a:cxn ang="T149">
                <a:pos x="T70" y="T71"/>
              </a:cxn>
              <a:cxn ang="T150">
                <a:pos x="T72" y="T73"/>
              </a:cxn>
              <a:cxn ang="T151">
                <a:pos x="T74" y="T75"/>
              </a:cxn>
              <a:cxn ang="T152">
                <a:pos x="T76" y="T77"/>
              </a:cxn>
              <a:cxn ang="T153">
                <a:pos x="T78" y="T79"/>
              </a:cxn>
              <a:cxn ang="T154">
                <a:pos x="T80" y="T81"/>
              </a:cxn>
              <a:cxn ang="T155">
                <a:pos x="T82" y="T83"/>
              </a:cxn>
              <a:cxn ang="T156">
                <a:pos x="T84" y="T85"/>
              </a:cxn>
              <a:cxn ang="T157">
                <a:pos x="T86" y="T87"/>
              </a:cxn>
              <a:cxn ang="T158">
                <a:pos x="T88" y="T89"/>
              </a:cxn>
              <a:cxn ang="T159">
                <a:pos x="T90" y="T91"/>
              </a:cxn>
              <a:cxn ang="T160">
                <a:pos x="T92" y="T93"/>
              </a:cxn>
              <a:cxn ang="T161">
                <a:pos x="T94" y="T95"/>
              </a:cxn>
              <a:cxn ang="T162">
                <a:pos x="T96" y="T97"/>
              </a:cxn>
              <a:cxn ang="T163">
                <a:pos x="T98" y="T99"/>
              </a:cxn>
              <a:cxn ang="T164">
                <a:pos x="T100" y="T101"/>
              </a:cxn>
              <a:cxn ang="T165">
                <a:pos x="T102" y="T103"/>
              </a:cxn>
              <a:cxn ang="T166">
                <a:pos x="T104" y="T105"/>
              </a:cxn>
              <a:cxn ang="T167">
                <a:pos x="T106" y="T107"/>
              </a:cxn>
              <a:cxn ang="T168">
                <a:pos x="T108" y="T109"/>
              </a:cxn>
              <a:cxn ang="T169">
                <a:pos x="T110" y="T111"/>
              </a:cxn>
              <a:cxn ang="T170">
                <a:pos x="T112" y="T113"/>
              </a:cxn>
            </a:cxnLst>
            <a:rect l="0" t="0" r="r" b="b"/>
            <a:pathLst>
              <a:path w="256815" h="293327">
                <a:moveTo>
                  <a:pt x="52209" y="221290"/>
                </a:moveTo>
                <a:lnTo>
                  <a:pt x="35868" y="231080"/>
                </a:lnTo>
                <a:lnTo>
                  <a:pt x="35868" y="250296"/>
                </a:lnTo>
                <a:lnTo>
                  <a:pt x="52209" y="259723"/>
                </a:lnTo>
                <a:lnTo>
                  <a:pt x="68550" y="250296"/>
                </a:lnTo>
                <a:lnTo>
                  <a:pt x="68550" y="231080"/>
                </a:lnTo>
                <a:lnTo>
                  <a:pt x="52209" y="221290"/>
                </a:lnTo>
                <a:close/>
                <a:moveTo>
                  <a:pt x="50078" y="212226"/>
                </a:moveTo>
                <a:cubicBezTo>
                  <a:pt x="51143" y="211138"/>
                  <a:pt x="52564" y="211138"/>
                  <a:pt x="54341" y="212226"/>
                </a:cubicBezTo>
                <a:lnTo>
                  <a:pt x="74945" y="224553"/>
                </a:lnTo>
                <a:cubicBezTo>
                  <a:pt x="76366" y="225278"/>
                  <a:pt x="77432" y="226366"/>
                  <a:pt x="77432" y="228179"/>
                </a:cubicBezTo>
                <a:lnTo>
                  <a:pt x="77432" y="252834"/>
                </a:lnTo>
                <a:cubicBezTo>
                  <a:pt x="77432" y="254284"/>
                  <a:pt x="76366" y="255735"/>
                  <a:pt x="74945" y="256460"/>
                </a:cubicBezTo>
                <a:lnTo>
                  <a:pt x="54341" y="268787"/>
                </a:lnTo>
                <a:cubicBezTo>
                  <a:pt x="53630" y="269150"/>
                  <a:pt x="52564" y="269512"/>
                  <a:pt x="52209" y="269512"/>
                </a:cubicBezTo>
                <a:cubicBezTo>
                  <a:pt x="51143" y="269512"/>
                  <a:pt x="50433" y="269150"/>
                  <a:pt x="50078" y="268787"/>
                </a:cubicBezTo>
                <a:lnTo>
                  <a:pt x="29473" y="256460"/>
                </a:lnTo>
                <a:cubicBezTo>
                  <a:pt x="27697" y="255735"/>
                  <a:pt x="26987" y="254284"/>
                  <a:pt x="26987" y="252834"/>
                </a:cubicBezTo>
                <a:lnTo>
                  <a:pt x="26987" y="228179"/>
                </a:lnTo>
                <a:cubicBezTo>
                  <a:pt x="26987" y="226366"/>
                  <a:pt x="27697" y="225278"/>
                  <a:pt x="29473" y="224553"/>
                </a:cubicBezTo>
                <a:lnTo>
                  <a:pt x="50078" y="212226"/>
                </a:lnTo>
                <a:close/>
                <a:moveTo>
                  <a:pt x="110717" y="76200"/>
                </a:moveTo>
                <a:cubicBezTo>
                  <a:pt x="150268" y="76200"/>
                  <a:pt x="182199" y="107478"/>
                  <a:pt x="182199" y="147024"/>
                </a:cubicBezTo>
                <a:cubicBezTo>
                  <a:pt x="182199" y="185492"/>
                  <a:pt x="150268" y="217129"/>
                  <a:pt x="110717" y="217129"/>
                </a:cubicBezTo>
                <a:cubicBezTo>
                  <a:pt x="108539" y="217129"/>
                  <a:pt x="106362" y="215331"/>
                  <a:pt x="106362" y="212814"/>
                </a:cubicBezTo>
                <a:cubicBezTo>
                  <a:pt x="106362" y="210298"/>
                  <a:pt x="108539" y="208500"/>
                  <a:pt x="110717" y="208500"/>
                </a:cubicBezTo>
                <a:cubicBezTo>
                  <a:pt x="145188" y="208500"/>
                  <a:pt x="173128" y="180818"/>
                  <a:pt x="173128" y="147024"/>
                </a:cubicBezTo>
                <a:cubicBezTo>
                  <a:pt x="173128" y="112870"/>
                  <a:pt x="145188" y="85188"/>
                  <a:pt x="110717" y="85188"/>
                </a:cubicBezTo>
                <a:cubicBezTo>
                  <a:pt x="108539" y="85188"/>
                  <a:pt x="106362" y="82671"/>
                  <a:pt x="106362" y="80155"/>
                </a:cubicBezTo>
                <a:cubicBezTo>
                  <a:pt x="106362" y="77638"/>
                  <a:pt x="108539" y="76200"/>
                  <a:pt x="110717" y="76200"/>
                </a:cubicBezTo>
                <a:close/>
                <a:moveTo>
                  <a:pt x="27177" y="12628"/>
                </a:moveTo>
                <a:cubicBezTo>
                  <a:pt x="15734" y="20926"/>
                  <a:pt x="8940" y="33554"/>
                  <a:pt x="8940" y="48347"/>
                </a:cubicBezTo>
                <a:cubicBezTo>
                  <a:pt x="8940" y="62418"/>
                  <a:pt x="16449" y="76128"/>
                  <a:pt x="27892" y="84066"/>
                </a:cubicBezTo>
                <a:cubicBezTo>
                  <a:pt x="29322" y="85148"/>
                  <a:pt x="30038" y="86591"/>
                  <a:pt x="30038" y="88034"/>
                </a:cubicBezTo>
                <a:lnTo>
                  <a:pt x="30038" y="200963"/>
                </a:lnTo>
                <a:cubicBezTo>
                  <a:pt x="30038" y="202046"/>
                  <a:pt x="29322" y="203850"/>
                  <a:pt x="27892" y="204571"/>
                </a:cubicBezTo>
                <a:cubicBezTo>
                  <a:pt x="16449" y="212870"/>
                  <a:pt x="8940" y="226219"/>
                  <a:pt x="8940" y="240651"/>
                </a:cubicBezTo>
                <a:cubicBezTo>
                  <a:pt x="8940" y="264824"/>
                  <a:pt x="28250" y="284307"/>
                  <a:pt x="52566" y="284307"/>
                </a:cubicBezTo>
                <a:cubicBezTo>
                  <a:pt x="76167" y="284307"/>
                  <a:pt x="95477" y="264824"/>
                  <a:pt x="95477" y="240651"/>
                </a:cubicBezTo>
                <a:cubicBezTo>
                  <a:pt x="95477" y="226219"/>
                  <a:pt x="88683" y="212870"/>
                  <a:pt x="76882" y="204571"/>
                </a:cubicBezTo>
                <a:cubicBezTo>
                  <a:pt x="75452" y="203850"/>
                  <a:pt x="75094" y="202046"/>
                  <a:pt x="75094" y="200963"/>
                </a:cubicBezTo>
                <a:lnTo>
                  <a:pt x="75094" y="88034"/>
                </a:lnTo>
                <a:cubicBezTo>
                  <a:pt x="75094" y="86591"/>
                  <a:pt x="75452" y="85148"/>
                  <a:pt x="76882" y="84066"/>
                </a:cubicBezTo>
                <a:cubicBezTo>
                  <a:pt x="88683" y="76128"/>
                  <a:pt x="95477" y="62418"/>
                  <a:pt x="95477" y="48347"/>
                </a:cubicBezTo>
                <a:cubicBezTo>
                  <a:pt x="95477" y="33554"/>
                  <a:pt x="89041" y="20926"/>
                  <a:pt x="77955" y="12628"/>
                </a:cubicBezTo>
                <a:lnTo>
                  <a:pt x="77955" y="54119"/>
                </a:lnTo>
                <a:cubicBezTo>
                  <a:pt x="77955" y="55923"/>
                  <a:pt x="76882" y="57367"/>
                  <a:pt x="75452" y="58088"/>
                </a:cubicBezTo>
                <a:lnTo>
                  <a:pt x="54712" y="70355"/>
                </a:lnTo>
                <a:cubicBezTo>
                  <a:pt x="52924" y="71077"/>
                  <a:pt x="51493" y="71077"/>
                  <a:pt x="50420" y="70355"/>
                </a:cubicBezTo>
                <a:lnTo>
                  <a:pt x="29680" y="58088"/>
                </a:lnTo>
                <a:cubicBezTo>
                  <a:pt x="27892" y="57367"/>
                  <a:pt x="27177" y="55923"/>
                  <a:pt x="27177" y="54119"/>
                </a:cubicBezTo>
                <a:lnTo>
                  <a:pt x="27177" y="12628"/>
                </a:lnTo>
                <a:close/>
                <a:moveTo>
                  <a:pt x="29680" y="1082"/>
                </a:moveTo>
                <a:cubicBezTo>
                  <a:pt x="30753" y="0"/>
                  <a:pt x="32541" y="0"/>
                  <a:pt x="33971" y="1443"/>
                </a:cubicBezTo>
                <a:cubicBezTo>
                  <a:pt x="35402" y="1804"/>
                  <a:pt x="36117" y="3247"/>
                  <a:pt x="36117" y="4690"/>
                </a:cubicBezTo>
                <a:lnTo>
                  <a:pt x="36117" y="51955"/>
                </a:lnTo>
                <a:lnTo>
                  <a:pt x="52566" y="61335"/>
                </a:lnTo>
                <a:lnTo>
                  <a:pt x="69015" y="51955"/>
                </a:lnTo>
                <a:lnTo>
                  <a:pt x="69015" y="4690"/>
                </a:lnTo>
                <a:cubicBezTo>
                  <a:pt x="69015" y="3247"/>
                  <a:pt x="69731" y="1804"/>
                  <a:pt x="70803" y="1443"/>
                </a:cubicBezTo>
                <a:cubicBezTo>
                  <a:pt x="72234" y="0"/>
                  <a:pt x="73664" y="0"/>
                  <a:pt x="75452" y="1082"/>
                </a:cubicBezTo>
                <a:cubicBezTo>
                  <a:pt x="93689" y="10102"/>
                  <a:pt x="104417" y="27781"/>
                  <a:pt x="104417" y="48347"/>
                </a:cubicBezTo>
                <a:cubicBezTo>
                  <a:pt x="104417" y="64582"/>
                  <a:pt x="96908" y="80097"/>
                  <a:pt x="83319" y="89838"/>
                </a:cubicBezTo>
                <a:lnTo>
                  <a:pt x="83319" y="198438"/>
                </a:lnTo>
                <a:cubicBezTo>
                  <a:pt x="96908" y="208901"/>
                  <a:pt x="104417" y="223694"/>
                  <a:pt x="104417" y="240651"/>
                </a:cubicBezTo>
                <a:cubicBezTo>
                  <a:pt x="104417" y="269515"/>
                  <a:pt x="81531" y="293327"/>
                  <a:pt x="52566" y="293327"/>
                </a:cubicBezTo>
                <a:cubicBezTo>
                  <a:pt x="23959" y="293327"/>
                  <a:pt x="0" y="269515"/>
                  <a:pt x="0" y="240651"/>
                </a:cubicBezTo>
                <a:cubicBezTo>
                  <a:pt x="0" y="223694"/>
                  <a:pt x="8224" y="208901"/>
                  <a:pt x="21098" y="198438"/>
                </a:cubicBezTo>
                <a:lnTo>
                  <a:pt x="21098" y="89838"/>
                </a:lnTo>
                <a:cubicBezTo>
                  <a:pt x="8224" y="80097"/>
                  <a:pt x="0" y="64582"/>
                  <a:pt x="0" y="48347"/>
                </a:cubicBezTo>
                <a:cubicBezTo>
                  <a:pt x="0" y="27781"/>
                  <a:pt x="11800" y="10102"/>
                  <a:pt x="29680" y="1082"/>
                </a:cubicBezTo>
                <a:close/>
                <a:moveTo>
                  <a:pt x="104337" y="0"/>
                </a:moveTo>
                <a:lnTo>
                  <a:pt x="121280" y="0"/>
                </a:lnTo>
                <a:cubicBezTo>
                  <a:pt x="127408" y="0"/>
                  <a:pt x="132815" y="5389"/>
                  <a:pt x="132815" y="11497"/>
                </a:cubicBezTo>
                <a:lnTo>
                  <a:pt x="132815" y="26946"/>
                </a:lnTo>
                <a:cubicBezTo>
                  <a:pt x="138943" y="27665"/>
                  <a:pt x="144710" y="29821"/>
                  <a:pt x="150477" y="31976"/>
                </a:cubicBezTo>
                <a:lnTo>
                  <a:pt x="158408" y="18324"/>
                </a:lnTo>
                <a:cubicBezTo>
                  <a:pt x="159850" y="15449"/>
                  <a:pt x="162373" y="14012"/>
                  <a:pt x="165617" y="13294"/>
                </a:cubicBezTo>
                <a:cubicBezTo>
                  <a:pt x="168501" y="12216"/>
                  <a:pt x="171384" y="12934"/>
                  <a:pt x="174268" y="14371"/>
                </a:cubicBezTo>
                <a:lnTo>
                  <a:pt x="192652" y="25150"/>
                </a:lnTo>
                <a:cubicBezTo>
                  <a:pt x="198419" y="27665"/>
                  <a:pt x="199861" y="35210"/>
                  <a:pt x="196977" y="40959"/>
                </a:cubicBezTo>
                <a:lnTo>
                  <a:pt x="189408" y="53893"/>
                </a:lnTo>
                <a:cubicBezTo>
                  <a:pt x="194094" y="57845"/>
                  <a:pt x="198419" y="62516"/>
                  <a:pt x="202745" y="67187"/>
                </a:cubicBezTo>
                <a:lnTo>
                  <a:pt x="215722" y="59642"/>
                </a:lnTo>
                <a:cubicBezTo>
                  <a:pt x="218245" y="57845"/>
                  <a:pt x="221489" y="57486"/>
                  <a:pt x="224733" y="58204"/>
                </a:cubicBezTo>
                <a:cubicBezTo>
                  <a:pt x="227617" y="59642"/>
                  <a:pt x="230140" y="61079"/>
                  <a:pt x="231943" y="63953"/>
                </a:cubicBezTo>
                <a:lnTo>
                  <a:pt x="242396" y="82277"/>
                </a:lnTo>
                <a:cubicBezTo>
                  <a:pt x="243838" y="84792"/>
                  <a:pt x="243838" y="88025"/>
                  <a:pt x="243117" y="90900"/>
                </a:cubicBezTo>
                <a:cubicBezTo>
                  <a:pt x="242757" y="94133"/>
                  <a:pt x="240594" y="96648"/>
                  <a:pt x="238431" y="97726"/>
                </a:cubicBezTo>
                <a:lnTo>
                  <a:pt x="224733" y="105630"/>
                </a:lnTo>
                <a:cubicBezTo>
                  <a:pt x="226896" y="111738"/>
                  <a:pt x="228338" y="117846"/>
                  <a:pt x="229780" y="123595"/>
                </a:cubicBezTo>
                <a:lnTo>
                  <a:pt x="245280" y="123595"/>
                </a:lnTo>
                <a:cubicBezTo>
                  <a:pt x="251408" y="123595"/>
                  <a:pt x="256815" y="128984"/>
                  <a:pt x="256815" y="135092"/>
                </a:cubicBezTo>
                <a:lnTo>
                  <a:pt x="256815" y="156290"/>
                </a:lnTo>
                <a:cubicBezTo>
                  <a:pt x="256815" y="162757"/>
                  <a:pt x="251408" y="168146"/>
                  <a:pt x="245280" y="168146"/>
                </a:cubicBezTo>
                <a:lnTo>
                  <a:pt x="229780" y="168146"/>
                </a:lnTo>
                <a:cubicBezTo>
                  <a:pt x="228338" y="174254"/>
                  <a:pt x="226896" y="180362"/>
                  <a:pt x="224733" y="186470"/>
                </a:cubicBezTo>
                <a:lnTo>
                  <a:pt x="238431" y="194015"/>
                </a:lnTo>
                <a:cubicBezTo>
                  <a:pt x="243478" y="196889"/>
                  <a:pt x="245280" y="203716"/>
                  <a:pt x="242396" y="209464"/>
                </a:cubicBezTo>
                <a:lnTo>
                  <a:pt x="231943" y="227788"/>
                </a:lnTo>
                <a:cubicBezTo>
                  <a:pt x="230140" y="230303"/>
                  <a:pt x="227617" y="232458"/>
                  <a:pt x="224733" y="233536"/>
                </a:cubicBezTo>
                <a:cubicBezTo>
                  <a:pt x="221489" y="233896"/>
                  <a:pt x="218245" y="233536"/>
                  <a:pt x="215722" y="232458"/>
                </a:cubicBezTo>
                <a:lnTo>
                  <a:pt x="202745" y="224554"/>
                </a:lnTo>
                <a:cubicBezTo>
                  <a:pt x="198419" y="229584"/>
                  <a:pt x="194094" y="233896"/>
                  <a:pt x="189408" y="237848"/>
                </a:cubicBezTo>
                <a:lnTo>
                  <a:pt x="196977" y="251141"/>
                </a:lnTo>
                <a:cubicBezTo>
                  <a:pt x="199861" y="256531"/>
                  <a:pt x="198419" y="263716"/>
                  <a:pt x="192652" y="266950"/>
                </a:cubicBezTo>
                <a:lnTo>
                  <a:pt x="174268" y="277369"/>
                </a:lnTo>
                <a:cubicBezTo>
                  <a:pt x="171384" y="279166"/>
                  <a:pt x="168501" y="279525"/>
                  <a:pt x="165617" y="278806"/>
                </a:cubicBezTo>
                <a:cubicBezTo>
                  <a:pt x="162373" y="277729"/>
                  <a:pt x="159850" y="275932"/>
                  <a:pt x="158408" y="273417"/>
                </a:cubicBezTo>
                <a:lnTo>
                  <a:pt x="150477" y="260124"/>
                </a:lnTo>
                <a:cubicBezTo>
                  <a:pt x="144710" y="261920"/>
                  <a:pt x="138943" y="263716"/>
                  <a:pt x="132815" y="264794"/>
                </a:cubicBezTo>
                <a:lnTo>
                  <a:pt x="132815" y="280244"/>
                </a:lnTo>
                <a:cubicBezTo>
                  <a:pt x="132815" y="286351"/>
                  <a:pt x="127408" y="291741"/>
                  <a:pt x="121280" y="291741"/>
                </a:cubicBezTo>
                <a:lnTo>
                  <a:pt x="104337" y="291741"/>
                </a:lnTo>
                <a:cubicBezTo>
                  <a:pt x="102175" y="291741"/>
                  <a:pt x="100012" y="289585"/>
                  <a:pt x="100012" y="287070"/>
                </a:cubicBezTo>
                <a:cubicBezTo>
                  <a:pt x="100012" y="284914"/>
                  <a:pt x="102175" y="282759"/>
                  <a:pt x="104337" y="282759"/>
                </a:cubicBezTo>
                <a:lnTo>
                  <a:pt x="121280" y="282759"/>
                </a:lnTo>
                <a:cubicBezTo>
                  <a:pt x="122361" y="282759"/>
                  <a:pt x="123803" y="281681"/>
                  <a:pt x="123803" y="280244"/>
                </a:cubicBezTo>
                <a:lnTo>
                  <a:pt x="123803" y="261201"/>
                </a:lnTo>
                <a:cubicBezTo>
                  <a:pt x="123803" y="258686"/>
                  <a:pt x="125245" y="257249"/>
                  <a:pt x="127408" y="256531"/>
                </a:cubicBezTo>
                <a:cubicBezTo>
                  <a:pt x="135338" y="255453"/>
                  <a:pt x="143629" y="253297"/>
                  <a:pt x="151559" y="250064"/>
                </a:cubicBezTo>
                <a:cubicBezTo>
                  <a:pt x="153001" y="249704"/>
                  <a:pt x="155524" y="250064"/>
                  <a:pt x="156605" y="252219"/>
                </a:cubicBezTo>
                <a:lnTo>
                  <a:pt x="165977" y="268746"/>
                </a:lnTo>
                <a:cubicBezTo>
                  <a:pt x="166338" y="269465"/>
                  <a:pt x="167059" y="270184"/>
                  <a:pt x="167780" y="270184"/>
                </a:cubicBezTo>
                <a:cubicBezTo>
                  <a:pt x="168501" y="270184"/>
                  <a:pt x="168861" y="270184"/>
                  <a:pt x="169943" y="269824"/>
                </a:cubicBezTo>
                <a:lnTo>
                  <a:pt x="188687" y="259046"/>
                </a:lnTo>
                <a:cubicBezTo>
                  <a:pt x="189408" y="258327"/>
                  <a:pt x="190129" y="256531"/>
                  <a:pt x="189408" y="255453"/>
                </a:cubicBezTo>
                <a:lnTo>
                  <a:pt x="179675" y="239285"/>
                </a:lnTo>
                <a:cubicBezTo>
                  <a:pt x="178233" y="237129"/>
                  <a:pt x="179315" y="234614"/>
                  <a:pt x="180757" y="233536"/>
                </a:cubicBezTo>
                <a:cubicBezTo>
                  <a:pt x="187245" y="228147"/>
                  <a:pt x="193012" y="222039"/>
                  <a:pt x="198419" y="215931"/>
                </a:cubicBezTo>
                <a:cubicBezTo>
                  <a:pt x="199501" y="214494"/>
                  <a:pt x="202024" y="213776"/>
                  <a:pt x="204187" y="214853"/>
                </a:cubicBezTo>
                <a:lnTo>
                  <a:pt x="220408" y="224554"/>
                </a:lnTo>
                <a:cubicBezTo>
                  <a:pt x="220768" y="224913"/>
                  <a:pt x="221489" y="224913"/>
                  <a:pt x="222210" y="224913"/>
                </a:cubicBezTo>
                <a:cubicBezTo>
                  <a:pt x="223291" y="224554"/>
                  <a:pt x="223652" y="224195"/>
                  <a:pt x="224012" y="223836"/>
                </a:cubicBezTo>
                <a:lnTo>
                  <a:pt x="234466" y="205153"/>
                </a:lnTo>
                <a:cubicBezTo>
                  <a:pt x="235187" y="204793"/>
                  <a:pt x="235187" y="203716"/>
                  <a:pt x="234466" y="202997"/>
                </a:cubicBezTo>
                <a:cubicBezTo>
                  <a:pt x="234466" y="202638"/>
                  <a:pt x="234105" y="201919"/>
                  <a:pt x="233745" y="201560"/>
                </a:cubicBezTo>
                <a:lnTo>
                  <a:pt x="217164" y="192218"/>
                </a:lnTo>
                <a:cubicBezTo>
                  <a:pt x="215001" y="190781"/>
                  <a:pt x="214280" y="188985"/>
                  <a:pt x="215001" y="186829"/>
                </a:cubicBezTo>
                <a:cubicBezTo>
                  <a:pt x="218245" y="178925"/>
                  <a:pt x="220408" y="171020"/>
                  <a:pt x="221489" y="162757"/>
                </a:cubicBezTo>
                <a:cubicBezTo>
                  <a:pt x="221850" y="160601"/>
                  <a:pt x="223652" y="159164"/>
                  <a:pt x="226175" y="159164"/>
                </a:cubicBezTo>
                <a:lnTo>
                  <a:pt x="245280" y="159164"/>
                </a:lnTo>
                <a:cubicBezTo>
                  <a:pt x="246361" y="159164"/>
                  <a:pt x="247803" y="158086"/>
                  <a:pt x="247803" y="156290"/>
                </a:cubicBezTo>
                <a:lnTo>
                  <a:pt x="247803" y="135092"/>
                </a:lnTo>
                <a:cubicBezTo>
                  <a:pt x="247803" y="134014"/>
                  <a:pt x="246361" y="132577"/>
                  <a:pt x="245280" y="132577"/>
                </a:cubicBezTo>
                <a:lnTo>
                  <a:pt x="226175" y="132577"/>
                </a:lnTo>
                <a:cubicBezTo>
                  <a:pt x="223652" y="132577"/>
                  <a:pt x="221850" y="131140"/>
                  <a:pt x="221489" y="128625"/>
                </a:cubicBezTo>
                <a:cubicBezTo>
                  <a:pt x="220408" y="121080"/>
                  <a:pt x="218245" y="112816"/>
                  <a:pt x="215001" y="104912"/>
                </a:cubicBezTo>
                <a:cubicBezTo>
                  <a:pt x="214280" y="103115"/>
                  <a:pt x="215001" y="100960"/>
                  <a:pt x="217164" y="99882"/>
                </a:cubicBezTo>
                <a:lnTo>
                  <a:pt x="233745" y="90181"/>
                </a:lnTo>
                <a:cubicBezTo>
                  <a:pt x="234105" y="90181"/>
                  <a:pt x="234466" y="89103"/>
                  <a:pt x="234466" y="88744"/>
                </a:cubicBezTo>
                <a:cubicBezTo>
                  <a:pt x="235187" y="88025"/>
                  <a:pt x="235187" y="87307"/>
                  <a:pt x="234466" y="86229"/>
                </a:cubicBezTo>
                <a:lnTo>
                  <a:pt x="224012" y="67905"/>
                </a:lnTo>
                <a:cubicBezTo>
                  <a:pt x="223652" y="67546"/>
                  <a:pt x="223291" y="67187"/>
                  <a:pt x="222210" y="66827"/>
                </a:cubicBezTo>
                <a:cubicBezTo>
                  <a:pt x="221489" y="66827"/>
                  <a:pt x="220768" y="66827"/>
                  <a:pt x="220408" y="67187"/>
                </a:cubicBezTo>
                <a:lnTo>
                  <a:pt x="204187" y="76528"/>
                </a:lnTo>
                <a:cubicBezTo>
                  <a:pt x="202024" y="77965"/>
                  <a:pt x="199501" y="77247"/>
                  <a:pt x="198419" y="75809"/>
                </a:cubicBezTo>
                <a:cubicBezTo>
                  <a:pt x="193012" y="69342"/>
                  <a:pt x="187245" y="63594"/>
                  <a:pt x="180757" y="58204"/>
                </a:cubicBezTo>
                <a:cubicBezTo>
                  <a:pt x="179315" y="57127"/>
                  <a:pt x="178233" y="54612"/>
                  <a:pt x="179675" y="52456"/>
                </a:cubicBezTo>
                <a:lnTo>
                  <a:pt x="189408" y="35929"/>
                </a:lnTo>
                <a:cubicBezTo>
                  <a:pt x="190129" y="35210"/>
                  <a:pt x="189408" y="33054"/>
                  <a:pt x="188687" y="32695"/>
                </a:cubicBezTo>
                <a:lnTo>
                  <a:pt x="169943" y="22276"/>
                </a:lnTo>
                <a:cubicBezTo>
                  <a:pt x="168861" y="21557"/>
                  <a:pt x="168501" y="21557"/>
                  <a:pt x="167780" y="21557"/>
                </a:cubicBezTo>
                <a:cubicBezTo>
                  <a:pt x="167059" y="21557"/>
                  <a:pt x="166338" y="22635"/>
                  <a:pt x="165977" y="22994"/>
                </a:cubicBezTo>
                <a:lnTo>
                  <a:pt x="156605" y="39521"/>
                </a:lnTo>
                <a:cubicBezTo>
                  <a:pt x="155524" y="41318"/>
                  <a:pt x="153001" y="42036"/>
                  <a:pt x="151559" y="41318"/>
                </a:cubicBezTo>
                <a:cubicBezTo>
                  <a:pt x="143629" y="38444"/>
                  <a:pt x="135338" y="35929"/>
                  <a:pt x="127408" y="35210"/>
                </a:cubicBezTo>
                <a:cubicBezTo>
                  <a:pt x="125245" y="34851"/>
                  <a:pt x="123803" y="32695"/>
                  <a:pt x="123803" y="30539"/>
                </a:cubicBezTo>
                <a:lnTo>
                  <a:pt x="123803" y="11497"/>
                </a:lnTo>
                <a:cubicBezTo>
                  <a:pt x="123803" y="10419"/>
                  <a:pt x="122361" y="8623"/>
                  <a:pt x="121280" y="8623"/>
                </a:cubicBezTo>
                <a:lnTo>
                  <a:pt x="104337" y="8623"/>
                </a:lnTo>
                <a:cubicBezTo>
                  <a:pt x="102175" y="8623"/>
                  <a:pt x="100012" y="7186"/>
                  <a:pt x="100012" y="4671"/>
                </a:cubicBezTo>
                <a:cubicBezTo>
                  <a:pt x="100012" y="2156"/>
                  <a:pt x="102175" y="0"/>
                  <a:pt x="104337" y="0"/>
                </a:cubicBezTo>
                <a:close/>
              </a:path>
            </a:pathLst>
          </a:custGeom>
          <a:solidFill>
            <a:schemeClr val="bg1"/>
          </a:solidFill>
          <a:ln>
            <a:noFill/>
          </a:ln>
          <a:effectLst/>
        </xdr:spPr>
        <xdr:txBody>
          <a:bodyPr wrap="square" anchor="ct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marL="0" marR="0" lvl="0" indent="0" algn="l" defTabSz="1828434" rtl="0" eaLnBrk="1" fontAlgn="auto" latinLnBrk="0" hangingPunct="1">
              <a:lnSpc>
                <a:spcPct val="100000"/>
              </a:lnSpc>
              <a:spcBef>
                <a:spcPts val="0"/>
              </a:spcBef>
              <a:spcAft>
                <a:spcPts val="0"/>
              </a:spcAft>
              <a:buClrTx/>
              <a:buSzTx/>
              <a:buFontTx/>
              <a:buNone/>
              <a:tabLst/>
              <a:defRPr/>
            </a:pPr>
            <a:endParaRPr kumimoji="0" lang="en-US" sz="3600" b="0" i="0" u="none" strike="noStrike" kern="1200" cap="none" spc="0" normalizeH="0" baseline="0">
              <a:ln>
                <a:noFill/>
              </a:ln>
              <a:solidFill>
                <a:srgbClr val="AAAAAA"/>
              </a:solidFill>
              <a:effectLst/>
              <a:uLnTx/>
              <a:uFillTx/>
              <a:latin typeface="Calibri" panose="020F0502020204030204"/>
              <a:ea typeface="+mn-ea"/>
              <a:cs typeface="+mn-cs"/>
            </a:endParaRPr>
          </a:p>
        </xdr:txBody>
      </xdr:sp>
    </xdr:grpSp>
    <xdr:clientData fPrintsWithSheet="0"/>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622300</xdr:colOff>
          <xdr:row>0</xdr:row>
          <xdr:rowOff>6350</xdr:rowOff>
        </xdr:from>
        <xdr:to>
          <xdr:col>7</xdr:col>
          <xdr:colOff>1117600</xdr:colOff>
          <xdr:row>0</xdr:row>
          <xdr:rowOff>527050</xdr:rowOff>
        </xdr:to>
        <xdr:pic>
          <xdr:nvPicPr>
            <xdr:cNvPr id="6" name="Grafik 5">
              <a:extLst>
                <a:ext uri="{FF2B5EF4-FFF2-40B4-BE49-F238E27FC236}">
                  <a16:creationId xmlns:a16="http://schemas.microsoft.com/office/drawing/2014/main" id="{00000000-0008-0000-0400-000006000000}"/>
                </a:ext>
              </a:extLst>
            </xdr:cNvPr>
            <xdr:cNvPicPr>
              <a:picLocks noChangeAspect="1" noChangeArrowheads="1"/>
              <a:extLst>
                <a:ext uri="{84589F7E-364E-4C9E-8A38-B11213B215E9}">
                  <a14:cameraTool cellRange="Logo!$D$6" spid="_x0000_s347857"/>
                </a:ext>
              </a:extLst>
            </xdr:cNvPicPr>
          </xdr:nvPicPr>
          <xdr:blipFill>
            <a:blip xmlns:r="http://schemas.openxmlformats.org/officeDocument/2006/relationships" r:embed="rId1"/>
            <a:srcRect/>
            <a:stretch>
              <a:fillRect/>
            </a:stretch>
          </xdr:blipFill>
          <xdr:spPr bwMode="auto">
            <a:xfrm>
              <a:off x="9137650" y="6350"/>
              <a:ext cx="2266950" cy="520700"/>
            </a:xfrm>
            <a:prstGeom prst="rect">
              <a:avLst/>
            </a:prstGeom>
            <a:solidFill>
              <a:schemeClr val="bg1"/>
            </a:solidFill>
            <a:ln w="9525">
              <a:noFill/>
              <a:miter lim="800000"/>
              <a:headEnd/>
              <a:tailEnd/>
            </a:ln>
          </xdr:spPr>
        </xdr:pic>
        <xdr:clientData/>
      </xdr:twoCellAnchor>
    </mc:Choice>
    <mc:Fallback/>
  </mc:AlternateContent>
  <xdr:twoCellAnchor>
    <xdr:from>
      <xdr:col>1</xdr:col>
      <xdr:colOff>213441</xdr:colOff>
      <xdr:row>3</xdr:row>
      <xdr:rowOff>120650</xdr:rowOff>
    </xdr:from>
    <xdr:to>
      <xdr:col>3</xdr:col>
      <xdr:colOff>1898571</xdr:colOff>
      <xdr:row>34</xdr:row>
      <xdr:rowOff>173728</xdr:rowOff>
    </xdr:to>
    <xdr:grpSp>
      <xdr:nvGrpSpPr>
        <xdr:cNvPr id="7" name="Gruppieren 6">
          <a:extLst>
            <a:ext uri="{FF2B5EF4-FFF2-40B4-BE49-F238E27FC236}">
              <a16:creationId xmlns:a16="http://schemas.microsoft.com/office/drawing/2014/main" id="{00000000-0008-0000-0400-000007000000}"/>
            </a:ext>
          </a:extLst>
        </xdr:cNvPr>
        <xdr:cNvGrpSpPr/>
      </xdr:nvGrpSpPr>
      <xdr:grpSpPr>
        <a:xfrm>
          <a:off x="693501" y="1050290"/>
          <a:ext cx="2172810" cy="5615678"/>
          <a:chOff x="619841" y="6153150"/>
          <a:chExt cx="2186780" cy="5660128"/>
        </a:xfrm>
      </xdr:grpSpPr>
      <xdr:sp macro="" textlink="">
        <xdr:nvSpPr>
          <xdr:cNvPr id="8" name="Eingekerbter Richtungspfeil 3">
            <a:extLst>
              <a:ext uri="{FF2B5EF4-FFF2-40B4-BE49-F238E27FC236}">
                <a16:creationId xmlns:a16="http://schemas.microsoft.com/office/drawing/2014/main" id="{00000000-0008-0000-0400-000008000000}"/>
              </a:ext>
            </a:extLst>
          </xdr:cNvPr>
          <xdr:cNvSpPr/>
        </xdr:nvSpPr>
        <xdr:spPr>
          <a:xfrm>
            <a:off x="1087910" y="6153150"/>
            <a:ext cx="1718711" cy="540000"/>
          </a:xfrm>
          <a:prstGeom prst="chevron">
            <a:avLst>
              <a:gd name="adj" fmla="val 25921"/>
            </a:avLst>
          </a:prstGeom>
          <a:solidFill>
            <a:srgbClr val="4DADB5"/>
          </a:solidFill>
          <a:ln w="12700" cap="flat">
            <a:noFill/>
            <a:miter lim="400000"/>
          </a:ln>
          <a:effectLst/>
        </xdr:spPr>
        <xdr:txBody>
          <a:bodyPr wrap="square" lIns="72000" tIns="0" rIns="72000" bIns="0" numCol="1"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defTabSz="685846" fontAlgn="auto">
              <a:spcBef>
                <a:spcPts val="0"/>
              </a:spcBef>
              <a:spcAft>
                <a:spcPts val="0"/>
              </a:spcAft>
            </a:pPr>
            <a:r>
              <a:rPr lang="fr-CH" sz="1200" b="0">
                <a:solidFill>
                  <a:prstClr val="white"/>
                </a:solidFill>
                <a:latin typeface="Calibri Light" panose="020F0302020204030204" pitchFamily="34" charset="0"/>
                <a:cs typeface="Calibri Light" panose="020F0302020204030204" pitchFamily="34" charset="0"/>
              </a:rPr>
              <a:t>Phase</a:t>
            </a:r>
            <a:r>
              <a:rPr lang="fr-CH" sz="1200" b="0" baseline="0">
                <a:solidFill>
                  <a:prstClr val="white"/>
                </a:solidFill>
                <a:latin typeface="Calibri Light" panose="020F0302020204030204" pitchFamily="34" charset="0"/>
                <a:cs typeface="Calibri Light" panose="020F0302020204030204" pitchFamily="34" charset="0"/>
              </a:rPr>
              <a:t> 1</a:t>
            </a:r>
            <a:endParaRPr lang="fr-CH" sz="1200" b="0">
              <a:solidFill>
                <a:prstClr val="white"/>
              </a:solidFill>
              <a:latin typeface="Calibri Light" panose="020F0302020204030204" pitchFamily="34" charset="0"/>
              <a:cs typeface="Calibri Light" panose="020F0302020204030204" pitchFamily="34" charset="0"/>
            </a:endParaRPr>
          </a:p>
        </xdr:txBody>
      </xdr:sp>
      <xdr:sp macro="" textlink="">
        <xdr:nvSpPr>
          <xdr:cNvPr id="9" name="Eingekerbter Richtungspfeil 3">
            <a:extLst>
              <a:ext uri="{FF2B5EF4-FFF2-40B4-BE49-F238E27FC236}">
                <a16:creationId xmlns:a16="http://schemas.microsoft.com/office/drawing/2014/main" id="{00000000-0008-0000-0400-000009000000}"/>
              </a:ext>
            </a:extLst>
          </xdr:cNvPr>
          <xdr:cNvSpPr/>
        </xdr:nvSpPr>
        <xdr:spPr>
          <a:xfrm>
            <a:off x="632541" y="6153150"/>
            <a:ext cx="619192" cy="540000"/>
          </a:xfrm>
          <a:prstGeom prst="chevron">
            <a:avLst>
              <a:gd name="adj" fmla="val 25921"/>
            </a:avLst>
          </a:prstGeom>
          <a:solidFill>
            <a:srgbClr val="46A1A8"/>
          </a:solidFill>
          <a:ln w="12700" cap="flat">
            <a:noFill/>
            <a:miter lim="400000"/>
          </a:ln>
          <a:effectLst/>
        </xdr:spPr>
        <xdr:txBody>
          <a:bodyPr wrap="square" lIns="0" tIns="0" rIns="0" bIns="0" numCol="1"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defTabSz="685846" fontAlgn="auto">
              <a:spcBef>
                <a:spcPts val="0"/>
              </a:spcBef>
              <a:spcAft>
                <a:spcPts val="0"/>
              </a:spcAft>
            </a:pPr>
            <a:r>
              <a:rPr lang="de-CH" sz="2000" b="0">
                <a:solidFill>
                  <a:prstClr val="white"/>
                </a:solidFill>
                <a:latin typeface="Calibri Light" panose="020F0302020204030204" pitchFamily="34" charset="0"/>
                <a:cs typeface="Calibri Light" panose="020F0302020204030204" pitchFamily="34" charset="0"/>
              </a:rPr>
              <a:t>01</a:t>
            </a:r>
            <a:endParaRPr lang="fr-CH" sz="2000" b="0">
              <a:solidFill>
                <a:prstClr val="white"/>
              </a:solidFill>
              <a:latin typeface="Calibri Light" panose="020F0302020204030204" pitchFamily="34" charset="0"/>
              <a:cs typeface="Calibri Light" panose="020F0302020204030204" pitchFamily="34" charset="0"/>
            </a:endParaRPr>
          </a:p>
        </xdr:txBody>
      </xdr:sp>
      <xdr:sp macro="" textlink="">
        <xdr:nvSpPr>
          <xdr:cNvPr id="10" name="Textfeld 9">
            <a:extLst>
              <a:ext uri="{FF2B5EF4-FFF2-40B4-BE49-F238E27FC236}">
                <a16:creationId xmlns:a16="http://schemas.microsoft.com/office/drawing/2014/main" id="{00000000-0008-0000-0400-00000A000000}"/>
              </a:ext>
            </a:extLst>
          </xdr:cNvPr>
          <xdr:cNvSpPr txBox="1"/>
        </xdr:nvSpPr>
        <xdr:spPr>
          <a:xfrm>
            <a:off x="645241" y="7650460"/>
            <a:ext cx="2016000" cy="2268000"/>
          </a:xfrm>
          <a:prstGeom prst="rect">
            <a:avLst/>
          </a:prstGeom>
          <a:gradFill flip="none" rotWithShape="1">
            <a:gsLst>
              <a:gs pos="9000">
                <a:srgbClr val="6BBBC1"/>
              </a:gs>
              <a:gs pos="100000">
                <a:srgbClr val="DEF1F2"/>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indent="-90488" algn="l" defTabSz="457200" fontAlgn="auto">
              <a:spcBef>
                <a:spcPts val="0"/>
              </a:spcBef>
              <a:spcAft>
                <a:spcPts val="0"/>
              </a:spcAft>
              <a:buFont typeface="Wingdings" panose="05000000000000000000" pitchFamily="2" charset="2"/>
              <a:buChar char="§"/>
            </a:pPr>
            <a:r>
              <a:rPr lang="fr-CH" sz="1100" b="0">
                <a:solidFill>
                  <a:prstClr val="black"/>
                </a:solidFill>
                <a:latin typeface="Calibri Light" panose="020F0302020204030204" pitchFamily="34" charset="0"/>
                <a:cs typeface="Calibri Light" panose="020F0302020204030204" pitchFamily="34" charset="0"/>
              </a:rPr>
              <a:t>Activité</a:t>
            </a:r>
            <a:r>
              <a:rPr lang="fr-CH" sz="1100" b="0" baseline="0">
                <a:solidFill>
                  <a:prstClr val="black"/>
                </a:solidFill>
                <a:latin typeface="Calibri Light" panose="020F0302020204030204" pitchFamily="34" charset="0"/>
                <a:cs typeface="Calibri Light" panose="020F0302020204030204" pitchFamily="34" charset="0"/>
              </a:rPr>
              <a:t> 1</a:t>
            </a:r>
          </a:p>
          <a:p>
            <a:pPr marL="90488" indent="-90488" algn="l" defTabSz="457200" fontAlgn="auto">
              <a:spcBef>
                <a:spcPts val="0"/>
              </a:spcBef>
              <a:spcAft>
                <a:spcPts val="0"/>
              </a:spcAft>
              <a:buFont typeface="Wingdings" panose="05000000000000000000" pitchFamily="2" charset="2"/>
              <a:buChar char="§"/>
            </a:pPr>
            <a:r>
              <a:rPr lang="fr-CH" sz="1100" b="0" baseline="0">
                <a:solidFill>
                  <a:prstClr val="black"/>
                </a:solidFill>
                <a:latin typeface="Calibri Light" panose="020F0302020204030204" pitchFamily="34" charset="0"/>
                <a:cs typeface="Calibri Light" panose="020F0302020204030204" pitchFamily="34" charset="0"/>
              </a:rPr>
              <a:t>Aktivität 2</a:t>
            </a:r>
          </a:p>
          <a:p>
            <a:pPr marL="90488" indent="-90488" algn="l" defTabSz="457200" fontAlgn="auto">
              <a:spcBef>
                <a:spcPts val="0"/>
              </a:spcBef>
              <a:spcAft>
                <a:spcPts val="0"/>
              </a:spcAft>
              <a:buFont typeface="Wingdings" panose="05000000000000000000" pitchFamily="2" charset="2"/>
              <a:buChar char="§"/>
            </a:pPr>
            <a:r>
              <a:rPr lang="fr-CH" sz="1100" b="0" baseline="0">
                <a:solidFill>
                  <a:prstClr val="black"/>
                </a:solidFill>
                <a:latin typeface="Calibri Light" panose="020F0302020204030204" pitchFamily="34" charset="0"/>
                <a:cs typeface="Calibri Light" panose="020F0302020204030204" pitchFamily="34" charset="0"/>
              </a:rPr>
              <a:t>...</a:t>
            </a:r>
            <a:endParaRPr lang="fr-CH" sz="1100" b="0">
              <a:solidFill>
                <a:prstClr val="black"/>
              </a:solidFill>
              <a:latin typeface="Calibri Light" panose="020F0302020204030204" pitchFamily="34" charset="0"/>
              <a:cs typeface="Calibri Light" panose="020F0302020204030204" pitchFamily="34" charset="0"/>
            </a:endParaRPr>
          </a:p>
        </xdr:txBody>
      </xdr:sp>
      <xdr:sp macro="" textlink="">
        <xdr:nvSpPr>
          <xdr:cNvPr id="11" name="Textfeld 16">
            <a:extLst>
              <a:ext uri="{FF2B5EF4-FFF2-40B4-BE49-F238E27FC236}">
                <a16:creationId xmlns:a16="http://schemas.microsoft.com/office/drawing/2014/main" id="{00000000-0008-0000-0400-00000B000000}"/>
              </a:ext>
            </a:extLst>
          </xdr:cNvPr>
          <xdr:cNvSpPr txBox="1"/>
        </xdr:nvSpPr>
        <xdr:spPr>
          <a:xfrm>
            <a:off x="619841" y="9991585"/>
            <a:ext cx="2016000" cy="1368000"/>
          </a:xfrm>
          <a:prstGeom prst="rect">
            <a:avLst/>
          </a:prstGeom>
          <a:gradFill flip="none" rotWithShape="1">
            <a:gsLst>
              <a:gs pos="9000">
                <a:srgbClr val="6BBBC1"/>
              </a:gs>
              <a:gs pos="100000">
                <a:srgbClr val="DEF1F2"/>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indent="-90488" algn="l" defTabSz="457200" rtl="0" fontAlgn="auto">
              <a:spcBef>
                <a:spcPts val="0"/>
              </a:spcBef>
              <a:spcAft>
                <a:spcPts val="0"/>
              </a:spcAft>
              <a:buFont typeface="Wingdings" panose="05000000000000000000" pitchFamily="2" charset="2"/>
              <a:buChar char="§"/>
            </a:pPr>
            <a:r>
              <a:rPr lang="fr-CH" sz="1100" b="0" kern="1200">
                <a:solidFill>
                  <a:prstClr val="black"/>
                </a:solidFill>
                <a:latin typeface="Calibri Light" panose="020F0302020204030204" pitchFamily="34" charset="0"/>
                <a:ea typeface="+mn-ea"/>
                <a:cs typeface="Calibri Light" panose="020F0302020204030204" pitchFamily="34" charset="0"/>
              </a:rPr>
              <a:t>Résultat</a:t>
            </a:r>
            <a:r>
              <a:rPr lang="fr-CH" sz="1100" b="0" kern="1200" baseline="0">
                <a:solidFill>
                  <a:prstClr val="black"/>
                </a:solidFill>
                <a:latin typeface="Calibri Light" panose="020F0302020204030204" pitchFamily="34" charset="0"/>
                <a:ea typeface="+mn-ea"/>
                <a:cs typeface="Calibri Light" panose="020F0302020204030204" pitchFamily="34" charset="0"/>
              </a:rPr>
              <a:t> 1</a:t>
            </a:r>
          </a:p>
          <a:p>
            <a:pPr marL="90488" indent="-90488" algn="l" defTabSz="457200" rtl="0" fontAlgn="auto">
              <a:spcBef>
                <a:spcPts val="0"/>
              </a:spcBef>
              <a:spcAft>
                <a:spcPts val="0"/>
              </a:spcAft>
              <a:buFont typeface="Wingdings" panose="05000000000000000000" pitchFamily="2" charset="2"/>
              <a:buChar char="§"/>
            </a:pPr>
            <a:r>
              <a:rPr lang="fr-CH" sz="1100" b="0" kern="1200" baseline="0">
                <a:solidFill>
                  <a:prstClr val="black"/>
                </a:solidFill>
                <a:latin typeface="Calibri Light" panose="020F0302020204030204" pitchFamily="34" charset="0"/>
                <a:ea typeface="+mn-ea"/>
                <a:cs typeface="Calibri Light" panose="020F0302020204030204" pitchFamily="34" charset="0"/>
              </a:rPr>
              <a:t>Résultat 2</a:t>
            </a:r>
            <a:endParaRPr lang="fr-CH" sz="1100" b="0" kern="1200">
              <a:solidFill>
                <a:prstClr val="black"/>
              </a:solidFill>
              <a:latin typeface="Calibri Light" panose="020F0302020204030204" pitchFamily="34" charset="0"/>
              <a:ea typeface="+mn-ea"/>
              <a:cs typeface="Calibri Light" panose="020F0302020204030204" pitchFamily="34" charset="0"/>
            </a:endParaRPr>
          </a:p>
        </xdr:txBody>
      </xdr:sp>
      <xdr:sp macro="" textlink="">
        <xdr:nvSpPr>
          <xdr:cNvPr id="12" name="Eingekerbter Richtungspfeil 3">
            <a:extLst>
              <a:ext uri="{FF2B5EF4-FFF2-40B4-BE49-F238E27FC236}">
                <a16:creationId xmlns:a16="http://schemas.microsoft.com/office/drawing/2014/main" id="{00000000-0008-0000-0400-00000C000000}"/>
              </a:ext>
            </a:extLst>
          </xdr:cNvPr>
          <xdr:cNvSpPr/>
        </xdr:nvSpPr>
        <xdr:spPr>
          <a:xfrm>
            <a:off x="632544" y="11443938"/>
            <a:ext cx="2088000" cy="369340"/>
          </a:xfrm>
          <a:prstGeom prst="chevron">
            <a:avLst>
              <a:gd name="adj" fmla="val 25921"/>
            </a:avLst>
          </a:prstGeom>
          <a:solidFill>
            <a:srgbClr val="4DADB5"/>
          </a:solidFill>
          <a:ln w="12700" cap="flat">
            <a:noFill/>
            <a:miter lim="400000"/>
          </a:ln>
          <a:effectLst/>
        </xdr:spPr>
        <xdr:txBody>
          <a:bodyPr wrap="square" lIns="324000" tIns="0" rIns="72000" bIns="0" numCol="1"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defTabSz="685846" fontAlgn="auto">
              <a:spcBef>
                <a:spcPts val="0"/>
              </a:spcBef>
              <a:spcAft>
                <a:spcPts val="0"/>
              </a:spcAft>
            </a:pPr>
            <a:r>
              <a:rPr lang="de-CH" sz="1400" b="0">
                <a:solidFill>
                  <a:prstClr val="white"/>
                </a:solidFill>
                <a:latin typeface="Calibri Light" panose="020F0302020204030204" pitchFamily="34" charset="0"/>
                <a:cs typeface="Calibri Light" panose="020F0302020204030204" pitchFamily="34" charset="0"/>
              </a:rPr>
              <a:t>30.11.2022</a:t>
            </a:r>
            <a:endParaRPr lang="fr-CH" sz="1400" b="0">
              <a:solidFill>
                <a:prstClr val="white"/>
              </a:solidFill>
              <a:latin typeface="Calibri Light" panose="020F0302020204030204" pitchFamily="34" charset="0"/>
              <a:cs typeface="Calibri Light" panose="020F0302020204030204" pitchFamily="34" charset="0"/>
            </a:endParaRPr>
          </a:p>
        </xdr:txBody>
      </xdr:sp>
      <xdr:sp macro="" textlink="">
        <xdr:nvSpPr>
          <xdr:cNvPr id="13" name="Textfeld 16">
            <a:extLst>
              <a:ext uri="{FF2B5EF4-FFF2-40B4-BE49-F238E27FC236}">
                <a16:creationId xmlns:a16="http://schemas.microsoft.com/office/drawing/2014/main" id="{00000000-0008-0000-0400-00000D000000}"/>
              </a:ext>
            </a:extLst>
          </xdr:cNvPr>
          <xdr:cNvSpPr txBox="1"/>
        </xdr:nvSpPr>
        <xdr:spPr>
          <a:xfrm>
            <a:off x="645241" y="6781092"/>
            <a:ext cx="2016000" cy="792000"/>
          </a:xfrm>
          <a:prstGeom prst="rect">
            <a:avLst/>
          </a:prstGeom>
          <a:gradFill flip="none" rotWithShape="1">
            <a:gsLst>
              <a:gs pos="9000">
                <a:srgbClr val="6BBBC1"/>
              </a:gs>
              <a:gs pos="100000">
                <a:srgbClr val="DEF1F2"/>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0" indent="0" algn="l" defTabSz="457200" fontAlgn="auto">
              <a:spcBef>
                <a:spcPts val="0"/>
              </a:spcBef>
              <a:spcAft>
                <a:spcPts val="0"/>
              </a:spcAft>
              <a:buNone/>
            </a:pPr>
            <a:r>
              <a:rPr lang="fr-CH" sz="1100" b="0">
                <a:solidFill>
                  <a:prstClr val="black"/>
                </a:solidFill>
                <a:latin typeface="Calibri Light" panose="020F0302020204030204" pitchFamily="34" charset="0"/>
                <a:cs typeface="Calibri Light" panose="020F0302020204030204" pitchFamily="34" charset="0"/>
              </a:rPr>
              <a:t>Ziel/Objectifs</a:t>
            </a:r>
            <a:r>
              <a:rPr lang="fr-CH" sz="1100" b="0" baseline="0">
                <a:solidFill>
                  <a:prstClr val="black"/>
                </a:solidFill>
                <a:latin typeface="Calibri Light" panose="020F0302020204030204" pitchFamily="34" charset="0"/>
                <a:cs typeface="Calibri Light" panose="020F0302020204030204" pitchFamily="34" charset="0"/>
              </a:rPr>
              <a:t> </a:t>
            </a:r>
            <a:endParaRPr lang="fr-CH" sz="1100" b="0">
              <a:solidFill>
                <a:prstClr val="black"/>
              </a:solidFill>
              <a:latin typeface="Calibri Light" panose="020F0302020204030204" pitchFamily="34" charset="0"/>
              <a:cs typeface="Calibri Light" panose="020F0302020204030204" pitchFamily="34" charset="0"/>
            </a:endParaRPr>
          </a:p>
        </xdr:txBody>
      </xdr:sp>
      <xdr:sp macro="" textlink="">
        <xdr:nvSpPr>
          <xdr:cNvPr id="14" name="Freeform 10">
            <a:extLst>
              <a:ext uri="{FF2B5EF4-FFF2-40B4-BE49-F238E27FC236}">
                <a16:creationId xmlns:a16="http://schemas.microsoft.com/office/drawing/2014/main" id="{00000000-0008-0000-0400-00000E000000}"/>
              </a:ext>
            </a:extLst>
          </xdr:cNvPr>
          <xdr:cNvSpPr>
            <a:spLocks noChangeArrowheads="1"/>
          </xdr:cNvSpPr>
        </xdr:nvSpPr>
        <xdr:spPr bwMode="auto">
          <a:xfrm>
            <a:off x="785838" y="11511754"/>
            <a:ext cx="145878" cy="233708"/>
          </a:xfrm>
          <a:custGeom>
            <a:avLst/>
            <a:gdLst>
              <a:gd name="connsiteX0" fmla="*/ 252413 w 561616"/>
              <a:gd name="connsiteY0" fmla="*/ 533400 h 899752"/>
              <a:gd name="connsiteX1" fmla="*/ 309199 w 561616"/>
              <a:gd name="connsiteY1" fmla="*/ 533400 h 899752"/>
              <a:gd name="connsiteX2" fmla="*/ 309199 w 561616"/>
              <a:gd name="connsiteY2" fmla="*/ 590188 h 899752"/>
              <a:gd name="connsiteX3" fmla="*/ 252413 w 561616"/>
              <a:gd name="connsiteY3" fmla="*/ 590188 h 899752"/>
              <a:gd name="connsiteX4" fmla="*/ 252763 w 561616"/>
              <a:gd name="connsiteY4" fmla="*/ 478263 h 899752"/>
              <a:gd name="connsiteX5" fmla="*/ 252763 w 561616"/>
              <a:gd name="connsiteY5" fmla="*/ 490131 h 899752"/>
              <a:gd name="connsiteX6" fmla="*/ 153527 w 561616"/>
              <a:gd name="connsiteY6" fmla="*/ 589389 h 899752"/>
              <a:gd name="connsiteX7" fmla="*/ 112179 w 561616"/>
              <a:gd name="connsiteY7" fmla="*/ 688648 h 899752"/>
              <a:gd name="connsiteX8" fmla="*/ 112179 w 561616"/>
              <a:gd name="connsiteY8" fmla="*/ 703033 h 899752"/>
              <a:gd name="connsiteX9" fmla="*/ 252763 w 561616"/>
              <a:gd name="connsiteY9" fmla="*/ 646931 h 899752"/>
              <a:gd name="connsiteX10" fmla="*/ 308853 w 561616"/>
              <a:gd name="connsiteY10" fmla="*/ 646931 h 899752"/>
              <a:gd name="connsiteX11" fmla="*/ 449436 w 561616"/>
              <a:gd name="connsiteY11" fmla="*/ 703033 h 899752"/>
              <a:gd name="connsiteX12" fmla="*/ 449436 w 561616"/>
              <a:gd name="connsiteY12" fmla="*/ 688648 h 899752"/>
              <a:gd name="connsiteX13" fmla="*/ 408088 w 561616"/>
              <a:gd name="connsiteY13" fmla="*/ 589389 h 899752"/>
              <a:gd name="connsiteX14" fmla="*/ 308853 w 561616"/>
              <a:gd name="connsiteY14" fmla="*/ 490131 h 899752"/>
              <a:gd name="connsiteX15" fmla="*/ 308853 w 561616"/>
              <a:gd name="connsiteY15" fmla="*/ 478263 h 899752"/>
              <a:gd name="connsiteX16" fmla="*/ 56089 w 561616"/>
              <a:gd name="connsiteY16" fmla="*/ 141287 h 899752"/>
              <a:gd name="connsiteX17" fmla="*/ 112179 w 561616"/>
              <a:gd name="connsiteY17" fmla="*/ 141287 h 899752"/>
              <a:gd name="connsiteX18" fmla="*/ 112179 w 561616"/>
              <a:gd name="connsiteY18" fmla="*/ 212135 h 899752"/>
              <a:gd name="connsiteX19" fmla="*/ 152089 w 561616"/>
              <a:gd name="connsiteY19" fmla="*/ 309955 h 899752"/>
              <a:gd name="connsiteX20" fmla="*/ 409526 w 561616"/>
              <a:gd name="connsiteY20" fmla="*/ 309955 h 899752"/>
              <a:gd name="connsiteX21" fmla="*/ 449436 w 561616"/>
              <a:gd name="connsiteY21" fmla="*/ 212135 h 899752"/>
              <a:gd name="connsiteX22" fmla="*/ 449436 w 561616"/>
              <a:gd name="connsiteY22" fmla="*/ 141287 h 899752"/>
              <a:gd name="connsiteX23" fmla="*/ 505526 w 561616"/>
              <a:gd name="connsiteY23" fmla="*/ 141287 h 899752"/>
              <a:gd name="connsiteX24" fmla="*/ 505526 w 561616"/>
              <a:gd name="connsiteY24" fmla="*/ 212135 h 899752"/>
              <a:gd name="connsiteX25" fmla="*/ 447998 w 561616"/>
              <a:gd name="connsiteY25" fmla="*/ 350953 h 899752"/>
              <a:gd name="connsiteX26" fmla="*/ 364942 w 561616"/>
              <a:gd name="connsiteY26" fmla="*/ 434028 h 899752"/>
              <a:gd name="connsiteX27" fmla="*/ 364942 w 561616"/>
              <a:gd name="connsiteY27" fmla="*/ 466755 h 899752"/>
              <a:gd name="connsiteX28" fmla="*/ 447998 w 561616"/>
              <a:gd name="connsiteY28" fmla="*/ 549830 h 899752"/>
              <a:gd name="connsiteX29" fmla="*/ 505526 w 561616"/>
              <a:gd name="connsiteY29" fmla="*/ 688648 h 899752"/>
              <a:gd name="connsiteX30" fmla="*/ 505526 w 561616"/>
              <a:gd name="connsiteY30" fmla="*/ 787547 h 899752"/>
              <a:gd name="connsiteX31" fmla="*/ 561616 w 561616"/>
              <a:gd name="connsiteY31" fmla="*/ 787547 h 899752"/>
              <a:gd name="connsiteX32" fmla="*/ 561616 w 561616"/>
              <a:gd name="connsiteY32" fmla="*/ 899752 h 899752"/>
              <a:gd name="connsiteX33" fmla="*/ 0 w 561616"/>
              <a:gd name="connsiteY33" fmla="*/ 899752 h 899752"/>
              <a:gd name="connsiteX34" fmla="*/ 0 w 561616"/>
              <a:gd name="connsiteY34" fmla="*/ 787547 h 899752"/>
              <a:gd name="connsiteX35" fmla="*/ 56089 w 561616"/>
              <a:gd name="connsiteY35" fmla="*/ 787547 h 899752"/>
              <a:gd name="connsiteX36" fmla="*/ 56089 w 561616"/>
              <a:gd name="connsiteY36" fmla="*/ 688648 h 899752"/>
              <a:gd name="connsiteX37" fmla="*/ 113977 w 561616"/>
              <a:gd name="connsiteY37" fmla="*/ 549830 h 899752"/>
              <a:gd name="connsiteX38" fmla="*/ 196673 w 561616"/>
              <a:gd name="connsiteY38" fmla="*/ 466755 h 899752"/>
              <a:gd name="connsiteX39" fmla="*/ 196673 w 561616"/>
              <a:gd name="connsiteY39" fmla="*/ 434028 h 899752"/>
              <a:gd name="connsiteX40" fmla="*/ 113977 w 561616"/>
              <a:gd name="connsiteY40" fmla="*/ 350953 h 899752"/>
              <a:gd name="connsiteX41" fmla="*/ 56089 w 561616"/>
              <a:gd name="connsiteY41" fmla="*/ 212135 h 899752"/>
              <a:gd name="connsiteX42" fmla="*/ 0 w 561616"/>
              <a:gd name="connsiteY42" fmla="*/ 0 h 899752"/>
              <a:gd name="connsiteX43" fmla="*/ 561616 w 561616"/>
              <a:gd name="connsiteY43" fmla="*/ 0 h 899752"/>
              <a:gd name="connsiteX44" fmla="*/ 561616 w 561616"/>
              <a:gd name="connsiteY44" fmla="*/ 112352 h 899752"/>
              <a:gd name="connsiteX45" fmla="*/ 0 w 561616"/>
              <a:gd name="connsiteY45" fmla="*/ 112352 h 89975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Lst>
            <a:rect l="l" t="t" r="r" b="b"/>
            <a:pathLst>
              <a:path w="561616" h="899752">
                <a:moveTo>
                  <a:pt x="252413" y="533400"/>
                </a:moveTo>
                <a:lnTo>
                  <a:pt x="309199" y="533400"/>
                </a:lnTo>
                <a:lnTo>
                  <a:pt x="309199" y="590188"/>
                </a:lnTo>
                <a:lnTo>
                  <a:pt x="252413" y="590188"/>
                </a:lnTo>
                <a:close/>
                <a:moveTo>
                  <a:pt x="252763" y="478263"/>
                </a:moveTo>
                <a:lnTo>
                  <a:pt x="252763" y="490131"/>
                </a:lnTo>
                <a:lnTo>
                  <a:pt x="153527" y="589389"/>
                </a:lnTo>
                <a:cubicBezTo>
                  <a:pt x="126921" y="616002"/>
                  <a:pt x="112179" y="651246"/>
                  <a:pt x="112179" y="688648"/>
                </a:cubicBezTo>
                <a:lnTo>
                  <a:pt x="112179" y="703033"/>
                </a:lnTo>
                <a:lnTo>
                  <a:pt x="252763" y="646931"/>
                </a:lnTo>
                <a:lnTo>
                  <a:pt x="308853" y="646931"/>
                </a:lnTo>
                <a:lnTo>
                  <a:pt x="449436" y="703033"/>
                </a:lnTo>
                <a:lnTo>
                  <a:pt x="449436" y="688648"/>
                </a:lnTo>
                <a:cubicBezTo>
                  <a:pt x="449436" y="651246"/>
                  <a:pt x="434695" y="616002"/>
                  <a:pt x="408088" y="589389"/>
                </a:cubicBezTo>
                <a:lnTo>
                  <a:pt x="308853" y="490131"/>
                </a:lnTo>
                <a:lnTo>
                  <a:pt x="308853" y="478263"/>
                </a:lnTo>
                <a:close/>
                <a:moveTo>
                  <a:pt x="56089" y="141287"/>
                </a:moveTo>
                <a:lnTo>
                  <a:pt x="112179" y="141287"/>
                </a:lnTo>
                <a:lnTo>
                  <a:pt x="112179" y="212135"/>
                </a:lnTo>
                <a:cubicBezTo>
                  <a:pt x="112179" y="248817"/>
                  <a:pt x="126561" y="283701"/>
                  <a:pt x="152089" y="309955"/>
                </a:cubicBezTo>
                <a:lnTo>
                  <a:pt x="409526" y="309955"/>
                </a:lnTo>
                <a:cubicBezTo>
                  <a:pt x="435054" y="283701"/>
                  <a:pt x="449436" y="248817"/>
                  <a:pt x="449436" y="212135"/>
                </a:cubicBezTo>
                <a:lnTo>
                  <a:pt x="449436" y="141287"/>
                </a:lnTo>
                <a:lnTo>
                  <a:pt x="505526" y="141287"/>
                </a:lnTo>
                <a:lnTo>
                  <a:pt x="505526" y="212135"/>
                </a:lnTo>
                <a:cubicBezTo>
                  <a:pt x="505526" y="264641"/>
                  <a:pt x="485032" y="313911"/>
                  <a:pt x="447998" y="350953"/>
                </a:cubicBezTo>
                <a:lnTo>
                  <a:pt x="364942" y="434028"/>
                </a:lnTo>
                <a:lnTo>
                  <a:pt x="364942" y="466755"/>
                </a:lnTo>
                <a:lnTo>
                  <a:pt x="447998" y="549830"/>
                </a:lnTo>
                <a:cubicBezTo>
                  <a:pt x="485032" y="586872"/>
                  <a:pt x="505526" y="636142"/>
                  <a:pt x="505526" y="688648"/>
                </a:cubicBezTo>
                <a:lnTo>
                  <a:pt x="505526" y="787547"/>
                </a:lnTo>
                <a:lnTo>
                  <a:pt x="561616" y="787547"/>
                </a:lnTo>
                <a:lnTo>
                  <a:pt x="561616" y="899752"/>
                </a:lnTo>
                <a:lnTo>
                  <a:pt x="0" y="899752"/>
                </a:lnTo>
                <a:lnTo>
                  <a:pt x="0" y="787547"/>
                </a:lnTo>
                <a:lnTo>
                  <a:pt x="56089" y="787547"/>
                </a:lnTo>
                <a:lnTo>
                  <a:pt x="56089" y="688648"/>
                </a:lnTo>
                <a:cubicBezTo>
                  <a:pt x="56089" y="636142"/>
                  <a:pt x="76584" y="586872"/>
                  <a:pt x="113977" y="549830"/>
                </a:cubicBezTo>
                <a:lnTo>
                  <a:pt x="196673" y="466755"/>
                </a:lnTo>
                <a:lnTo>
                  <a:pt x="196673" y="434028"/>
                </a:lnTo>
                <a:lnTo>
                  <a:pt x="113977" y="350953"/>
                </a:lnTo>
                <a:cubicBezTo>
                  <a:pt x="76584" y="313911"/>
                  <a:pt x="56089" y="264641"/>
                  <a:pt x="56089" y="212135"/>
                </a:cubicBezTo>
                <a:close/>
                <a:moveTo>
                  <a:pt x="0" y="0"/>
                </a:moveTo>
                <a:lnTo>
                  <a:pt x="561616" y="0"/>
                </a:lnTo>
                <a:lnTo>
                  <a:pt x="561616" y="112352"/>
                </a:lnTo>
                <a:lnTo>
                  <a:pt x="0" y="112352"/>
                </a:lnTo>
                <a:close/>
              </a:path>
            </a:pathLst>
          </a:custGeom>
          <a:solidFill>
            <a:sysClr val="window" lastClr="FFFFFF"/>
          </a:solidFill>
          <a:ln>
            <a:noFill/>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endParaRPr lang="en-US" sz="1100">
              <a:latin typeface="Calibri Light" panose="020F0302020204030204" pitchFamily="34" charset="0"/>
              <a:cs typeface="Calibri Light" panose="020F0302020204030204" pitchFamily="34" charset="0"/>
            </a:endParaRPr>
          </a:p>
        </xdr:txBody>
      </xdr:sp>
    </xdr:grpSp>
    <xdr:clientData fLocksWithSheet="0"/>
  </xdr:twoCellAnchor>
  <xdr:twoCellAnchor>
    <xdr:from>
      <xdr:col>3</xdr:col>
      <xdr:colOff>1831334</xdr:colOff>
      <xdr:row>3</xdr:row>
      <xdr:rowOff>120650</xdr:rowOff>
    </xdr:from>
    <xdr:to>
      <xdr:col>3</xdr:col>
      <xdr:colOff>3999146</xdr:colOff>
      <xdr:row>34</xdr:row>
      <xdr:rowOff>173728</xdr:rowOff>
    </xdr:to>
    <xdr:grpSp>
      <xdr:nvGrpSpPr>
        <xdr:cNvPr id="15" name="Gruppieren 14">
          <a:extLst>
            <a:ext uri="{FF2B5EF4-FFF2-40B4-BE49-F238E27FC236}">
              <a16:creationId xmlns:a16="http://schemas.microsoft.com/office/drawing/2014/main" id="{00000000-0008-0000-0400-00000F000000}"/>
            </a:ext>
          </a:extLst>
        </xdr:cNvPr>
        <xdr:cNvGrpSpPr/>
      </xdr:nvGrpSpPr>
      <xdr:grpSpPr>
        <a:xfrm>
          <a:off x="2799074" y="1050290"/>
          <a:ext cx="2167812" cy="5615678"/>
          <a:chOff x="2739384" y="6153150"/>
          <a:chExt cx="2167812" cy="5660128"/>
        </a:xfrm>
      </xdr:grpSpPr>
      <xdr:sp macro="" textlink="">
        <xdr:nvSpPr>
          <xdr:cNvPr id="16" name="Eingekerbter Richtungspfeil 3">
            <a:extLst>
              <a:ext uri="{FF2B5EF4-FFF2-40B4-BE49-F238E27FC236}">
                <a16:creationId xmlns:a16="http://schemas.microsoft.com/office/drawing/2014/main" id="{00000000-0008-0000-0400-000010000000}"/>
              </a:ext>
            </a:extLst>
          </xdr:cNvPr>
          <xdr:cNvSpPr/>
        </xdr:nvSpPr>
        <xdr:spPr>
          <a:xfrm>
            <a:off x="2739384" y="11443938"/>
            <a:ext cx="2088000" cy="369340"/>
          </a:xfrm>
          <a:prstGeom prst="chevron">
            <a:avLst>
              <a:gd name="adj" fmla="val 25921"/>
            </a:avLst>
          </a:prstGeom>
          <a:solidFill>
            <a:srgbClr val="3984A3"/>
          </a:solidFill>
          <a:ln w="25400" cap="flat" cmpd="sng" algn="ctr">
            <a:noFill/>
            <a:prstDash val="solid"/>
          </a:ln>
          <a:effectLst/>
        </xdr:spPr>
        <xdr:txBody>
          <a:bodyPr rot="0" spcFirstLastPara="0" vert="horz" wrap="square" lIns="324000" tIns="36000" rIns="7200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de-CH" sz="14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30.12.2022</a:t>
            </a:r>
            <a:endParaRPr lang="fr-CH" sz="14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endParaRPr>
          </a:p>
        </xdr:txBody>
      </xdr:sp>
      <xdr:sp macro="" textlink="">
        <xdr:nvSpPr>
          <xdr:cNvPr id="17" name="Eingekerbter Richtungspfeil 3">
            <a:extLst>
              <a:ext uri="{FF2B5EF4-FFF2-40B4-BE49-F238E27FC236}">
                <a16:creationId xmlns:a16="http://schemas.microsoft.com/office/drawing/2014/main" id="{00000000-0008-0000-0400-000011000000}"/>
              </a:ext>
            </a:extLst>
          </xdr:cNvPr>
          <xdr:cNvSpPr/>
        </xdr:nvSpPr>
        <xdr:spPr>
          <a:xfrm>
            <a:off x="3205167" y="6153150"/>
            <a:ext cx="1702029" cy="540000"/>
          </a:xfrm>
          <a:prstGeom prst="chevron">
            <a:avLst>
              <a:gd name="adj" fmla="val 25921"/>
            </a:avLst>
          </a:prstGeom>
          <a:solidFill>
            <a:srgbClr val="3984A3"/>
          </a:solidFill>
          <a:ln w="25400" cap="flat" cmpd="sng" algn="ctr">
            <a:noFill/>
            <a:prstDash val="solid"/>
          </a:ln>
          <a:effectLst/>
        </xdr:spPr>
        <xdr:txBody>
          <a:bodyPr rot="0" spcFirstLastPara="0" vert="horz" wrap="square" lIns="72000" tIns="36000" rIns="7200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fr-CH" sz="12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Phase 2</a:t>
            </a:r>
          </a:p>
        </xdr:txBody>
      </xdr:sp>
      <xdr:sp macro="" textlink="">
        <xdr:nvSpPr>
          <xdr:cNvPr id="18" name="Eingekerbter Richtungspfeil 3">
            <a:extLst>
              <a:ext uri="{FF2B5EF4-FFF2-40B4-BE49-F238E27FC236}">
                <a16:creationId xmlns:a16="http://schemas.microsoft.com/office/drawing/2014/main" id="{00000000-0008-0000-0400-000012000000}"/>
              </a:ext>
            </a:extLst>
          </xdr:cNvPr>
          <xdr:cNvSpPr/>
        </xdr:nvSpPr>
        <xdr:spPr>
          <a:xfrm>
            <a:off x="2749800" y="6153150"/>
            <a:ext cx="612000" cy="540000"/>
          </a:xfrm>
          <a:prstGeom prst="chevron">
            <a:avLst>
              <a:gd name="adj" fmla="val 25921"/>
            </a:avLst>
          </a:prstGeom>
          <a:solidFill>
            <a:srgbClr val="31718B"/>
          </a:solidFill>
          <a:ln w="25400" cap="flat" cmpd="sng" algn="ctr">
            <a:noFill/>
            <a:prstDash val="solid"/>
          </a:ln>
          <a:effectLst/>
        </xdr:spPr>
        <xdr:txBody>
          <a:bodyPr rot="0" spcFirstLastPara="0" vert="horz" wrap="square" lIns="36000" tIns="36000" rIns="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de-CH" sz="20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02</a:t>
            </a:r>
            <a:endParaRPr lang="fr-CH" sz="20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endParaRPr>
          </a:p>
        </xdr:txBody>
      </xdr:sp>
      <xdr:sp macro="" textlink="">
        <xdr:nvSpPr>
          <xdr:cNvPr id="19" name="Textfeld 11">
            <a:extLst>
              <a:ext uri="{FF2B5EF4-FFF2-40B4-BE49-F238E27FC236}">
                <a16:creationId xmlns:a16="http://schemas.microsoft.com/office/drawing/2014/main" id="{00000000-0008-0000-0400-000013000000}"/>
              </a:ext>
            </a:extLst>
          </xdr:cNvPr>
          <xdr:cNvSpPr txBox="1"/>
        </xdr:nvSpPr>
        <xdr:spPr>
          <a:xfrm>
            <a:off x="2744050" y="7650460"/>
            <a:ext cx="2016000" cy="2268000"/>
          </a:xfrm>
          <a:prstGeom prst="rect">
            <a:avLst/>
          </a:prstGeom>
          <a:gradFill flip="none" rotWithShape="1">
            <a:gsLst>
              <a:gs pos="9000">
                <a:srgbClr val="74B4CE"/>
              </a:gs>
              <a:gs pos="100000">
                <a:srgbClr val="CAE4EE"/>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Activité 1</a:t>
            </a:r>
          </a:p>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Aktivität 2</a:t>
            </a:r>
          </a:p>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t>
            </a:r>
          </a:p>
          <a:p>
            <a:pPr marL="90488" indent="-90488" algn="l" defTabSz="457200" rtl="0" fontAlgn="auto">
              <a:spcBef>
                <a:spcPts val="0"/>
              </a:spcBef>
              <a:spcAft>
                <a:spcPts val="0"/>
              </a:spcAft>
              <a:buFont typeface="Wingdings" panose="05000000000000000000" pitchFamily="2" charset="2"/>
              <a:buChar char="§"/>
            </a:pPr>
            <a:endParaRPr lang="fr-CH" sz="1100" b="0" kern="1200">
              <a:solidFill>
                <a:prstClr val="black"/>
              </a:solidFill>
              <a:latin typeface="Calibri Light" panose="020F0302020204030204" pitchFamily="34" charset="0"/>
              <a:ea typeface="+mn-ea"/>
              <a:cs typeface="Calibri Light" panose="020F0302020204030204" pitchFamily="34" charset="0"/>
            </a:endParaRPr>
          </a:p>
        </xdr:txBody>
      </xdr:sp>
      <xdr:sp macro="" textlink="">
        <xdr:nvSpPr>
          <xdr:cNvPr id="20" name="Textfeld 17">
            <a:extLst>
              <a:ext uri="{FF2B5EF4-FFF2-40B4-BE49-F238E27FC236}">
                <a16:creationId xmlns:a16="http://schemas.microsoft.com/office/drawing/2014/main" id="{00000000-0008-0000-0400-000014000000}"/>
              </a:ext>
            </a:extLst>
          </xdr:cNvPr>
          <xdr:cNvSpPr txBox="1"/>
        </xdr:nvSpPr>
        <xdr:spPr>
          <a:xfrm>
            <a:off x="2744050" y="9991585"/>
            <a:ext cx="2016000" cy="1368000"/>
          </a:xfrm>
          <a:prstGeom prst="rect">
            <a:avLst/>
          </a:prstGeom>
          <a:gradFill flip="none" rotWithShape="1">
            <a:gsLst>
              <a:gs pos="9000">
                <a:srgbClr val="58A5C4"/>
              </a:gs>
              <a:gs pos="100000">
                <a:srgbClr val="BADBE8"/>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marR="0" lvl="0" indent="-90488" algn="l" defTabSz="457200" rtl="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120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Résultat 1</a:t>
            </a:r>
          </a:p>
          <a:p>
            <a:pPr marL="90488" marR="0" lvl="0" indent="-90488" algn="l" defTabSz="457200" rtl="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120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Résultat 2</a:t>
            </a:r>
          </a:p>
        </xdr:txBody>
      </xdr:sp>
      <xdr:sp macro="" textlink="">
        <xdr:nvSpPr>
          <xdr:cNvPr id="21" name="Textfeld 17">
            <a:extLst>
              <a:ext uri="{FF2B5EF4-FFF2-40B4-BE49-F238E27FC236}">
                <a16:creationId xmlns:a16="http://schemas.microsoft.com/office/drawing/2014/main" id="{00000000-0008-0000-0400-000015000000}"/>
              </a:ext>
            </a:extLst>
          </xdr:cNvPr>
          <xdr:cNvSpPr txBox="1"/>
        </xdr:nvSpPr>
        <xdr:spPr>
          <a:xfrm>
            <a:off x="2744050" y="6781092"/>
            <a:ext cx="2016000" cy="792000"/>
          </a:xfrm>
          <a:prstGeom prst="rect">
            <a:avLst/>
          </a:prstGeom>
          <a:gradFill flip="none" rotWithShape="1">
            <a:gsLst>
              <a:gs pos="9000">
                <a:srgbClr val="58A5C4"/>
              </a:gs>
              <a:gs pos="100000">
                <a:srgbClr val="BADBE8"/>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0" indent="0" algn="l" defTabSz="457200" fontAlgn="auto">
              <a:spcBef>
                <a:spcPts val="0"/>
              </a:spcBef>
              <a:spcAft>
                <a:spcPts val="0"/>
              </a:spcAft>
              <a:buNone/>
            </a:pPr>
            <a:r>
              <a:rPr lang="fr-CH" sz="1100" b="0">
                <a:solidFill>
                  <a:prstClr val="black"/>
                </a:solidFill>
                <a:latin typeface="Calibri Light" panose="020F0302020204030204" pitchFamily="34" charset="0"/>
                <a:cs typeface="Calibri Light" panose="020F0302020204030204" pitchFamily="34" charset="0"/>
              </a:rPr>
              <a:t>Ziel/Objectifs</a:t>
            </a:r>
          </a:p>
        </xdr:txBody>
      </xdr:sp>
      <xdr:sp macro="" textlink="">
        <xdr:nvSpPr>
          <xdr:cNvPr id="22" name="Freeform 10">
            <a:extLst>
              <a:ext uri="{FF2B5EF4-FFF2-40B4-BE49-F238E27FC236}">
                <a16:creationId xmlns:a16="http://schemas.microsoft.com/office/drawing/2014/main" id="{00000000-0008-0000-0400-000016000000}"/>
              </a:ext>
            </a:extLst>
          </xdr:cNvPr>
          <xdr:cNvSpPr>
            <a:spLocks noChangeArrowheads="1"/>
          </xdr:cNvSpPr>
        </xdr:nvSpPr>
        <xdr:spPr bwMode="auto">
          <a:xfrm>
            <a:off x="2888743" y="11511754"/>
            <a:ext cx="145878" cy="233708"/>
          </a:xfrm>
          <a:custGeom>
            <a:avLst/>
            <a:gdLst>
              <a:gd name="connsiteX0" fmla="*/ 252413 w 561616"/>
              <a:gd name="connsiteY0" fmla="*/ 533400 h 899752"/>
              <a:gd name="connsiteX1" fmla="*/ 309199 w 561616"/>
              <a:gd name="connsiteY1" fmla="*/ 533400 h 899752"/>
              <a:gd name="connsiteX2" fmla="*/ 309199 w 561616"/>
              <a:gd name="connsiteY2" fmla="*/ 590188 h 899752"/>
              <a:gd name="connsiteX3" fmla="*/ 252413 w 561616"/>
              <a:gd name="connsiteY3" fmla="*/ 590188 h 899752"/>
              <a:gd name="connsiteX4" fmla="*/ 252763 w 561616"/>
              <a:gd name="connsiteY4" fmla="*/ 478263 h 899752"/>
              <a:gd name="connsiteX5" fmla="*/ 252763 w 561616"/>
              <a:gd name="connsiteY5" fmla="*/ 490131 h 899752"/>
              <a:gd name="connsiteX6" fmla="*/ 153527 w 561616"/>
              <a:gd name="connsiteY6" fmla="*/ 589389 h 899752"/>
              <a:gd name="connsiteX7" fmla="*/ 112179 w 561616"/>
              <a:gd name="connsiteY7" fmla="*/ 688648 h 899752"/>
              <a:gd name="connsiteX8" fmla="*/ 112179 w 561616"/>
              <a:gd name="connsiteY8" fmla="*/ 703033 h 899752"/>
              <a:gd name="connsiteX9" fmla="*/ 252763 w 561616"/>
              <a:gd name="connsiteY9" fmla="*/ 646931 h 899752"/>
              <a:gd name="connsiteX10" fmla="*/ 308853 w 561616"/>
              <a:gd name="connsiteY10" fmla="*/ 646931 h 899752"/>
              <a:gd name="connsiteX11" fmla="*/ 449436 w 561616"/>
              <a:gd name="connsiteY11" fmla="*/ 703033 h 899752"/>
              <a:gd name="connsiteX12" fmla="*/ 449436 w 561616"/>
              <a:gd name="connsiteY12" fmla="*/ 688648 h 899752"/>
              <a:gd name="connsiteX13" fmla="*/ 408088 w 561616"/>
              <a:gd name="connsiteY13" fmla="*/ 589389 h 899752"/>
              <a:gd name="connsiteX14" fmla="*/ 308853 w 561616"/>
              <a:gd name="connsiteY14" fmla="*/ 490131 h 899752"/>
              <a:gd name="connsiteX15" fmla="*/ 308853 w 561616"/>
              <a:gd name="connsiteY15" fmla="*/ 478263 h 899752"/>
              <a:gd name="connsiteX16" fmla="*/ 56089 w 561616"/>
              <a:gd name="connsiteY16" fmla="*/ 141287 h 899752"/>
              <a:gd name="connsiteX17" fmla="*/ 112179 w 561616"/>
              <a:gd name="connsiteY17" fmla="*/ 141287 h 899752"/>
              <a:gd name="connsiteX18" fmla="*/ 112179 w 561616"/>
              <a:gd name="connsiteY18" fmla="*/ 212135 h 899752"/>
              <a:gd name="connsiteX19" fmla="*/ 152089 w 561616"/>
              <a:gd name="connsiteY19" fmla="*/ 309955 h 899752"/>
              <a:gd name="connsiteX20" fmla="*/ 409526 w 561616"/>
              <a:gd name="connsiteY20" fmla="*/ 309955 h 899752"/>
              <a:gd name="connsiteX21" fmla="*/ 449436 w 561616"/>
              <a:gd name="connsiteY21" fmla="*/ 212135 h 899752"/>
              <a:gd name="connsiteX22" fmla="*/ 449436 w 561616"/>
              <a:gd name="connsiteY22" fmla="*/ 141287 h 899752"/>
              <a:gd name="connsiteX23" fmla="*/ 505526 w 561616"/>
              <a:gd name="connsiteY23" fmla="*/ 141287 h 899752"/>
              <a:gd name="connsiteX24" fmla="*/ 505526 w 561616"/>
              <a:gd name="connsiteY24" fmla="*/ 212135 h 899752"/>
              <a:gd name="connsiteX25" fmla="*/ 447998 w 561616"/>
              <a:gd name="connsiteY25" fmla="*/ 350953 h 899752"/>
              <a:gd name="connsiteX26" fmla="*/ 364942 w 561616"/>
              <a:gd name="connsiteY26" fmla="*/ 434028 h 899752"/>
              <a:gd name="connsiteX27" fmla="*/ 364942 w 561616"/>
              <a:gd name="connsiteY27" fmla="*/ 466755 h 899752"/>
              <a:gd name="connsiteX28" fmla="*/ 447998 w 561616"/>
              <a:gd name="connsiteY28" fmla="*/ 549830 h 899752"/>
              <a:gd name="connsiteX29" fmla="*/ 505526 w 561616"/>
              <a:gd name="connsiteY29" fmla="*/ 688648 h 899752"/>
              <a:gd name="connsiteX30" fmla="*/ 505526 w 561616"/>
              <a:gd name="connsiteY30" fmla="*/ 787547 h 899752"/>
              <a:gd name="connsiteX31" fmla="*/ 561616 w 561616"/>
              <a:gd name="connsiteY31" fmla="*/ 787547 h 899752"/>
              <a:gd name="connsiteX32" fmla="*/ 561616 w 561616"/>
              <a:gd name="connsiteY32" fmla="*/ 899752 h 899752"/>
              <a:gd name="connsiteX33" fmla="*/ 0 w 561616"/>
              <a:gd name="connsiteY33" fmla="*/ 899752 h 899752"/>
              <a:gd name="connsiteX34" fmla="*/ 0 w 561616"/>
              <a:gd name="connsiteY34" fmla="*/ 787547 h 899752"/>
              <a:gd name="connsiteX35" fmla="*/ 56089 w 561616"/>
              <a:gd name="connsiteY35" fmla="*/ 787547 h 899752"/>
              <a:gd name="connsiteX36" fmla="*/ 56089 w 561616"/>
              <a:gd name="connsiteY36" fmla="*/ 688648 h 899752"/>
              <a:gd name="connsiteX37" fmla="*/ 113977 w 561616"/>
              <a:gd name="connsiteY37" fmla="*/ 549830 h 899752"/>
              <a:gd name="connsiteX38" fmla="*/ 196673 w 561616"/>
              <a:gd name="connsiteY38" fmla="*/ 466755 h 899752"/>
              <a:gd name="connsiteX39" fmla="*/ 196673 w 561616"/>
              <a:gd name="connsiteY39" fmla="*/ 434028 h 899752"/>
              <a:gd name="connsiteX40" fmla="*/ 113977 w 561616"/>
              <a:gd name="connsiteY40" fmla="*/ 350953 h 899752"/>
              <a:gd name="connsiteX41" fmla="*/ 56089 w 561616"/>
              <a:gd name="connsiteY41" fmla="*/ 212135 h 899752"/>
              <a:gd name="connsiteX42" fmla="*/ 0 w 561616"/>
              <a:gd name="connsiteY42" fmla="*/ 0 h 899752"/>
              <a:gd name="connsiteX43" fmla="*/ 561616 w 561616"/>
              <a:gd name="connsiteY43" fmla="*/ 0 h 899752"/>
              <a:gd name="connsiteX44" fmla="*/ 561616 w 561616"/>
              <a:gd name="connsiteY44" fmla="*/ 112352 h 899752"/>
              <a:gd name="connsiteX45" fmla="*/ 0 w 561616"/>
              <a:gd name="connsiteY45" fmla="*/ 112352 h 89975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Lst>
            <a:rect l="l" t="t" r="r" b="b"/>
            <a:pathLst>
              <a:path w="561616" h="899752">
                <a:moveTo>
                  <a:pt x="252413" y="533400"/>
                </a:moveTo>
                <a:lnTo>
                  <a:pt x="309199" y="533400"/>
                </a:lnTo>
                <a:lnTo>
                  <a:pt x="309199" y="590188"/>
                </a:lnTo>
                <a:lnTo>
                  <a:pt x="252413" y="590188"/>
                </a:lnTo>
                <a:close/>
                <a:moveTo>
                  <a:pt x="252763" y="478263"/>
                </a:moveTo>
                <a:lnTo>
                  <a:pt x="252763" y="490131"/>
                </a:lnTo>
                <a:lnTo>
                  <a:pt x="153527" y="589389"/>
                </a:lnTo>
                <a:cubicBezTo>
                  <a:pt x="126921" y="616002"/>
                  <a:pt x="112179" y="651246"/>
                  <a:pt x="112179" y="688648"/>
                </a:cubicBezTo>
                <a:lnTo>
                  <a:pt x="112179" y="703033"/>
                </a:lnTo>
                <a:lnTo>
                  <a:pt x="252763" y="646931"/>
                </a:lnTo>
                <a:lnTo>
                  <a:pt x="308853" y="646931"/>
                </a:lnTo>
                <a:lnTo>
                  <a:pt x="449436" y="703033"/>
                </a:lnTo>
                <a:lnTo>
                  <a:pt x="449436" y="688648"/>
                </a:lnTo>
                <a:cubicBezTo>
                  <a:pt x="449436" y="651246"/>
                  <a:pt x="434695" y="616002"/>
                  <a:pt x="408088" y="589389"/>
                </a:cubicBezTo>
                <a:lnTo>
                  <a:pt x="308853" y="490131"/>
                </a:lnTo>
                <a:lnTo>
                  <a:pt x="308853" y="478263"/>
                </a:lnTo>
                <a:close/>
                <a:moveTo>
                  <a:pt x="56089" y="141287"/>
                </a:moveTo>
                <a:lnTo>
                  <a:pt x="112179" y="141287"/>
                </a:lnTo>
                <a:lnTo>
                  <a:pt x="112179" y="212135"/>
                </a:lnTo>
                <a:cubicBezTo>
                  <a:pt x="112179" y="248817"/>
                  <a:pt x="126561" y="283701"/>
                  <a:pt x="152089" y="309955"/>
                </a:cubicBezTo>
                <a:lnTo>
                  <a:pt x="409526" y="309955"/>
                </a:lnTo>
                <a:cubicBezTo>
                  <a:pt x="435054" y="283701"/>
                  <a:pt x="449436" y="248817"/>
                  <a:pt x="449436" y="212135"/>
                </a:cubicBezTo>
                <a:lnTo>
                  <a:pt x="449436" y="141287"/>
                </a:lnTo>
                <a:lnTo>
                  <a:pt x="505526" y="141287"/>
                </a:lnTo>
                <a:lnTo>
                  <a:pt x="505526" y="212135"/>
                </a:lnTo>
                <a:cubicBezTo>
                  <a:pt x="505526" y="264641"/>
                  <a:pt x="485032" y="313911"/>
                  <a:pt x="447998" y="350953"/>
                </a:cubicBezTo>
                <a:lnTo>
                  <a:pt x="364942" y="434028"/>
                </a:lnTo>
                <a:lnTo>
                  <a:pt x="364942" y="466755"/>
                </a:lnTo>
                <a:lnTo>
                  <a:pt x="447998" y="549830"/>
                </a:lnTo>
                <a:cubicBezTo>
                  <a:pt x="485032" y="586872"/>
                  <a:pt x="505526" y="636142"/>
                  <a:pt x="505526" y="688648"/>
                </a:cubicBezTo>
                <a:lnTo>
                  <a:pt x="505526" y="787547"/>
                </a:lnTo>
                <a:lnTo>
                  <a:pt x="561616" y="787547"/>
                </a:lnTo>
                <a:lnTo>
                  <a:pt x="561616" y="899752"/>
                </a:lnTo>
                <a:lnTo>
                  <a:pt x="0" y="899752"/>
                </a:lnTo>
                <a:lnTo>
                  <a:pt x="0" y="787547"/>
                </a:lnTo>
                <a:lnTo>
                  <a:pt x="56089" y="787547"/>
                </a:lnTo>
                <a:lnTo>
                  <a:pt x="56089" y="688648"/>
                </a:lnTo>
                <a:cubicBezTo>
                  <a:pt x="56089" y="636142"/>
                  <a:pt x="76584" y="586872"/>
                  <a:pt x="113977" y="549830"/>
                </a:cubicBezTo>
                <a:lnTo>
                  <a:pt x="196673" y="466755"/>
                </a:lnTo>
                <a:lnTo>
                  <a:pt x="196673" y="434028"/>
                </a:lnTo>
                <a:lnTo>
                  <a:pt x="113977" y="350953"/>
                </a:lnTo>
                <a:cubicBezTo>
                  <a:pt x="76584" y="313911"/>
                  <a:pt x="56089" y="264641"/>
                  <a:pt x="56089" y="212135"/>
                </a:cubicBezTo>
                <a:close/>
                <a:moveTo>
                  <a:pt x="0" y="0"/>
                </a:moveTo>
                <a:lnTo>
                  <a:pt x="561616" y="0"/>
                </a:lnTo>
                <a:lnTo>
                  <a:pt x="561616" y="112352"/>
                </a:lnTo>
                <a:lnTo>
                  <a:pt x="0" y="112352"/>
                </a:lnTo>
                <a:close/>
              </a:path>
            </a:pathLst>
          </a:custGeom>
          <a:solidFill>
            <a:sysClr val="window" lastClr="FFFFFF"/>
          </a:solidFill>
          <a:ln>
            <a:noFill/>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endParaRPr lang="en-US" sz="1100">
              <a:latin typeface="Calibri Light" panose="020F0302020204030204" pitchFamily="34" charset="0"/>
              <a:cs typeface="Calibri Light" panose="020F0302020204030204" pitchFamily="34" charset="0"/>
            </a:endParaRPr>
          </a:p>
        </xdr:txBody>
      </xdr:sp>
    </xdr:grpSp>
    <xdr:clientData fLocksWithSheet="0"/>
  </xdr:twoCellAnchor>
  <xdr:twoCellAnchor>
    <xdr:from>
      <xdr:col>3</xdr:col>
      <xdr:colOff>3931908</xdr:colOff>
      <xdr:row>3</xdr:row>
      <xdr:rowOff>120650</xdr:rowOff>
    </xdr:from>
    <xdr:to>
      <xdr:col>4</xdr:col>
      <xdr:colOff>2960</xdr:colOff>
      <xdr:row>34</xdr:row>
      <xdr:rowOff>173728</xdr:rowOff>
    </xdr:to>
    <xdr:grpSp>
      <xdr:nvGrpSpPr>
        <xdr:cNvPr id="23" name="Gruppieren 22">
          <a:extLst>
            <a:ext uri="{FF2B5EF4-FFF2-40B4-BE49-F238E27FC236}">
              <a16:creationId xmlns:a16="http://schemas.microsoft.com/office/drawing/2014/main" id="{00000000-0008-0000-0400-000017000000}"/>
            </a:ext>
          </a:extLst>
        </xdr:cNvPr>
        <xdr:cNvGrpSpPr/>
      </xdr:nvGrpSpPr>
      <xdr:grpSpPr>
        <a:xfrm>
          <a:off x="4899648" y="1050290"/>
          <a:ext cx="2212772" cy="5615678"/>
          <a:chOff x="4839958" y="6153150"/>
          <a:chExt cx="2176577" cy="5660128"/>
        </a:xfrm>
      </xdr:grpSpPr>
      <xdr:sp macro="" textlink="">
        <xdr:nvSpPr>
          <xdr:cNvPr id="24" name="Eingekerbter Richtungspfeil 3">
            <a:extLst>
              <a:ext uri="{FF2B5EF4-FFF2-40B4-BE49-F238E27FC236}">
                <a16:creationId xmlns:a16="http://schemas.microsoft.com/office/drawing/2014/main" id="{00000000-0008-0000-0400-000018000000}"/>
              </a:ext>
            </a:extLst>
          </xdr:cNvPr>
          <xdr:cNvSpPr/>
        </xdr:nvSpPr>
        <xdr:spPr>
          <a:xfrm>
            <a:off x="5288016" y="6153150"/>
            <a:ext cx="1728519" cy="540000"/>
          </a:xfrm>
          <a:prstGeom prst="chevron">
            <a:avLst>
              <a:gd name="adj" fmla="val 25921"/>
            </a:avLst>
          </a:prstGeom>
          <a:solidFill>
            <a:srgbClr val="6C88B7"/>
          </a:solidFill>
          <a:ln w="25400" cap="flat" cmpd="sng" algn="ctr">
            <a:noFill/>
            <a:prstDash val="solid"/>
          </a:ln>
          <a:effectLst/>
        </xdr:spPr>
        <xdr:txBody>
          <a:bodyPr rot="0" spcFirstLastPara="0" vert="horz" wrap="square" lIns="108000" tIns="36000" rIns="7200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fr-CH" sz="12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Phase 3</a:t>
            </a:r>
          </a:p>
        </xdr:txBody>
      </xdr:sp>
      <xdr:sp macro="" textlink="">
        <xdr:nvSpPr>
          <xdr:cNvPr id="25" name="Eingekerbter Richtungspfeil 3">
            <a:extLst>
              <a:ext uri="{FF2B5EF4-FFF2-40B4-BE49-F238E27FC236}">
                <a16:creationId xmlns:a16="http://schemas.microsoft.com/office/drawing/2014/main" id="{00000000-0008-0000-0400-000019000000}"/>
              </a:ext>
            </a:extLst>
          </xdr:cNvPr>
          <xdr:cNvSpPr/>
        </xdr:nvSpPr>
        <xdr:spPr>
          <a:xfrm>
            <a:off x="4856712" y="6153150"/>
            <a:ext cx="651942" cy="540000"/>
          </a:xfrm>
          <a:prstGeom prst="chevron">
            <a:avLst>
              <a:gd name="adj" fmla="val 25921"/>
            </a:avLst>
          </a:prstGeom>
          <a:solidFill>
            <a:srgbClr val="5273A8"/>
          </a:solidFill>
          <a:ln w="25400" cap="flat" cmpd="sng" algn="ctr">
            <a:noFill/>
            <a:prstDash val="solid"/>
          </a:ln>
          <a:effectLst/>
        </xdr:spPr>
        <xdr:txBody>
          <a:bodyPr rot="0" spcFirstLastPara="0" vert="horz" wrap="square" lIns="36000" tIns="36000" rIns="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de-CH" sz="20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03</a:t>
            </a:r>
            <a:endParaRPr lang="fr-CH" sz="20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endParaRPr>
          </a:p>
        </xdr:txBody>
      </xdr:sp>
      <xdr:sp macro="" textlink="">
        <xdr:nvSpPr>
          <xdr:cNvPr id="26" name="Textfeld 12">
            <a:extLst>
              <a:ext uri="{FF2B5EF4-FFF2-40B4-BE49-F238E27FC236}">
                <a16:creationId xmlns:a16="http://schemas.microsoft.com/office/drawing/2014/main" id="{00000000-0008-0000-0400-00001A000000}"/>
              </a:ext>
            </a:extLst>
          </xdr:cNvPr>
          <xdr:cNvSpPr txBox="1"/>
        </xdr:nvSpPr>
        <xdr:spPr>
          <a:xfrm>
            <a:off x="4852791" y="7650460"/>
            <a:ext cx="2016000" cy="2268000"/>
          </a:xfrm>
          <a:prstGeom prst="rect">
            <a:avLst/>
          </a:prstGeom>
          <a:gradFill flip="none" rotWithShape="1">
            <a:gsLst>
              <a:gs pos="9000">
                <a:srgbClr val="8BA2C7"/>
              </a:gs>
              <a:gs pos="100000">
                <a:srgbClr val="D5DDEB"/>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Activité 1</a:t>
            </a:r>
          </a:p>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Aktivität 2</a:t>
            </a:r>
          </a:p>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t>
            </a:r>
          </a:p>
        </xdr:txBody>
      </xdr:sp>
      <xdr:sp macro="" textlink="">
        <xdr:nvSpPr>
          <xdr:cNvPr id="27" name="Textfeld 18">
            <a:extLst>
              <a:ext uri="{FF2B5EF4-FFF2-40B4-BE49-F238E27FC236}">
                <a16:creationId xmlns:a16="http://schemas.microsoft.com/office/drawing/2014/main" id="{00000000-0008-0000-0400-00001B000000}"/>
              </a:ext>
            </a:extLst>
          </xdr:cNvPr>
          <xdr:cNvSpPr txBox="1"/>
        </xdr:nvSpPr>
        <xdr:spPr>
          <a:xfrm>
            <a:off x="4852791" y="9991585"/>
            <a:ext cx="2016000" cy="1368000"/>
          </a:xfrm>
          <a:prstGeom prst="rect">
            <a:avLst/>
          </a:prstGeom>
          <a:gradFill flip="none" rotWithShape="1">
            <a:gsLst>
              <a:gs pos="9000">
                <a:srgbClr val="8BA2C7"/>
              </a:gs>
              <a:gs pos="100000">
                <a:srgbClr val="D5DDEB"/>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marR="0" lvl="0" indent="-90488" algn="l" defTabSz="457200" rtl="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120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Résultat 1</a:t>
            </a:r>
          </a:p>
          <a:p>
            <a:pPr marL="90488" marR="0" lvl="0" indent="-90488" algn="l" defTabSz="457200" rtl="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120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Résultat 2</a:t>
            </a:r>
          </a:p>
        </xdr:txBody>
      </xdr:sp>
      <xdr:sp macro="" textlink="">
        <xdr:nvSpPr>
          <xdr:cNvPr id="28" name="Eingekerbter Richtungspfeil 3">
            <a:extLst>
              <a:ext uri="{FF2B5EF4-FFF2-40B4-BE49-F238E27FC236}">
                <a16:creationId xmlns:a16="http://schemas.microsoft.com/office/drawing/2014/main" id="{00000000-0008-0000-0400-00001C000000}"/>
              </a:ext>
            </a:extLst>
          </xdr:cNvPr>
          <xdr:cNvSpPr/>
        </xdr:nvSpPr>
        <xdr:spPr>
          <a:xfrm>
            <a:off x="4839958" y="11443938"/>
            <a:ext cx="2088000" cy="369340"/>
          </a:xfrm>
          <a:prstGeom prst="chevron">
            <a:avLst>
              <a:gd name="adj" fmla="val 25921"/>
            </a:avLst>
          </a:prstGeom>
          <a:solidFill>
            <a:srgbClr val="6C88B7"/>
          </a:solidFill>
          <a:ln w="25400" cap="flat" cmpd="sng" algn="ctr">
            <a:noFill/>
            <a:prstDash val="solid"/>
          </a:ln>
          <a:effectLst/>
        </xdr:spPr>
        <xdr:txBody>
          <a:bodyPr rot="0" spcFirstLastPara="0" vert="horz" wrap="square" lIns="324000" tIns="36000" rIns="7200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de-CH" sz="14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30.01.2023</a:t>
            </a:r>
            <a:endParaRPr lang="fr-CH" sz="14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endParaRPr>
          </a:p>
        </xdr:txBody>
      </xdr:sp>
      <xdr:sp macro="" textlink="">
        <xdr:nvSpPr>
          <xdr:cNvPr id="29" name="Textfeld 18">
            <a:extLst>
              <a:ext uri="{FF2B5EF4-FFF2-40B4-BE49-F238E27FC236}">
                <a16:creationId xmlns:a16="http://schemas.microsoft.com/office/drawing/2014/main" id="{00000000-0008-0000-0400-00001D000000}"/>
              </a:ext>
            </a:extLst>
          </xdr:cNvPr>
          <xdr:cNvSpPr txBox="1"/>
        </xdr:nvSpPr>
        <xdr:spPr>
          <a:xfrm>
            <a:off x="4852791" y="6781092"/>
            <a:ext cx="2016000" cy="792000"/>
          </a:xfrm>
          <a:prstGeom prst="rect">
            <a:avLst/>
          </a:prstGeom>
          <a:gradFill flip="none" rotWithShape="1">
            <a:gsLst>
              <a:gs pos="9000">
                <a:srgbClr val="8BA2C7"/>
              </a:gs>
              <a:gs pos="100000">
                <a:srgbClr val="D5DDEB"/>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0" indent="0" algn="l" defTabSz="457200" fontAlgn="auto">
              <a:spcBef>
                <a:spcPts val="0"/>
              </a:spcBef>
              <a:spcAft>
                <a:spcPts val="0"/>
              </a:spcAft>
              <a:buNone/>
            </a:pPr>
            <a:r>
              <a:rPr lang="fr-CH" sz="1100" b="0">
                <a:solidFill>
                  <a:prstClr val="black"/>
                </a:solidFill>
                <a:latin typeface="Calibri Light" panose="020F0302020204030204" pitchFamily="34" charset="0"/>
                <a:cs typeface="Calibri Light" panose="020F0302020204030204" pitchFamily="34" charset="0"/>
              </a:rPr>
              <a:t>Ziel/Objectifs</a:t>
            </a:r>
          </a:p>
        </xdr:txBody>
      </xdr:sp>
      <xdr:sp macro="" textlink="">
        <xdr:nvSpPr>
          <xdr:cNvPr id="30" name="Freeform 10">
            <a:extLst>
              <a:ext uri="{FF2B5EF4-FFF2-40B4-BE49-F238E27FC236}">
                <a16:creationId xmlns:a16="http://schemas.microsoft.com/office/drawing/2014/main" id="{00000000-0008-0000-0400-00001E000000}"/>
              </a:ext>
            </a:extLst>
          </xdr:cNvPr>
          <xdr:cNvSpPr>
            <a:spLocks noChangeArrowheads="1"/>
          </xdr:cNvSpPr>
        </xdr:nvSpPr>
        <xdr:spPr bwMode="auto">
          <a:xfrm>
            <a:off x="4988873" y="11504622"/>
            <a:ext cx="145878" cy="233708"/>
          </a:xfrm>
          <a:custGeom>
            <a:avLst/>
            <a:gdLst>
              <a:gd name="connsiteX0" fmla="*/ 252413 w 561616"/>
              <a:gd name="connsiteY0" fmla="*/ 533400 h 899752"/>
              <a:gd name="connsiteX1" fmla="*/ 309199 w 561616"/>
              <a:gd name="connsiteY1" fmla="*/ 533400 h 899752"/>
              <a:gd name="connsiteX2" fmla="*/ 309199 w 561616"/>
              <a:gd name="connsiteY2" fmla="*/ 590188 h 899752"/>
              <a:gd name="connsiteX3" fmla="*/ 252413 w 561616"/>
              <a:gd name="connsiteY3" fmla="*/ 590188 h 899752"/>
              <a:gd name="connsiteX4" fmla="*/ 252763 w 561616"/>
              <a:gd name="connsiteY4" fmla="*/ 478263 h 899752"/>
              <a:gd name="connsiteX5" fmla="*/ 252763 w 561616"/>
              <a:gd name="connsiteY5" fmla="*/ 490131 h 899752"/>
              <a:gd name="connsiteX6" fmla="*/ 153527 w 561616"/>
              <a:gd name="connsiteY6" fmla="*/ 589389 h 899752"/>
              <a:gd name="connsiteX7" fmla="*/ 112179 w 561616"/>
              <a:gd name="connsiteY7" fmla="*/ 688648 h 899752"/>
              <a:gd name="connsiteX8" fmla="*/ 112179 w 561616"/>
              <a:gd name="connsiteY8" fmla="*/ 703033 h 899752"/>
              <a:gd name="connsiteX9" fmla="*/ 252763 w 561616"/>
              <a:gd name="connsiteY9" fmla="*/ 646931 h 899752"/>
              <a:gd name="connsiteX10" fmla="*/ 308853 w 561616"/>
              <a:gd name="connsiteY10" fmla="*/ 646931 h 899752"/>
              <a:gd name="connsiteX11" fmla="*/ 449436 w 561616"/>
              <a:gd name="connsiteY11" fmla="*/ 703033 h 899752"/>
              <a:gd name="connsiteX12" fmla="*/ 449436 w 561616"/>
              <a:gd name="connsiteY12" fmla="*/ 688648 h 899752"/>
              <a:gd name="connsiteX13" fmla="*/ 408088 w 561616"/>
              <a:gd name="connsiteY13" fmla="*/ 589389 h 899752"/>
              <a:gd name="connsiteX14" fmla="*/ 308853 w 561616"/>
              <a:gd name="connsiteY14" fmla="*/ 490131 h 899752"/>
              <a:gd name="connsiteX15" fmla="*/ 308853 w 561616"/>
              <a:gd name="connsiteY15" fmla="*/ 478263 h 899752"/>
              <a:gd name="connsiteX16" fmla="*/ 56089 w 561616"/>
              <a:gd name="connsiteY16" fmla="*/ 141287 h 899752"/>
              <a:gd name="connsiteX17" fmla="*/ 112179 w 561616"/>
              <a:gd name="connsiteY17" fmla="*/ 141287 h 899752"/>
              <a:gd name="connsiteX18" fmla="*/ 112179 w 561616"/>
              <a:gd name="connsiteY18" fmla="*/ 212135 h 899752"/>
              <a:gd name="connsiteX19" fmla="*/ 152089 w 561616"/>
              <a:gd name="connsiteY19" fmla="*/ 309955 h 899752"/>
              <a:gd name="connsiteX20" fmla="*/ 409526 w 561616"/>
              <a:gd name="connsiteY20" fmla="*/ 309955 h 899752"/>
              <a:gd name="connsiteX21" fmla="*/ 449436 w 561616"/>
              <a:gd name="connsiteY21" fmla="*/ 212135 h 899752"/>
              <a:gd name="connsiteX22" fmla="*/ 449436 w 561616"/>
              <a:gd name="connsiteY22" fmla="*/ 141287 h 899752"/>
              <a:gd name="connsiteX23" fmla="*/ 505526 w 561616"/>
              <a:gd name="connsiteY23" fmla="*/ 141287 h 899752"/>
              <a:gd name="connsiteX24" fmla="*/ 505526 w 561616"/>
              <a:gd name="connsiteY24" fmla="*/ 212135 h 899752"/>
              <a:gd name="connsiteX25" fmla="*/ 447998 w 561616"/>
              <a:gd name="connsiteY25" fmla="*/ 350953 h 899752"/>
              <a:gd name="connsiteX26" fmla="*/ 364942 w 561616"/>
              <a:gd name="connsiteY26" fmla="*/ 434028 h 899752"/>
              <a:gd name="connsiteX27" fmla="*/ 364942 w 561616"/>
              <a:gd name="connsiteY27" fmla="*/ 466755 h 899752"/>
              <a:gd name="connsiteX28" fmla="*/ 447998 w 561616"/>
              <a:gd name="connsiteY28" fmla="*/ 549830 h 899752"/>
              <a:gd name="connsiteX29" fmla="*/ 505526 w 561616"/>
              <a:gd name="connsiteY29" fmla="*/ 688648 h 899752"/>
              <a:gd name="connsiteX30" fmla="*/ 505526 w 561616"/>
              <a:gd name="connsiteY30" fmla="*/ 787547 h 899752"/>
              <a:gd name="connsiteX31" fmla="*/ 561616 w 561616"/>
              <a:gd name="connsiteY31" fmla="*/ 787547 h 899752"/>
              <a:gd name="connsiteX32" fmla="*/ 561616 w 561616"/>
              <a:gd name="connsiteY32" fmla="*/ 899752 h 899752"/>
              <a:gd name="connsiteX33" fmla="*/ 0 w 561616"/>
              <a:gd name="connsiteY33" fmla="*/ 899752 h 899752"/>
              <a:gd name="connsiteX34" fmla="*/ 0 w 561616"/>
              <a:gd name="connsiteY34" fmla="*/ 787547 h 899752"/>
              <a:gd name="connsiteX35" fmla="*/ 56089 w 561616"/>
              <a:gd name="connsiteY35" fmla="*/ 787547 h 899752"/>
              <a:gd name="connsiteX36" fmla="*/ 56089 w 561616"/>
              <a:gd name="connsiteY36" fmla="*/ 688648 h 899752"/>
              <a:gd name="connsiteX37" fmla="*/ 113977 w 561616"/>
              <a:gd name="connsiteY37" fmla="*/ 549830 h 899752"/>
              <a:gd name="connsiteX38" fmla="*/ 196673 w 561616"/>
              <a:gd name="connsiteY38" fmla="*/ 466755 h 899752"/>
              <a:gd name="connsiteX39" fmla="*/ 196673 w 561616"/>
              <a:gd name="connsiteY39" fmla="*/ 434028 h 899752"/>
              <a:gd name="connsiteX40" fmla="*/ 113977 w 561616"/>
              <a:gd name="connsiteY40" fmla="*/ 350953 h 899752"/>
              <a:gd name="connsiteX41" fmla="*/ 56089 w 561616"/>
              <a:gd name="connsiteY41" fmla="*/ 212135 h 899752"/>
              <a:gd name="connsiteX42" fmla="*/ 0 w 561616"/>
              <a:gd name="connsiteY42" fmla="*/ 0 h 899752"/>
              <a:gd name="connsiteX43" fmla="*/ 561616 w 561616"/>
              <a:gd name="connsiteY43" fmla="*/ 0 h 899752"/>
              <a:gd name="connsiteX44" fmla="*/ 561616 w 561616"/>
              <a:gd name="connsiteY44" fmla="*/ 112352 h 899752"/>
              <a:gd name="connsiteX45" fmla="*/ 0 w 561616"/>
              <a:gd name="connsiteY45" fmla="*/ 112352 h 89975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Lst>
            <a:rect l="l" t="t" r="r" b="b"/>
            <a:pathLst>
              <a:path w="561616" h="899752">
                <a:moveTo>
                  <a:pt x="252413" y="533400"/>
                </a:moveTo>
                <a:lnTo>
                  <a:pt x="309199" y="533400"/>
                </a:lnTo>
                <a:lnTo>
                  <a:pt x="309199" y="590188"/>
                </a:lnTo>
                <a:lnTo>
                  <a:pt x="252413" y="590188"/>
                </a:lnTo>
                <a:close/>
                <a:moveTo>
                  <a:pt x="252763" y="478263"/>
                </a:moveTo>
                <a:lnTo>
                  <a:pt x="252763" y="490131"/>
                </a:lnTo>
                <a:lnTo>
                  <a:pt x="153527" y="589389"/>
                </a:lnTo>
                <a:cubicBezTo>
                  <a:pt x="126921" y="616002"/>
                  <a:pt x="112179" y="651246"/>
                  <a:pt x="112179" y="688648"/>
                </a:cubicBezTo>
                <a:lnTo>
                  <a:pt x="112179" y="703033"/>
                </a:lnTo>
                <a:lnTo>
                  <a:pt x="252763" y="646931"/>
                </a:lnTo>
                <a:lnTo>
                  <a:pt x="308853" y="646931"/>
                </a:lnTo>
                <a:lnTo>
                  <a:pt x="449436" y="703033"/>
                </a:lnTo>
                <a:lnTo>
                  <a:pt x="449436" y="688648"/>
                </a:lnTo>
                <a:cubicBezTo>
                  <a:pt x="449436" y="651246"/>
                  <a:pt x="434695" y="616002"/>
                  <a:pt x="408088" y="589389"/>
                </a:cubicBezTo>
                <a:lnTo>
                  <a:pt x="308853" y="490131"/>
                </a:lnTo>
                <a:lnTo>
                  <a:pt x="308853" y="478263"/>
                </a:lnTo>
                <a:close/>
                <a:moveTo>
                  <a:pt x="56089" y="141287"/>
                </a:moveTo>
                <a:lnTo>
                  <a:pt x="112179" y="141287"/>
                </a:lnTo>
                <a:lnTo>
                  <a:pt x="112179" y="212135"/>
                </a:lnTo>
                <a:cubicBezTo>
                  <a:pt x="112179" y="248817"/>
                  <a:pt x="126561" y="283701"/>
                  <a:pt x="152089" y="309955"/>
                </a:cubicBezTo>
                <a:lnTo>
                  <a:pt x="409526" y="309955"/>
                </a:lnTo>
                <a:cubicBezTo>
                  <a:pt x="435054" y="283701"/>
                  <a:pt x="449436" y="248817"/>
                  <a:pt x="449436" y="212135"/>
                </a:cubicBezTo>
                <a:lnTo>
                  <a:pt x="449436" y="141287"/>
                </a:lnTo>
                <a:lnTo>
                  <a:pt x="505526" y="141287"/>
                </a:lnTo>
                <a:lnTo>
                  <a:pt x="505526" y="212135"/>
                </a:lnTo>
                <a:cubicBezTo>
                  <a:pt x="505526" y="264641"/>
                  <a:pt x="485032" y="313911"/>
                  <a:pt x="447998" y="350953"/>
                </a:cubicBezTo>
                <a:lnTo>
                  <a:pt x="364942" y="434028"/>
                </a:lnTo>
                <a:lnTo>
                  <a:pt x="364942" y="466755"/>
                </a:lnTo>
                <a:lnTo>
                  <a:pt x="447998" y="549830"/>
                </a:lnTo>
                <a:cubicBezTo>
                  <a:pt x="485032" y="586872"/>
                  <a:pt x="505526" y="636142"/>
                  <a:pt x="505526" y="688648"/>
                </a:cubicBezTo>
                <a:lnTo>
                  <a:pt x="505526" y="787547"/>
                </a:lnTo>
                <a:lnTo>
                  <a:pt x="561616" y="787547"/>
                </a:lnTo>
                <a:lnTo>
                  <a:pt x="561616" y="899752"/>
                </a:lnTo>
                <a:lnTo>
                  <a:pt x="0" y="899752"/>
                </a:lnTo>
                <a:lnTo>
                  <a:pt x="0" y="787547"/>
                </a:lnTo>
                <a:lnTo>
                  <a:pt x="56089" y="787547"/>
                </a:lnTo>
                <a:lnTo>
                  <a:pt x="56089" y="688648"/>
                </a:lnTo>
                <a:cubicBezTo>
                  <a:pt x="56089" y="636142"/>
                  <a:pt x="76584" y="586872"/>
                  <a:pt x="113977" y="549830"/>
                </a:cubicBezTo>
                <a:lnTo>
                  <a:pt x="196673" y="466755"/>
                </a:lnTo>
                <a:lnTo>
                  <a:pt x="196673" y="434028"/>
                </a:lnTo>
                <a:lnTo>
                  <a:pt x="113977" y="350953"/>
                </a:lnTo>
                <a:cubicBezTo>
                  <a:pt x="76584" y="313911"/>
                  <a:pt x="56089" y="264641"/>
                  <a:pt x="56089" y="212135"/>
                </a:cubicBezTo>
                <a:close/>
                <a:moveTo>
                  <a:pt x="0" y="0"/>
                </a:moveTo>
                <a:lnTo>
                  <a:pt x="561616" y="0"/>
                </a:lnTo>
                <a:lnTo>
                  <a:pt x="561616" y="112352"/>
                </a:lnTo>
                <a:lnTo>
                  <a:pt x="0" y="112352"/>
                </a:lnTo>
                <a:close/>
              </a:path>
            </a:pathLst>
          </a:custGeom>
          <a:solidFill>
            <a:sysClr val="window" lastClr="FFFFFF"/>
          </a:solidFill>
          <a:ln>
            <a:noFill/>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endParaRPr lang="en-US" sz="1100">
              <a:latin typeface="Calibri Light" panose="020F0302020204030204" pitchFamily="34" charset="0"/>
              <a:cs typeface="Calibri Light" panose="020F0302020204030204" pitchFamily="34" charset="0"/>
            </a:endParaRPr>
          </a:p>
        </xdr:txBody>
      </xdr:sp>
    </xdr:grpSp>
    <xdr:clientData fLocksWithSheet="0"/>
  </xdr:twoCellAnchor>
  <xdr:twoCellAnchor>
    <xdr:from>
      <xdr:col>3</xdr:col>
      <xdr:colOff>6184122</xdr:colOff>
      <xdr:row>3</xdr:row>
      <xdr:rowOff>123610</xdr:rowOff>
    </xdr:from>
    <xdr:to>
      <xdr:col>5</xdr:col>
      <xdr:colOff>846425</xdr:colOff>
      <xdr:row>34</xdr:row>
      <xdr:rowOff>173728</xdr:rowOff>
    </xdr:to>
    <xdr:grpSp>
      <xdr:nvGrpSpPr>
        <xdr:cNvPr id="31" name="Gruppieren 30">
          <a:extLst>
            <a:ext uri="{FF2B5EF4-FFF2-40B4-BE49-F238E27FC236}">
              <a16:creationId xmlns:a16="http://schemas.microsoft.com/office/drawing/2014/main" id="{00000000-0008-0000-0400-00001F000000}"/>
            </a:ext>
          </a:extLst>
        </xdr:cNvPr>
        <xdr:cNvGrpSpPr/>
      </xdr:nvGrpSpPr>
      <xdr:grpSpPr>
        <a:xfrm>
          <a:off x="7106142" y="1053250"/>
          <a:ext cx="2091803" cy="5612718"/>
          <a:chOff x="6949297" y="6156110"/>
          <a:chExt cx="2120378" cy="5657168"/>
        </a:xfrm>
      </xdr:grpSpPr>
      <xdr:sp macro="" textlink="">
        <xdr:nvSpPr>
          <xdr:cNvPr id="32" name="Textfeld 13">
            <a:extLst>
              <a:ext uri="{FF2B5EF4-FFF2-40B4-BE49-F238E27FC236}">
                <a16:creationId xmlns:a16="http://schemas.microsoft.com/office/drawing/2014/main" id="{00000000-0008-0000-0400-000020000000}"/>
              </a:ext>
            </a:extLst>
          </xdr:cNvPr>
          <xdr:cNvSpPr txBox="1"/>
        </xdr:nvSpPr>
        <xdr:spPr>
          <a:xfrm>
            <a:off x="6949297" y="7650460"/>
            <a:ext cx="2016000" cy="2268000"/>
          </a:xfrm>
          <a:prstGeom prst="rect">
            <a:avLst/>
          </a:prstGeom>
          <a:gradFill flip="none" rotWithShape="1">
            <a:gsLst>
              <a:gs pos="9000">
                <a:srgbClr val="99A4BD"/>
              </a:gs>
              <a:gs pos="100000">
                <a:srgbClr val="DCE0E8"/>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Activité 1</a:t>
            </a:r>
          </a:p>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Aktivität 2</a:t>
            </a:r>
          </a:p>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t>
            </a:r>
          </a:p>
        </xdr:txBody>
      </xdr:sp>
      <xdr:sp macro="" textlink="">
        <xdr:nvSpPr>
          <xdr:cNvPr id="33" name="Textfeld 20">
            <a:extLst>
              <a:ext uri="{FF2B5EF4-FFF2-40B4-BE49-F238E27FC236}">
                <a16:creationId xmlns:a16="http://schemas.microsoft.com/office/drawing/2014/main" id="{00000000-0008-0000-0400-000021000000}"/>
              </a:ext>
            </a:extLst>
          </xdr:cNvPr>
          <xdr:cNvSpPr txBox="1"/>
        </xdr:nvSpPr>
        <xdr:spPr>
          <a:xfrm>
            <a:off x="6949297" y="9991585"/>
            <a:ext cx="2016000" cy="1368000"/>
          </a:xfrm>
          <a:prstGeom prst="rect">
            <a:avLst/>
          </a:prstGeom>
          <a:gradFill flip="none" rotWithShape="1">
            <a:gsLst>
              <a:gs pos="9000">
                <a:srgbClr val="99A4BD"/>
              </a:gs>
              <a:gs pos="100000">
                <a:srgbClr val="DCE0E8"/>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marR="0" lvl="0" indent="-90488" algn="l" defTabSz="457200" rtl="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120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Résultat 1</a:t>
            </a:r>
          </a:p>
          <a:p>
            <a:pPr marL="90488" marR="0" lvl="0" indent="-90488" algn="l" defTabSz="457200" rtl="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120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Résultat 2</a:t>
            </a:r>
          </a:p>
        </xdr:txBody>
      </xdr:sp>
      <xdr:sp macro="" textlink="">
        <xdr:nvSpPr>
          <xdr:cNvPr id="34" name="Eingekerbter Richtungspfeil 3">
            <a:extLst>
              <a:ext uri="{FF2B5EF4-FFF2-40B4-BE49-F238E27FC236}">
                <a16:creationId xmlns:a16="http://schemas.microsoft.com/office/drawing/2014/main" id="{00000000-0008-0000-0400-000022000000}"/>
              </a:ext>
            </a:extLst>
          </xdr:cNvPr>
          <xdr:cNvSpPr/>
        </xdr:nvSpPr>
        <xdr:spPr>
          <a:xfrm>
            <a:off x="6955875" y="11443938"/>
            <a:ext cx="2088000" cy="369340"/>
          </a:xfrm>
          <a:prstGeom prst="chevron">
            <a:avLst>
              <a:gd name="adj" fmla="val 25921"/>
            </a:avLst>
          </a:prstGeom>
          <a:solidFill>
            <a:srgbClr val="6F7FA1"/>
          </a:solidFill>
          <a:ln w="25400" cap="flat" cmpd="sng" algn="ctr">
            <a:noFill/>
            <a:prstDash val="solid"/>
          </a:ln>
          <a:effectLst/>
        </xdr:spPr>
        <xdr:txBody>
          <a:bodyPr rot="0" spcFirstLastPara="0" vert="horz" wrap="square" lIns="324000" tIns="36000" rIns="7200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fr-CH" sz="14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 28.02.2023</a:t>
            </a:r>
          </a:p>
        </xdr:txBody>
      </xdr:sp>
      <xdr:sp macro="" textlink="">
        <xdr:nvSpPr>
          <xdr:cNvPr id="35" name="Textfeld 20">
            <a:extLst>
              <a:ext uri="{FF2B5EF4-FFF2-40B4-BE49-F238E27FC236}">
                <a16:creationId xmlns:a16="http://schemas.microsoft.com/office/drawing/2014/main" id="{00000000-0008-0000-0400-000023000000}"/>
              </a:ext>
            </a:extLst>
          </xdr:cNvPr>
          <xdr:cNvSpPr txBox="1"/>
        </xdr:nvSpPr>
        <xdr:spPr>
          <a:xfrm>
            <a:off x="6949297" y="6781092"/>
            <a:ext cx="2016000" cy="792000"/>
          </a:xfrm>
          <a:prstGeom prst="rect">
            <a:avLst/>
          </a:prstGeom>
          <a:gradFill flip="none" rotWithShape="1">
            <a:gsLst>
              <a:gs pos="9000">
                <a:srgbClr val="99A4BD"/>
              </a:gs>
              <a:gs pos="100000">
                <a:srgbClr val="DCE0E8"/>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0" indent="0" algn="l" defTabSz="457200" fontAlgn="auto">
              <a:spcBef>
                <a:spcPts val="0"/>
              </a:spcBef>
              <a:spcAft>
                <a:spcPts val="0"/>
              </a:spcAft>
              <a:buNone/>
            </a:pPr>
            <a:r>
              <a:rPr lang="fr-CH" sz="1100" b="0">
                <a:solidFill>
                  <a:prstClr val="black"/>
                </a:solidFill>
                <a:latin typeface="Calibri Light" panose="020F0302020204030204" pitchFamily="34" charset="0"/>
                <a:cs typeface="Calibri Light" panose="020F0302020204030204" pitchFamily="34" charset="0"/>
              </a:rPr>
              <a:t>Ziel/Objectifs</a:t>
            </a:r>
          </a:p>
        </xdr:txBody>
      </xdr:sp>
      <xdr:sp macro="" textlink="">
        <xdr:nvSpPr>
          <xdr:cNvPr id="36" name="Eingekerbter Richtungspfeil 3">
            <a:extLst>
              <a:ext uri="{FF2B5EF4-FFF2-40B4-BE49-F238E27FC236}">
                <a16:creationId xmlns:a16="http://schemas.microsoft.com/office/drawing/2014/main" id="{00000000-0008-0000-0400-000024000000}"/>
              </a:ext>
            </a:extLst>
          </xdr:cNvPr>
          <xdr:cNvSpPr/>
        </xdr:nvSpPr>
        <xdr:spPr>
          <a:xfrm>
            <a:off x="7420695" y="6156110"/>
            <a:ext cx="1648980" cy="540000"/>
          </a:xfrm>
          <a:prstGeom prst="chevron">
            <a:avLst>
              <a:gd name="adj" fmla="val 25921"/>
            </a:avLst>
          </a:prstGeom>
          <a:solidFill>
            <a:srgbClr val="6F7FA1"/>
          </a:solidFill>
          <a:ln w="25400" cap="flat" cmpd="sng" algn="ctr">
            <a:noFill/>
            <a:prstDash val="solid"/>
          </a:ln>
          <a:effectLst/>
        </xdr:spPr>
        <xdr:txBody>
          <a:bodyPr rot="0" spcFirstLastPara="0" vert="horz" wrap="square" lIns="108000" tIns="36000" rIns="7200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fr-CH" sz="12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Phase 4</a:t>
            </a:r>
          </a:p>
        </xdr:txBody>
      </xdr:sp>
      <xdr:sp macro="" textlink="">
        <xdr:nvSpPr>
          <xdr:cNvPr id="37" name="Eingekerbter Richtungspfeil 3">
            <a:extLst>
              <a:ext uri="{FF2B5EF4-FFF2-40B4-BE49-F238E27FC236}">
                <a16:creationId xmlns:a16="http://schemas.microsoft.com/office/drawing/2014/main" id="{00000000-0008-0000-0400-000025000000}"/>
              </a:ext>
            </a:extLst>
          </xdr:cNvPr>
          <xdr:cNvSpPr/>
        </xdr:nvSpPr>
        <xdr:spPr>
          <a:xfrm>
            <a:off x="6956795" y="6156110"/>
            <a:ext cx="703668" cy="540000"/>
          </a:xfrm>
          <a:prstGeom prst="chevron">
            <a:avLst>
              <a:gd name="adj" fmla="val 25921"/>
            </a:avLst>
          </a:prstGeom>
          <a:solidFill>
            <a:srgbClr val="5B6A8B"/>
          </a:solidFill>
          <a:ln w="25400" cap="flat" cmpd="sng" algn="ctr">
            <a:noFill/>
            <a:prstDash val="solid"/>
          </a:ln>
          <a:effectLst/>
        </xdr:spPr>
        <xdr:txBody>
          <a:bodyPr rot="0" spcFirstLastPara="0" vert="horz" wrap="square" lIns="36000" tIns="36000" rIns="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de-CH" sz="20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04</a:t>
            </a:r>
            <a:endParaRPr lang="fr-CH" sz="20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endParaRPr>
          </a:p>
        </xdr:txBody>
      </xdr:sp>
      <xdr:sp macro="" textlink="">
        <xdr:nvSpPr>
          <xdr:cNvPr id="38" name="Freeform 10">
            <a:extLst>
              <a:ext uri="{FF2B5EF4-FFF2-40B4-BE49-F238E27FC236}">
                <a16:creationId xmlns:a16="http://schemas.microsoft.com/office/drawing/2014/main" id="{00000000-0008-0000-0400-000026000000}"/>
              </a:ext>
            </a:extLst>
          </xdr:cNvPr>
          <xdr:cNvSpPr>
            <a:spLocks noChangeArrowheads="1"/>
          </xdr:cNvSpPr>
        </xdr:nvSpPr>
        <xdr:spPr bwMode="auto">
          <a:xfrm>
            <a:off x="7110605" y="11512496"/>
            <a:ext cx="145878" cy="233708"/>
          </a:xfrm>
          <a:custGeom>
            <a:avLst/>
            <a:gdLst>
              <a:gd name="connsiteX0" fmla="*/ 252413 w 561616"/>
              <a:gd name="connsiteY0" fmla="*/ 533400 h 899752"/>
              <a:gd name="connsiteX1" fmla="*/ 309199 w 561616"/>
              <a:gd name="connsiteY1" fmla="*/ 533400 h 899752"/>
              <a:gd name="connsiteX2" fmla="*/ 309199 w 561616"/>
              <a:gd name="connsiteY2" fmla="*/ 590188 h 899752"/>
              <a:gd name="connsiteX3" fmla="*/ 252413 w 561616"/>
              <a:gd name="connsiteY3" fmla="*/ 590188 h 899752"/>
              <a:gd name="connsiteX4" fmla="*/ 252763 w 561616"/>
              <a:gd name="connsiteY4" fmla="*/ 478263 h 899752"/>
              <a:gd name="connsiteX5" fmla="*/ 252763 w 561616"/>
              <a:gd name="connsiteY5" fmla="*/ 490131 h 899752"/>
              <a:gd name="connsiteX6" fmla="*/ 153527 w 561616"/>
              <a:gd name="connsiteY6" fmla="*/ 589389 h 899752"/>
              <a:gd name="connsiteX7" fmla="*/ 112179 w 561616"/>
              <a:gd name="connsiteY7" fmla="*/ 688648 h 899752"/>
              <a:gd name="connsiteX8" fmla="*/ 112179 w 561616"/>
              <a:gd name="connsiteY8" fmla="*/ 703033 h 899752"/>
              <a:gd name="connsiteX9" fmla="*/ 252763 w 561616"/>
              <a:gd name="connsiteY9" fmla="*/ 646931 h 899752"/>
              <a:gd name="connsiteX10" fmla="*/ 308853 w 561616"/>
              <a:gd name="connsiteY10" fmla="*/ 646931 h 899752"/>
              <a:gd name="connsiteX11" fmla="*/ 449436 w 561616"/>
              <a:gd name="connsiteY11" fmla="*/ 703033 h 899752"/>
              <a:gd name="connsiteX12" fmla="*/ 449436 w 561616"/>
              <a:gd name="connsiteY12" fmla="*/ 688648 h 899752"/>
              <a:gd name="connsiteX13" fmla="*/ 408088 w 561616"/>
              <a:gd name="connsiteY13" fmla="*/ 589389 h 899752"/>
              <a:gd name="connsiteX14" fmla="*/ 308853 w 561616"/>
              <a:gd name="connsiteY14" fmla="*/ 490131 h 899752"/>
              <a:gd name="connsiteX15" fmla="*/ 308853 w 561616"/>
              <a:gd name="connsiteY15" fmla="*/ 478263 h 899752"/>
              <a:gd name="connsiteX16" fmla="*/ 56089 w 561616"/>
              <a:gd name="connsiteY16" fmla="*/ 141287 h 899752"/>
              <a:gd name="connsiteX17" fmla="*/ 112179 w 561616"/>
              <a:gd name="connsiteY17" fmla="*/ 141287 h 899752"/>
              <a:gd name="connsiteX18" fmla="*/ 112179 w 561616"/>
              <a:gd name="connsiteY18" fmla="*/ 212135 h 899752"/>
              <a:gd name="connsiteX19" fmla="*/ 152089 w 561616"/>
              <a:gd name="connsiteY19" fmla="*/ 309955 h 899752"/>
              <a:gd name="connsiteX20" fmla="*/ 409526 w 561616"/>
              <a:gd name="connsiteY20" fmla="*/ 309955 h 899752"/>
              <a:gd name="connsiteX21" fmla="*/ 449436 w 561616"/>
              <a:gd name="connsiteY21" fmla="*/ 212135 h 899752"/>
              <a:gd name="connsiteX22" fmla="*/ 449436 w 561616"/>
              <a:gd name="connsiteY22" fmla="*/ 141287 h 899752"/>
              <a:gd name="connsiteX23" fmla="*/ 505526 w 561616"/>
              <a:gd name="connsiteY23" fmla="*/ 141287 h 899752"/>
              <a:gd name="connsiteX24" fmla="*/ 505526 w 561616"/>
              <a:gd name="connsiteY24" fmla="*/ 212135 h 899752"/>
              <a:gd name="connsiteX25" fmla="*/ 447998 w 561616"/>
              <a:gd name="connsiteY25" fmla="*/ 350953 h 899752"/>
              <a:gd name="connsiteX26" fmla="*/ 364942 w 561616"/>
              <a:gd name="connsiteY26" fmla="*/ 434028 h 899752"/>
              <a:gd name="connsiteX27" fmla="*/ 364942 w 561616"/>
              <a:gd name="connsiteY27" fmla="*/ 466755 h 899752"/>
              <a:gd name="connsiteX28" fmla="*/ 447998 w 561616"/>
              <a:gd name="connsiteY28" fmla="*/ 549830 h 899752"/>
              <a:gd name="connsiteX29" fmla="*/ 505526 w 561616"/>
              <a:gd name="connsiteY29" fmla="*/ 688648 h 899752"/>
              <a:gd name="connsiteX30" fmla="*/ 505526 w 561616"/>
              <a:gd name="connsiteY30" fmla="*/ 787547 h 899752"/>
              <a:gd name="connsiteX31" fmla="*/ 561616 w 561616"/>
              <a:gd name="connsiteY31" fmla="*/ 787547 h 899752"/>
              <a:gd name="connsiteX32" fmla="*/ 561616 w 561616"/>
              <a:gd name="connsiteY32" fmla="*/ 899752 h 899752"/>
              <a:gd name="connsiteX33" fmla="*/ 0 w 561616"/>
              <a:gd name="connsiteY33" fmla="*/ 899752 h 899752"/>
              <a:gd name="connsiteX34" fmla="*/ 0 w 561616"/>
              <a:gd name="connsiteY34" fmla="*/ 787547 h 899752"/>
              <a:gd name="connsiteX35" fmla="*/ 56089 w 561616"/>
              <a:gd name="connsiteY35" fmla="*/ 787547 h 899752"/>
              <a:gd name="connsiteX36" fmla="*/ 56089 w 561616"/>
              <a:gd name="connsiteY36" fmla="*/ 688648 h 899752"/>
              <a:gd name="connsiteX37" fmla="*/ 113977 w 561616"/>
              <a:gd name="connsiteY37" fmla="*/ 549830 h 899752"/>
              <a:gd name="connsiteX38" fmla="*/ 196673 w 561616"/>
              <a:gd name="connsiteY38" fmla="*/ 466755 h 899752"/>
              <a:gd name="connsiteX39" fmla="*/ 196673 w 561616"/>
              <a:gd name="connsiteY39" fmla="*/ 434028 h 899752"/>
              <a:gd name="connsiteX40" fmla="*/ 113977 w 561616"/>
              <a:gd name="connsiteY40" fmla="*/ 350953 h 899752"/>
              <a:gd name="connsiteX41" fmla="*/ 56089 w 561616"/>
              <a:gd name="connsiteY41" fmla="*/ 212135 h 899752"/>
              <a:gd name="connsiteX42" fmla="*/ 0 w 561616"/>
              <a:gd name="connsiteY42" fmla="*/ 0 h 899752"/>
              <a:gd name="connsiteX43" fmla="*/ 561616 w 561616"/>
              <a:gd name="connsiteY43" fmla="*/ 0 h 899752"/>
              <a:gd name="connsiteX44" fmla="*/ 561616 w 561616"/>
              <a:gd name="connsiteY44" fmla="*/ 112352 h 899752"/>
              <a:gd name="connsiteX45" fmla="*/ 0 w 561616"/>
              <a:gd name="connsiteY45" fmla="*/ 112352 h 89975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Lst>
            <a:rect l="l" t="t" r="r" b="b"/>
            <a:pathLst>
              <a:path w="561616" h="899752">
                <a:moveTo>
                  <a:pt x="252413" y="533400"/>
                </a:moveTo>
                <a:lnTo>
                  <a:pt x="309199" y="533400"/>
                </a:lnTo>
                <a:lnTo>
                  <a:pt x="309199" y="590188"/>
                </a:lnTo>
                <a:lnTo>
                  <a:pt x="252413" y="590188"/>
                </a:lnTo>
                <a:close/>
                <a:moveTo>
                  <a:pt x="252763" y="478263"/>
                </a:moveTo>
                <a:lnTo>
                  <a:pt x="252763" y="490131"/>
                </a:lnTo>
                <a:lnTo>
                  <a:pt x="153527" y="589389"/>
                </a:lnTo>
                <a:cubicBezTo>
                  <a:pt x="126921" y="616002"/>
                  <a:pt x="112179" y="651246"/>
                  <a:pt x="112179" y="688648"/>
                </a:cubicBezTo>
                <a:lnTo>
                  <a:pt x="112179" y="703033"/>
                </a:lnTo>
                <a:lnTo>
                  <a:pt x="252763" y="646931"/>
                </a:lnTo>
                <a:lnTo>
                  <a:pt x="308853" y="646931"/>
                </a:lnTo>
                <a:lnTo>
                  <a:pt x="449436" y="703033"/>
                </a:lnTo>
                <a:lnTo>
                  <a:pt x="449436" y="688648"/>
                </a:lnTo>
                <a:cubicBezTo>
                  <a:pt x="449436" y="651246"/>
                  <a:pt x="434695" y="616002"/>
                  <a:pt x="408088" y="589389"/>
                </a:cubicBezTo>
                <a:lnTo>
                  <a:pt x="308853" y="490131"/>
                </a:lnTo>
                <a:lnTo>
                  <a:pt x="308853" y="478263"/>
                </a:lnTo>
                <a:close/>
                <a:moveTo>
                  <a:pt x="56089" y="141287"/>
                </a:moveTo>
                <a:lnTo>
                  <a:pt x="112179" y="141287"/>
                </a:lnTo>
                <a:lnTo>
                  <a:pt x="112179" y="212135"/>
                </a:lnTo>
                <a:cubicBezTo>
                  <a:pt x="112179" y="248817"/>
                  <a:pt x="126561" y="283701"/>
                  <a:pt x="152089" y="309955"/>
                </a:cubicBezTo>
                <a:lnTo>
                  <a:pt x="409526" y="309955"/>
                </a:lnTo>
                <a:cubicBezTo>
                  <a:pt x="435054" y="283701"/>
                  <a:pt x="449436" y="248817"/>
                  <a:pt x="449436" y="212135"/>
                </a:cubicBezTo>
                <a:lnTo>
                  <a:pt x="449436" y="141287"/>
                </a:lnTo>
                <a:lnTo>
                  <a:pt x="505526" y="141287"/>
                </a:lnTo>
                <a:lnTo>
                  <a:pt x="505526" y="212135"/>
                </a:lnTo>
                <a:cubicBezTo>
                  <a:pt x="505526" y="264641"/>
                  <a:pt x="485032" y="313911"/>
                  <a:pt x="447998" y="350953"/>
                </a:cubicBezTo>
                <a:lnTo>
                  <a:pt x="364942" y="434028"/>
                </a:lnTo>
                <a:lnTo>
                  <a:pt x="364942" y="466755"/>
                </a:lnTo>
                <a:lnTo>
                  <a:pt x="447998" y="549830"/>
                </a:lnTo>
                <a:cubicBezTo>
                  <a:pt x="485032" y="586872"/>
                  <a:pt x="505526" y="636142"/>
                  <a:pt x="505526" y="688648"/>
                </a:cubicBezTo>
                <a:lnTo>
                  <a:pt x="505526" y="787547"/>
                </a:lnTo>
                <a:lnTo>
                  <a:pt x="561616" y="787547"/>
                </a:lnTo>
                <a:lnTo>
                  <a:pt x="561616" y="899752"/>
                </a:lnTo>
                <a:lnTo>
                  <a:pt x="0" y="899752"/>
                </a:lnTo>
                <a:lnTo>
                  <a:pt x="0" y="787547"/>
                </a:lnTo>
                <a:lnTo>
                  <a:pt x="56089" y="787547"/>
                </a:lnTo>
                <a:lnTo>
                  <a:pt x="56089" y="688648"/>
                </a:lnTo>
                <a:cubicBezTo>
                  <a:pt x="56089" y="636142"/>
                  <a:pt x="76584" y="586872"/>
                  <a:pt x="113977" y="549830"/>
                </a:cubicBezTo>
                <a:lnTo>
                  <a:pt x="196673" y="466755"/>
                </a:lnTo>
                <a:lnTo>
                  <a:pt x="196673" y="434028"/>
                </a:lnTo>
                <a:lnTo>
                  <a:pt x="113977" y="350953"/>
                </a:lnTo>
                <a:cubicBezTo>
                  <a:pt x="76584" y="313911"/>
                  <a:pt x="56089" y="264641"/>
                  <a:pt x="56089" y="212135"/>
                </a:cubicBezTo>
                <a:close/>
                <a:moveTo>
                  <a:pt x="0" y="0"/>
                </a:moveTo>
                <a:lnTo>
                  <a:pt x="561616" y="0"/>
                </a:lnTo>
                <a:lnTo>
                  <a:pt x="561616" y="112352"/>
                </a:lnTo>
                <a:lnTo>
                  <a:pt x="0" y="112352"/>
                </a:lnTo>
                <a:close/>
              </a:path>
            </a:pathLst>
          </a:custGeom>
          <a:solidFill>
            <a:sysClr val="window" lastClr="FFFFFF"/>
          </a:solidFill>
          <a:ln>
            <a:noFill/>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endParaRPr lang="en-US" sz="1100">
              <a:latin typeface="Calibri Light" panose="020F0302020204030204" pitchFamily="34" charset="0"/>
              <a:cs typeface="Calibri Light" panose="020F0302020204030204" pitchFamily="34" charset="0"/>
            </a:endParaRPr>
          </a:p>
        </xdr:txBody>
      </xdr:sp>
    </xdr:grpSp>
    <xdr:clientData fLocksWithSheet="0"/>
  </xdr:twoCellAnchor>
  <xdr:twoCellAnchor>
    <xdr:from>
      <xdr:col>0</xdr:col>
      <xdr:colOff>82550</xdr:colOff>
      <xdr:row>3</xdr:row>
      <xdr:rowOff>120650</xdr:rowOff>
    </xdr:from>
    <xdr:to>
      <xdr:col>1</xdr:col>
      <xdr:colOff>278594</xdr:colOff>
      <xdr:row>34</xdr:row>
      <xdr:rowOff>173728</xdr:rowOff>
    </xdr:to>
    <xdr:grpSp>
      <xdr:nvGrpSpPr>
        <xdr:cNvPr id="39" name="Gruppieren 38">
          <a:extLst>
            <a:ext uri="{FF2B5EF4-FFF2-40B4-BE49-F238E27FC236}">
              <a16:creationId xmlns:a16="http://schemas.microsoft.com/office/drawing/2014/main" id="{00000000-0008-0000-0400-000027000000}"/>
            </a:ext>
          </a:extLst>
        </xdr:cNvPr>
        <xdr:cNvGrpSpPr/>
      </xdr:nvGrpSpPr>
      <xdr:grpSpPr>
        <a:xfrm>
          <a:off x="82550" y="1050290"/>
          <a:ext cx="668484" cy="5615678"/>
          <a:chOff x="0" y="6153150"/>
          <a:chExt cx="684994" cy="5660128"/>
        </a:xfrm>
      </xdr:grpSpPr>
      <xdr:sp macro="" textlink="' '!A382">
        <xdr:nvSpPr>
          <xdr:cNvPr id="40" name="Richtungspfeil 7">
            <a:extLst>
              <a:ext uri="{FF2B5EF4-FFF2-40B4-BE49-F238E27FC236}">
                <a16:creationId xmlns:a16="http://schemas.microsoft.com/office/drawing/2014/main" id="{00000000-0008-0000-0400-000028000000}"/>
              </a:ext>
            </a:extLst>
          </xdr:cNvPr>
          <xdr:cNvSpPr/>
        </xdr:nvSpPr>
        <xdr:spPr>
          <a:xfrm>
            <a:off x="0" y="6153150"/>
            <a:ext cx="684994" cy="540000"/>
          </a:xfrm>
          <a:prstGeom prst="homePlate">
            <a:avLst>
              <a:gd name="adj" fmla="val 25240"/>
            </a:avLst>
          </a:prstGeom>
          <a:solidFill>
            <a:srgbClr val="41647A"/>
          </a:solidFill>
          <a:ln w="12700" cap="flat">
            <a:noFill/>
            <a:miter lim="400000"/>
          </a:ln>
          <a:effectLst/>
        </xdr:spPr>
        <xdr:txBody>
          <a:bodyPr wrap="square" lIns="72000" tIns="0" rIns="72000" bIns="0" numCol="1"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defTabSz="685846" fontAlgn="auto">
              <a:spcBef>
                <a:spcPts val="0"/>
              </a:spcBef>
              <a:spcAft>
                <a:spcPts val="0"/>
              </a:spcAft>
            </a:pPr>
            <a:fld id="{38DBFB9E-BBD5-4551-84A6-6DDCA691BEB6}" type="TxLink">
              <a:rPr lang="en-US" sz="1050" b="0" i="0" u="none" strike="noStrike">
                <a:solidFill>
                  <a:schemeClr val="bg1"/>
                </a:solidFill>
                <a:latin typeface="Calibri Light" panose="020F0302020204030204" pitchFamily="34" charset="0"/>
                <a:cs typeface="Calibri Light" panose="020F0302020204030204" pitchFamily="34" charset="0"/>
              </a:rPr>
              <a:pPr algn="l" defTabSz="685846" fontAlgn="auto">
                <a:spcBef>
                  <a:spcPts val="0"/>
                </a:spcBef>
                <a:spcAft>
                  <a:spcPts val="0"/>
                </a:spcAft>
              </a:pPr>
              <a:t>Steps</a:t>
            </a:fld>
            <a:endParaRPr lang="fr-CH" sz="1050" b="0">
              <a:solidFill>
                <a:schemeClr val="bg1"/>
              </a:solidFill>
              <a:latin typeface="Calibri Light" panose="020F0302020204030204" pitchFamily="34" charset="0"/>
              <a:cs typeface="Calibri Light" panose="020F0302020204030204" pitchFamily="34" charset="0"/>
            </a:endParaRPr>
          </a:p>
        </xdr:txBody>
      </xdr:sp>
      <xdr:sp macro="" textlink="' '!A384">
        <xdr:nvSpPr>
          <xdr:cNvPr id="41" name="Textfeld 8">
            <a:extLst>
              <a:ext uri="{FF2B5EF4-FFF2-40B4-BE49-F238E27FC236}">
                <a16:creationId xmlns:a16="http://schemas.microsoft.com/office/drawing/2014/main" id="{00000000-0008-0000-0400-000029000000}"/>
              </a:ext>
            </a:extLst>
          </xdr:cNvPr>
          <xdr:cNvSpPr txBox="1"/>
        </xdr:nvSpPr>
        <xdr:spPr>
          <a:xfrm>
            <a:off x="0" y="7650460"/>
            <a:ext cx="554116" cy="2268000"/>
          </a:xfrm>
          <a:prstGeom prst="rect">
            <a:avLst/>
          </a:prstGeom>
          <a:solidFill>
            <a:srgbClr val="41647A"/>
          </a:solidFill>
          <a:ln w="25400" cap="flat" cmpd="sng" algn="ctr">
            <a:noFill/>
            <a:prstDash val="solid"/>
          </a:ln>
          <a:effectLst/>
        </xdr:spPr>
        <xdr:txBody>
          <a:bodyPr rot="0" spcFirstLastPara="0" vert="vert270" wrap="square" lIns="0" tIns="0" rIns="0" bIns="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fontAlgn="auto">
              <a:spcBef>
                <a:spcPts val="0"/>
              </a:spcBef>
              <a:spcAft>
                <a:spcPts val="0"/>
              </a:spcAft>
              <a:defRPr/>
            </a:pPr>
            <a:fld id="{6145C90D-9594-4889-B4BA-BBB0458C6F77}" type="TxLink">
              <a:rPr lang="en-US" sz="1600" b="0" i="0" u="none" strike="noStrike" kern="50">
                <a:solidFill>
                  <a:schemeClr val="bg1"/>
                </a:solidFill>
                <a:latin typeface="Calibri Light" panose="020F0302020204030204" pitchFamily="34" charset="0"/>
                <a:ea typeface="SimSun" panose="02010600030101010101" pitchFamily="2" charset="-122"/>
                <a:cs typeface="Calibri Light" panose="020F0302020204030204" pitchFamily="34" charset="0"/>
              </a:rPr>
              <a:pPr fontAlgn="auto">
                <a:spcBef>
                  <a:spcPts val="0"/>
                </a:spcBef>
                <a:spcAft>
                  <a:spcPts val="0"/>
                </a:spcAft>
                <a:defRPr/>
              </a:pPr>
              <a:t>Activities</a:t>
            </a:fld>
            <a:endParaRPr lang="fr-CH" sz="1600" b="0" kern="50">
              <a:solidFill>
                <a:schemeClr val="bg1"/>
              </a:solidFill>
              <a:latin typeface="Calibri Light" panose="020F0302020204030204" pitchFamily="34" charset="0"/>
              <a:ea typeface="SimSun" panose="02010600030101010101" pitchFamily="2" charset="-122"/>
              <a:cs typeface="Calibri Light" panose="020F0302020204030204" pitchFamily="34" charset="0"/>
            </a:endParaRPr>
          </a:p>
        </xdr:txBody>
      </xdr:sp>
      <xdr:sp macro="" textlink="' '!A385">
        <xdr:nvSpPr>
          <xdr:cNvPr id="42" name="Textfeld 15">
            <a:extLst>
              <a:ext uri="{FF2B5EF4-FFF2-40B4-BE49-F238E27FC236}">
                <a16:creationId xmlns:a16="http://schemas.microsoft.com/office/drawing/2014/main" id="{00000000-0008-0000-0400-00002A000000}"/>
              </a:ext>
            </a:extLst>
          </xdr:cNvPr>
          <xdr:cNvSpPr txBox="1"/>
        </xdr:nvSpPr>
        <xdr:spPr>
          <a:xfrm>
            <a:off x="0" y="9991585"/>
            <a:ext cx="552945" cy="1368000"/>
          </a:xfrm>
          <a:prstGeom prst="rect">
            <a:avLst/>
          </a:prstGeom>
          <a:solidFill>
            <a:srgbClr val="41647A"/>
          </a:solidFill>
          <a:ln w="25400" cap="flat" cmpd="sng" algn="ctr">
            <a:noFill/>
            <a:prstDash val="solid"/>
          </a:ln>
          <a:effectLst/>
        </xdr:spPr>
        <xdr:txBody>
          <a:bodyPr rot="0" spcFirstLastPara="0" vert="vert270" wrap="square" lIns="0" tIns="108000" rIns="0" bIns="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r" fontAlgn="auto">
              <a:spcBef>
                <a:spcPts val="0"/>
              </a:spcBef>
              <a:spcAft>
                <a:spcPts val="0"/>
              </a:spcAft>
              <a:defRPr/>
            </a:pPr>
            <a:fld id="{4E392817-89F6-4627-8884-B5E60E2AACAD}" type="TxLink">
              <a:rPr lang="en-US" sz="1400" b="0" i="0" u="none" strike="noStrike" kern="50">
                <a:solidFill>
                  <a:schemeClr val="bg1"/>
                </a:solidFill>
                <a:latin typeface="Calibri Light" panose="020F0302020204030204" pitchFamily="34" charset="0"/>
                <a:ea typeface="SimSun" panose="02010600030101010101" pitchFamily="2" charset="-122"/>
                <a:cs typeface="Calibri Light" panose="020F0302020204030204" pitchFamily="34" charset="0"/>
              </a:rPr>
              <a:pPr algn="r" fontAlgn="auto">
                <a:spcBef>
                  <a:spcPts val="0"/>
                </a:spcBef>
                <a:spcAft>
                  <a:spcPts val="0"/>
                </a:spcAft>
                <a:defRPr/>
              </a:pPr>
              <a:t>Deliverables</a:t>
            </a:fld>
            <a:endParaRPr lang="fr-CH" sz="1400" b="0" kern="50">
              <a:solidFill>
                <a:schemeClr val="bg1"/>
              </a:solidFill>
              <a:latin typeface="Calibri Light" panose="020F0302020204030204" pitchFamily="34" charset="0"/>
              <a:ea typeface="SimSun" panose="02010600030101010101" pitchFamily="2" charset="-122"/>
              <a:cs typeface="Calibri Light" panose="020F0302020204030204" pitchFamily="34" charset="0"/>
            </a:endParaRPr>
          </a:p>
        </xdr:txBody>
      </xdr:sp>
      <xdr:sp macro="" textlink="' '!A386">
        <xdr:nvSpPr>
          <xdr:cNvPr id="43" name="Richtungspfeil 7">
            <a:extLst>
              <a:ext uri="{FF2B5EF4-FFF2-40B4-BE49-F238E27FC236}">
                <a16:creationId xmlns:a16="http://schemas.microsoft.com/office/drawing/2014/main" id="{00000000-0008-0000-0400-00002B000000}"/>
              </a:ext>
            </a:extLst>
          </xdr:cNvPr>
          <xdr:cNvSpPr/>
        </xdr:nvSpPr>
        <xdr:spPr>
          <a:xfrm>
            <a:off x="0" y="11443938"/>
            <a:ext cx="648000" cy="369340"/>
          </a:xfrm>
          <a:prstGeom prst="homePlate">
            <a:avLst>
              <a:gd name="adj" fmla="val 25240"/>
            </a:avLst>
          </a:prstGeom>
          <a:solidFill>
            <a:srgbClr val="41647A"/>
          </a:solidFill>
          <a:ln w="12700" cap="flat">
            <a:noFill/>
            <a:miter lim="400000"/>
          </a:ln>
          <a:effectLst/>
        </xdr:spPr>
        <xdr:txBody>
          <a:bodyPr wrap="square" lIns="36000" tIns="0" rIns="72000" bIns="0" numCol="1"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defTabSz="685846" fontAlgn="auto">
              <a:spcBef>
                <a:spcPts val="0"/>
              </a:spcBef>
              <a:spcAft>
                <a:spcPts val="0"/>
              </a:spcAft>
            </a:pPr>
            <a:fld id="{8846B82E-65C0-4EF3-8A05-2ADB428D052E}" type="TxLink">
              <a:rPr lang="en-US" sz="900" b="0" i="0" u="none" strike="noStrike" kern="50">
                <a:solidFill>
                  <a:schemeClr val="bg1"/>
                </a:solidFill>
                <a:latin typeface="Calibri Light" panose="020F0302020204030204" pitchFamily="34" charset="0"/>
                <a:ea typeface="SimSun" panose="02010600030101010101" pitchFamily="2" charset="-122"/>
                <a:cs typeface="Calibri Light" panose="020F0302020204030204" pitchFamily="34" charset="0"/>
              </a:rPr>
              <a:pPr algn="l" defTabSz="685846" fontAlgn="auto">
                <a:spcBef>
                  <a:spcPts val="0"/>
                </a:spcBef>
                <a:spcAft>
                  <a:spcPts val="0"/>
                </a:spcAft>
              </a:pPr>
              <a:t>Timeline</a:t>
            </a:fld>
            <a:endParaRPr lang="fr-CH" sz="900" b="0">
              <a:solidFill>
                <a:schemeClr val="bg1"/>
              </a:solidFill>
              <a:latin typeface="Calibri Light" panose="020F0302020204030204" pitchFamily="34" charset="0"/>
              <a:cs typeface="Calibri Light" panose="020F0302020204030204" pitchFamily="34" charset="0"/>
            </a:endParaRPr>
          </a:p>
        </xdr:txBody>
      </xdr:sp>
      <xdr:sp macro="" textlink="' '!A383">
        <xdr:nvSpPr>
          <xdr:cNvPr id="44" name="Textfeld 15">
            <a:extLst>
              <a:ext uri="{FF2B5EF4-FFF2-40B4-BE49-F238E27FC236}">
                <a16:creationId xmlns:a16="http://schemas.microsoft.com/office/drawing/2014/main" id="{00000000-0008-0000-0400-00002C000000}"/>
              </a:ext>
            </a:extLst>
          </xdr:cNvPr>
          <xdr:cNvSpPr txBox="1"/>
        </xdr:nvSpPr>
        <xdr:spPr>
          <a:xfrm>
            <a:off x="0" y="6781092"/>
            <a:ext cx="552945" cy="792000"/>
          </a:xfrm>
          <a:prstGeom prst="rect">
            <a:avLst/>
          </a:prstGeom>
          <a:solidFill>
            <a:srgbClr val="41647A"/>
          </a:solidFill>
          <a:ln w="25400" cap="flat" cmpd="sng" algn="ctr">
            <a:noFill/>
            <a:prstDash val="solid"/>
          </a:ln>
          <a:effectLst/>
        </xdr:spPr>
        <xdr:txBody>
          <a:bodyPr rot="0" spcFirstLastPara="0" vert="vert270" wrap="square" lIns="72000" tIns="36000" rIns="144000" bIns="36000" numCol="1" spcCol="0" rtlCol="0" fromWordArt="0" anchor="t"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fld id="{6713FAEE-C04D-42D9-96F6-F80A4837A258}" type="TxLink">
              <a:rPr lang="en-US" sz="1200" b="0" i="0" u="none" strike="noStrike">
                <a:solidFill>
                  <a:schemeClr val="bg1"/>
                </a:solidFill>
                <a:latin typeface="Calibri Light" panose="020F0302020204030204" pitchFamily="34" charset="0"/>
                <a:cs typeface="Calibri Light" panose="020F0302020204030204" pitchFamily="34" charset="0"/>
              </a:rPr>
              <a:pPr/>
              <a:t>Goals</a:t>
            </a:fld>
            <a:endParaRPr lang="fr-CH" sz="1200" b="0">
              <a:solidFill>
                <a:schemeClr val="bg1"/>
              </a:solidFill>
              <a:latin typeface="Calibri Light" panose="020F0302020204030204" pitchFamily="34" charset="0"/>
              <a:cs typeface="Calibri Light" panose="020F0302020204030204" pitchFamily="34" charset="0"/>
            </a:endParaRPr>
          </a:p>
        </xdr:txBody>
      </xdr:sp>
      <xdr:sp macro="" textlink="">
        <xdr:nvSpPr>
          <xdr:cNvPr id="45" name="Freeform 56">
            <a:extLst>
              <a:ext uri="{FF2B5EF4-FFF2-40B4-BE49-F238E27FC236}">
                <a16:creationId xmlns:a16="http://schemas.microsoft.com/office/drawing/2014/main" id="{00000000-0008-0000-0400-00002D000000}"/>
              </a:ext>
            </a:extLst>
          </xdr:cNvPr>
          <xdr:cNvSpPr>
            <a:spLocks noChangeArrowheads="1"/>
          </xdr:cNvSpPr>
        </xdr:nvSpPr>
        <xdr:spPr bwMode="auto">
          <a:xfrm>
            <a:off x="134661" y="9480693"/>
            <a:ext cx="334422" cy="312629"/>
          </a:xfrm>
          <a:custGeom>
            <a:avLst/>
            <a:gdLst>
              <a:gd name="connsiteX0" fmla="*/ 619798 w 901340"/>
              <a:gd name="connsiteY0" fmla="*/ 730250 h 842602"/>
              <a:gd name="connsiteX1" fmla="*/ 845104 w 901340"/>
              <a:gd name="connsiteY1" fmla="*/ 730250 h 842602"/>
              <a:gd name="connsiteX2" fmla="*/ 901340 w 901340"/>
              <a:gd name="connsiteY2" fmla="*/ 786426 h 842602"/>
              <a:gd name="connsiteX3" fmla="*/ 901340 w 901340"/>
              <a:gd name="connsiteY3" fmla="*/ 842602 h 842602"/>
              <a:gd name="connsiteX4" fmla="*/ 563562 w 901340"/>
              <a:gd name="connsiteY4" fmla="*/ 842602 h 842602"/>
              <a:gd name="connsiteX5" fmla="*/ 563562 w 901340"/>
              <a:gd name="connsiteY5" fmla="*/ 786426 h 842602"/>
              <a:gd name="connsiteX6" fmla="*/ 56536 w 901340"/>
              <a:gd name="connsiteY6" fmla="*/ 730250 h 842602"/>
              <a:gd name="connsiteX7" fmla="*/ 281241 w 901340"/>
              <a:gd name="connsiteY7" fmla="*/ 730250 h 842602"/>
              <a:gd name="connsiteX8" fmla="*/ 337777 w 901340"/>
              <a:gd name="connsiteY8" fmla="*/ 786426 h 842602"/>
              <a:gd name="connsiteX9" fmla="*/ 337777 w 901340"/>
              <a:gd name="connsiteY9" fmla="*/ 842602 h 842602"/>
              <a:gd name="connsiteX10" fmla="*/ 0 w 901340"/>
              <a:gd name="connsiteY10" fmla="*/ 842602 h 842602"/>
              <a:gd name="connsiteX11" fmla="*/ 0 w 901340"/>
              <a:gd name="connsiteY11" fmla="*/ 786426 h 842602"/>
              <a:gd name="connsiteX12" fmla="*/ 318349 w 901340"/>
              <a:gd name="connsiteY12" fmla="*/ 612775 h 842602"/>
              <a:gd name="connsiteX13" fmla="*/ 582992 w 901340"/>
              <a:gd name="connsiteY13" fmla="*/ 612775 h 842602"/>
              <a:gd name="connsiteX14" fmla="*/ 609241 w 901340"/>
              <a:gd name="connsiteY14" fmla="*/ 662402 h 842602"/>
              <a:gd name="connsiteX15" fmla="*/ 450670 w 901340"/>
              <a:gd name="connsiteY15" fmla="*/ 701318 h 842602"/>
              <a:gd name="connsiteX16" fmla="*/ 292100 w 901340"/>
              <a:gd name="connsiteY16" fmla="*/ 662402 h 842602"/>
              <a:gd name="connsiteX17" fmla="*/ 732270 w 901340"/>
              <a:gd name="connsiteY17" fmla="*/ 504825 h 842602"/>
              <a:gd name="connsiteX18" fmla="*/ 817201 w 901340"/>
              <a:gd name="connsiteY18" fmla="*/ 588881 h 842602"/>
              <a:gd name="connsiteX19" fmla="*/ 817201 w 901340"/>
              <a:gd name="connsiteY19" fmla="*/ 616900 h 842602"/>
              <a:gd name="connsiteX20" fmla="*/ 732270 w 901340"/>
              <a:gd name="connsiteY20" fmla="*/ 701316 h 842602"/>
              <a:gd name="connsiteX21" fmla="*/ 647700 w 901340"/>
              <a:gd name="connsiteY21" fmla="*/ 616900 h 842602"/>
              <a:gd name="connsiteX22" fmla="*/ 647700 w 901340"/>
              <a:gd name="connsiteY22" fmla="*/ 588881 h 842602"/>
              <a:gd name="connsiteX23" fmla="*/ 732270 w 901340"/>
              <a:gd name="connsiteY23" fmla="*/ 504825 h 842602"/>
              <a:gd name="connsiteX24" fmla="*/ 168095 w 901340"/>
              <a:gd name="connsiteY24" fmla="*/ 504825 h 842602"/>
              <a:gd name="connsiteX25" fmla="*/ 252053 w 901340"/>
              <a:gd name="connsiteY25" fmla="*/ 588881 h 842602"/>
              <a:gd name="connsiteX26" fmla="*/ 252053 w 901340"/>
              <a:gd name="connsiteY26" fmla="*/ 616900 h 842602"/>
              <a:gd name="connsiteX27" fmla="*/ 168095 w 901340"/>
              <a:gd name="connsiteY27" fmla="*/ 701316 h 842602"/>
              <a:gd name="connsiteX28" fmla="*/ 84137 w 901340"/>
              <a:gd name="connsiteY28" fmla="*/ 616900 h 842602"/>
              <a:gd name="connsiteX29" fmla="*/ 84137 w 901340"/>
              <a:gd name="connsiteY29" fmla="*/ 588881 h 842602"/>
              <a:gd name="connsiteX30" fmla="*/ 168095 w 901340"/>
              <a:gd name="connsiteY30" fmla="*/ 504825 h 842602"/>
              <a:gd name="connsiteX31" fmla="*/ 337524 w 901340"/>
              <a:gd name="connsiteY31" fmla="*/ 223837 h 842602"/>
              <a:gd name="connsiteX32" fmla="*/ 562589 w 901340"/>
              <a:gd name="connsiteY32" fmla="*/ 223837 h 842602"/>
              <a:gd name="connsiteX33" fmla="*/ 618765 w 901340"/>
              <a:gd name="connsiteY33" fmla="*/ 280013 h 842602"/>
              <a:gd name="connsiteX34" fmla="*/ 618765 w 901340"/>
              <a:gd name="connsiteY34" fmla="*/ 336190 h 842602"/>
              <a:gd name="connsiteX35" fmla="*/ 280987 w 901340"/>
              <a:gd name="connsiteY35" fmla="*/ 336190 h 842602"/>
              <a:gd name="connsiteX36" fmla="*/ 280987 w 901340"/>
              <a:gd name="connsiteY36" fmla="*/ 280013 h 842602"/>
              <a:gd name="connsiteX37" fmla="*/ 337524 w 901340"/>
              <a:gd name="connsiteY37" fmla="*/ 223837 h 842602"/>
              <a:gd name="connsiteX38" fmla="*/ 637877 w 901340"/>
              <a:gd name="connsiteY38" fmla="*/ 142875 h 842602"/>
              <a:gd name="connsiteX39" fmla="*/ 788626 w 901340"/>
              <a:gd name="connsiteY39" fmla="*/ 421914 h 842602"/>
              <a:gd name="connsiteX40" fmla="*/ 732230 w 901340"/>
              <a:gd name="connsiteY40" fmla="*/ 421914 h 842602"/>
              <a:gd name="connsiteX41" fmla="*/ 606425 w 901340"/>
              <a:gd name="connsiteY41" fmla="*/ 189742 h 842602"/>
              <a:gd name="connsiteX42" fmla="*/ 261899 w 901340"/>
              <a:gd name="connsiteY42" fmla="*/ 142875 h 842602"/>
              <a:gd name="connsiteX43" fmla="*/ 293326 w 901340"/>
              <a:gd name="connsiteY43" fmla="*/ 189657 h 842602"/>
              <a:gd name="connsiteX44" fmla="*/ 169064 w 901340"/>
              <a:gd name="connsiteY44" fmla="*/ 420327 h 842602"/>
              <a:gd name="connsiteX45" fmla="*/ 112712 w 901340"/>
              <a:gd name="connsiteY45" fmla="*/ 420327 h 842602"/>
              <a:gd name="connsiteX46" fmla="*/ 261899 w 901340"/>
              <a:gd name="connsiteY46" fmla="*/ 142875 h 842602"/>
              <a:gd name="connsiteX47" fmla="*/ 450670 w 901340"/>
              <a:gd name="connsiteY47" fmla="*/ 0 h 842602"/>
              <a:gd name="connsiteX48" fmla="*/ 534628 w 901340"/>
              <a:gd name="connsiteY48" fmla="*/ 84415 h 842602"/>
              <a:gd name="connsiteX49" fmla="*/ 534628 w 901340"/>
              <a:gd name="connsiteY49" fmla="*/ 112434 h 842602"/>
              <a:gd name="connsiteX50" fmla="*/ 450670 w 901340"/>
              <a:gd name="connsiteY50" fmla="*/ 196491 h 842602"/>
              <a:gd name="connsiteX51" fmla="*/ 366712 w 901340"/>
              <a:gd name="connsiteY51" fmla="*/ 112434 h 842602"/>
              <a:gd name="connsiteX52" fmla="*/ 366712 w 901340"/>
              <a:gd name="connsiteY52" fmla="*/ 84415 h 842602"/>
              <a:gd name="connsiteX53" fmla="*/ 450670 w 901340"/>
              <a:gd name="connsiteY53" fmla="*/ 0 h 84260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Lst>
            <a:rect l="l" t="t" r="r" b="b"/>
            <a:pathLst>
              <a:path w="901340" h="842602">
                <a:moveTo>
                  <a:pt x="619798" y="730250"/>
                </a:moveTo>
                <a:lnTo>
                  <a:pt x="845104" y="730250"/>
                </a:lnTo>
                <a:cubicBezTo>
                  <a:pt x="867093" y="752216"/>
                  <a:pt x="879350" y="764460"/>
                  <a:pt x="901340" y="786426"/>
                </a:cubicBezTo>
                <a:lnTo>
                  <a:pt x="901340" y="842602"/>
                </a:lnTo>
                <a:lnTo>
                  <a:pt x="563562" y="842602"/>
                </a:lnTo>
                <a:lnTo>
                  <a:pt x="563562" y="786426"/>
                </a:lnTo>
                <a:close/>
                <a:moveTo>
                  <a:pt x="56536" y="730250"/>
                </a:moveTo>
                <a:lnTo>
                  <a:pt x="281241" y="730250"/>
                </a:lnTo>
                <a:lnTo>
                  <a:pt x="337777" y="786426"/>
                </a:lnTo>
                <a:lnTo>
                  <a:pt x="337777" y="842602"/>
                </a:lnTo>
                <a:lnTo>
                  <a:pt x="0" y="842602"/>
                </a:lnTo>
                <a:lnTo>
                  <a:pt x="0" y="786426"/>
                </a:lnTo>
                <a:close/>
                <a:moveTo>
                  <a:pt x="318349" y="612775"/>
                </a:moveTo>
                <a:cubicBezTo>
                  <a:pt x="399252" y="655618"/>
                  <a:pt x="502089" y="655618"/>
                  <a:pt x="582992" y="612775"/>
                </a:cubicBezTo>
                <a:lnTo>
                  <a:pt x="609241" y="662402"/>
                </a:lnTo>
                <a:cubicBezTo>
                  <a:pt x="561058" y="687751"/>
                  <a:pt x="506044" y="701318"/>
                  <a:pt x="450670" y="701318"/>
                </a:cubicBezTo>
                <a:cubicBezTo>
                  <a:pt x="395297" y="701318"/>
                  <a:pt x="340642" y="687751"/>
                  <a:pt x="292100" y="662402"/>
                </a:cubicBezTo>
                <a:close/>
                <a:moveTo>
                  <a:pt x="732270" y="504825"/>
                </a:moveTo>
                <a:cubicBezTo>
                  <a:pt x="778892" y="504825"/>
                  <a:pt x="817201" y="542542"/>
                  <a:pt x="817201" y="588881"/>
                </a:cubicBezTo>
                <a:lnTo>
                  <a:pt x="817201" y="616900"/>
                </a:lnTo>
                <a:cubicBezTo>
                  <a:pt x="817201" y="663598"/>
                  <a:pt x="778892" y="701316"/>
                  <a:pt x="732270" y="701316"/>
                </a:cubicBezTo>
                <a:cubicBezTo>
                  <a:pt x="685648" y="701316"/>
                  <a:pt x="647700" y="663598"/>
                  <a:pt x="647700" y="616900"/>
                </a:cubicBezTo>
                <a:lnTo>
                  <a:pt x="647700" y="588881"/>
                </a:lnTo>
                <a:cubicBezTo>
                  <a:pt x="647700" y="542542"/>
                  <a:pt x="685648" y="504825"/>
                  <a:pt x="732270" y="504825"/>
                </a:cubicBezTo>
                <a:close/>
                <a:moveTo>
                  <a:pt x="168095" y="504825"/>
                </a:moveTo>
                <a:cubicBezTo>
                  <a:pt x="214739" y="504825"/>
                  <a:pt x="252053" y="542542"/>
                  <a:pt x="252053" y="588881"/>
                </a:cubicBezTo>
                <a:lnTo>
                  <a:pt x="252053" y="616900"/>
                </a:lnTo>
                <a:cubicBezTo>
                  <a:pt x="252053" y="663598"/>
                  <a:pt x="214739" y="701316"/>
                  <a:pt x="168095" y="701316"/>
                </a:cubicBezTo>
                <a:cubicBezTo>
                  <a:pt x="121811" y="701316"/>
                  <a:pt x="84137" y="663598"/>
                  <a:pt x="84137" y="616900"/>
                </a:cubicBezTo>
                <a:lnTo>
                  <a:pt x="84137" y="588881"/>
                </a:lnTo>
                <a:cubicBezTo>
                  <a:pt x="84137" y="542542"/>
                  <a:pt x="121811" y="504825"/>
                  <a:pt x="168095" y="504825"/>
                </a:cubicBezTo>
                <a:close/>
                <a:moveTo>
                  <a:pt x="337524" y="223837"/>
                </a:moveTo>
                <a:lnTo>
                  <a:pt x="562589" y="223837"/>
                </a:lnTo>
                <a:cubicBezTo>
                  <a:pt x="584555" y="245803"/>
                  <a:pt x="596799" y="258407"/>
                  <a:pt x="618765" y="280013"/>
                </a:cubicBezTo>
                <a:lnTo>
                  <a:pt x="618765" y="336190"/>
                </a:lnTo>
                <a:lnTo>
                  <a:pt x="280987" y="336190"/>
                </a:lnTo>
                <a:lnTo>
                  <a:pt x="280987" y="280013"/>
                </a:lnTo>
                <a:cubicBezTo>
                  <a:pt x="302954" y="258407"/>
                  <a:pt x="315557" y="245803"/>
                  <a:pt x="337524" y="223837"/>
                </a:cubicBezTo>
                <a:close/>
                <a:moveTo>
                  <a:pt x="637877" y="142875"/>
                </a:moveTo>
                <a:cubicBezTo>
                  <a:pt x="732230" y="205605"/>
                  <a:pt x="788626" y="309794"/>
                  <a:pt x="788626" y="421914"/>
                </a:cubicBezTo>
                <a:lnTo>
                  <a:pt x="732230" y="421914"/>
                </a:lnTo>
                <a:cubicBezTo>
                  <a:pt x="732230" y="328901"/>
                  <a:pt x="685234" y="242017"/>
                  <a:pt x="606425" y="189742"/>
                </a:cubicBezTo>
                <a:close/>
                <a:moveTo>
                  <a:pt x="261899" y="142875"/>
                </a:moveTo>
                <a:lnTo>
                  <a:pt x="293326" y="189657"/>
                </a:lnTo>
                <a:cubicBezTo>
                  <a:pt x="215301" y="241477"/>
                  <a:pt x="169064" y="327843"/>
                  <a:pt x="169064" y="420327"/>
                </a:cubicBezTo>
                <a:lnTo>
                  <a:pt x="112712" y="420327"/>
                </a:lnTo>
                <a:cubicBezTo>
                  <a:pt x="112712" y="309130"/>
                  <a:pt x="168341" y="205491"/>
                  <a:pt x="261899" y="142875"/>
                </a:cubicBezTo>
                <a:close/>
                <a:moveTo>
                  <a:pt x="450670" y="0"/>
                </a:moveTo>
                <a:cubicBezTo>
                  <a:pt x="496955" y="0"/>
                  <a:pt x="534628" y="37717"/>
                  <a:pt x="534628" y="84415"/>
                </a:cubicBezTo>
                <a:lnTo>
                  <a:pt x="534628" y="112434"/>
                </a:lnTo>
                <a:cubicBezTo>
                  <a:pt x="534628" y="158773"/>
                  <a:pt x="496955" y="196491"/>
                  <a:pt x="450670" y="196491"/>
                </a:cubicBezTo>
                <a:cubicBezTo>
                  <a:pt x="404386" y="196491"/>
                  <a:pt x="366712" y="158773"/>
                  <a:pt x="366712" y="112434"/>
                </a:cubicBezTo>
                <a:lnTo>
                  <a:pt x="366712" y="84415"/>
                </a:lnTo>
                <a:cubicBezTo>
                  <a:pt x="366712" y="37717"/>
                  <a:pt x="404386" y="0"/>
                  <a:pt x="450670" y="0"/>
                </a:cubicBezTo>
                <a:close/>
              </a:path>
            </a:pathLst>
          </a:custGeom>
          <a:solidFill>
            <a:sysClr val="window" lastClr="FFFFFF"/>
          </a:solidFill>
          <a:ln>
            <a:noFill/>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endParaRPr lang="en-US" sz="1100">
              <a:latin typeface="Calibri Light" panose="020F0302020204030204" pitchFamily="34" charset="0"/>
              <a:cs typeface="Calibri Light" panose="020F0302020204030204" pitchFamily="34" charset="0"/>
            </a:endParaRPr>
          </a:p>
        </xdr:txBody>
      </xdr:sp>
      <xdr:sp macro="" textlink="">
        <xdr:nvSpPr>
          <xdr:cNvPr id="46" name="Freeform 43">
            <a:extLst>
              <a:ext uri="{FF2B5EF4-FFF2-40B4-BE49-F238E27FC236}">
                <a16:creationId xmlns:a16="http://schemas.microsoft.com/office/drawing/2014/main" id="{00000000-0008-0000-0400-00002E000000}"/>
              </a:ext>
            </a:extLst>
          </xdr:cNvPr>
          <xdr:cNvSpPr>
            <a:spLocks noChangeArrowheads="1"/>
          </xdr:cNvSpPr>
        </xdr:nvSpPr>
        <xdr:spPr bwMode="auto">
          <a:xfrm>
            <a:off x="155904" y="10914150"/>
            <a:ext cx="250548" cy="334109"/>
          </a:xfrm>
          <a:custGeom>
            <a:avLst/>
            <a:gdLst>
              <a:gd name="connsiteX0" fmla="*/ 481925 w 680677"/>
              <a:gd name="connsiteY0" fmla="*/ 414338 h 907690"/>
              <a:gd name="connsiteX1" fmla="*/ 521927 w 680677"/>
              <a:gd name="connsiteY1" fmla="*/ 454297 h 907690"/>
              <a:gd name="connsiteX2" fmla="*/ 368405 w 680677"/>
              <a:gd name="connsiteY2" fmla="*/ 607653 h 907690"/>
              <a:gd name="connsiteX3" fmla="*/ 271462 w 680677"/>
              <a:gd name="connsiteY3" fmla="*/ 510816 h 907690"/>
              <a:gd name="connsiteX4" fmla="*/ 311465 w 680677"/>
              <a:gd name="connsiteY4" fmla="*/ 470857 h 907690"/>
              <a:gd name="connsiteX5" fmla="*/ 368405 w 680677"/>
              <a:gd name="connsiteY5" fmla="*/ 527735 h 907690"/>
              <a:gd name="connsiteX6" fmla="*/ 169862 w 680677"/>
              <a:gd name="connsiteY6" fmla="*/ 368300 h 907690"/>
              <a:gd name="connsiteX7" fmla="*/ 395986 w 680677"/>
              <a:gd name="connsiteY7" fmla="*/ 368300 h 907690"/>
              <a:gd name="connsiteX8" fmla="*/ 395986 w 680677"/>
              <a:gd name="connsiteY8" fmla="*/ 424945 h 907690"/>
              <a:gd name="connsiteX9" fmla="*/ 226303 w 680677"/>
              <a:gd name="connsiteY9" fmla="*/ 424945 h 907690"/>
              <a:gd name="connsiteX10" fmla="*/ 226303 w 680677"/>
              <a:gd name="connsiteY10" fmla="*/ 652247 h 907690"/>
              <a:gd name="connsiteX11" fmla="*/ 452787 w 680677"/>
              <a:gd name="connsiteY11" fmla="*/ 652247 h 907690"/>
              <a:gd name="connsiteX12" fmla="*/ 452787 w 680677"/>
              <a:gd name="connsiteY12" fmla="*/ 567099 h 907690"/>
              <a:gd name="connsiteX13" fmla="*/ 509228 w 680677"/>
              <a:gd name="connsiteY13" fmla="*/ 567099 h 907690"/>
              <a:gd name="connsiteX14" fmla="*/ 509228 w 680677"/>
              <a:gd name="connsiteY14" fmla="*/ 709252 h 907690"/>
              <a:gd name="connsiteX15" fmla="*/ 169862 w 680677"/>
              <a:gd name="connsiteY15" fmla="*/ 709252 h 907690"/>
              <a:gd name="connsiteX16" fmla="*/ 45018 w 680677"/>
              <a:gd name="connsiteY16" fmla="*/ 85725 h 907690"/>
              <a:gd name="connsiteX17" fmla="*/ 141897 w 680677"/>
              <a:gd name="connsiteY17" fmla="*/ 85725 h 907690"/>
              <a:gd name="connsiteX18" fmla="*/ 141897 w 680677"/>
              <a:gd name="connsiteY18" fmla="*/ 142251 h 907690"/>
              <a:gd name="connsiteX19" fmla="*/ 68428 w 680677"/>
              <a:gd name="connsiteY19" fmla="*/ 142251 h 907690"/>
              <a:gd name="connsiteX20" fmla="*/ 56543 w 680677"/>
              <a:gd name="connsiteY20" fmla="*/ 154132 h 907690"/>
              <a:gd name="connsiteX21" fmla="*/ 56543 w 680677"/>
              <a:gd name="connsiteY21" fmla="*/ 839283 h 907690"/>
              <a:gd name="connsiteX22" fmla="*/ 68428 w 680677"/>
              <a:gd name="connsiteY22" fmla="*/ 850804 h 907690"/>
              <a:gd name="connsiteX23" fmla="*/ 612249 w 680677"/>
              <a:gd name="connsiteY23" fmla="*/ 850804 h 907690"/>
              <a:gd name="connsiteX24" fmla="*/ 624134 w 680677"/>
              <a:gd name="connsiteY24" fmla="*/ 839283 h 907690"/>
              <a:gd name="connsiteX25" fmla="*/ 624134 w 680677"/>
              <a:gd name="connsiteY25" fmla="*/ 154132 h 907690"/>
              <a:gd name="connsiteX26" fmla="*/ 612249 w 680677"/>
              <a:gd name="connsiteY26" fmla="*/ 142251 h 907690"/>
              <a:gd name="connsiteX27" fmla="*/ 538779 w 680677"/>
              <a:gd name="connsiteY27" fmla="*/ 142251 h 907690"/>
              <a:gd name="connsiteX28" fmla="*/ 538779 w 680677"/>
              <a:gd name="connsiteY28" fmla="*/ 85725 h 907690"/>
              <a:gd name="connsiteX29" fmla="*/ 635659 w 680677"/>
              <a:gd name="connsiteY29" fmla="*/ 85725 h 907690"/>
              <a:gd name="connsiteX30" fmla="*/ 680677 w 680677"/>
              <a:gd name="connsiteY30" fmla="*/ 130370 h 907690"/>
              <a:gd name="connsiteX31" fmla="*/ 680677 w 680677"/>
              <a:gd name="connsiteY31" fmla="*/ 862686 h 907690"/>
              <a:gd name="connsiteX32" fmla="*/ 635659 w 680677"/>
              <a:gd name="connsiteY32" fmla="*/ 907690 h 907690"/>
              <a:gd name="connsiteX33" fmla="*/ 45018 w 680677"/>
              <a:gd name="connsiteY33" fmla="*/ 907690 h 907690"/>
              <a:gd name="connsiteX34" fmla="*/ 0 w 680677"/>
              <a:gd name="connsiteY34" fmla="*/ 862686 h 907690"/>
              <a:gd name="connsiteX35" fmla="*/ 0 w 680677"/>
              <a:gd name="connsiteY35" fmla="*/ 130370 h 907690"/>
              <a:gd name="connsiteX36" fmla="*/ 339545 w 680677"/>
              <a:gd name="connsiteY36" fmla="*/ 56484 h 907690"/>
              <a:gd name="connsiteX37" fmla="*/ 311145 w 680677"/>
              <a:gd name="connsiteY37" fmla="*/ 85265 h 907690"/>
              <a:gd name="connsiteX38" fmla="*/ 339545 w 680677"/>
              <a:gd name="connsiteY38" fmla="*/ 113687 h 907690"/>
              <a:gd name="connsiteX39" fmla="*/ 367945 w 680677"/>
              <a:gd name="connsiteY39" fmla="*/ 85265 h 907690"/>
              <a:gd name="connsiteX40" fmla="*/ 339545 w 680677"/>
              <a:gd name="connsiteY40" fmla="*/ 56484 h 907690"/>
              <a:gd name="connsiteX41" fmla="*/ 282744 w 680677"/>
              <a:gd name="connsiteY41" fmla="*/ 0 h 907690"/>
              <a:gd name="connsiteX42" fmla="*/ 395986 w 680677"/>
              <a:gd name="connsiteY42" fmla="*/ 0 h 907690"/>
              <a:gd name="connsiteX43" fmla="*/ 484782 w 680677"/>
              <a:gd name="connsiteY43" fmla="*/ 76631 h 907690"/>
              <a:gd name="connsiteX44" fmla="*/ 509228 w 680677"/>
              <a:gd name="connsiteY44" fmla="*/ 85265 h 907690"/>
              <a:gd name="connsiteX45" fmla="*/ 509228 w 680677"/>
              <a:gd name="connsiteY45" fmla="*/ 226653 h 907690"/>
              <a:gd name="connsiteX46" fmla="*/ 169862 w 680677"/>
              <a:gd name="connsiteY46" fmla="*/ 226653 h 907690"/>
              <a:gd name="connsiteX47" fmla="*/ 169862 w 680677"/>
              <a:gd name="connsiteY47" fmla="*/ 85265 h 907690"/>
              <a:gd name="connsiteX48" fmla="*/ 194308 w 680677"/>
              <a:gd name="connsiteY48" fmla="*/ 76631 h 907690"/>
              <a:gd name="connsiteX49" fmla="*/ 282744 w 680677"/>
              <a:gd name="connsiteY49" fmla="*/ 0 h 9076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Lst>
            <a:rect l="l" t="t" r="r" b="b"/>
            <a:pathLst>
              <a:path w="680677" h="907690">
                <a:moveTo>
                  <a:pt x="481925" y="414338"/>
                </a:moveTo>
                <a:lnTo>
                  <a:pt x="521927" y="454297"/>
                </a:lnTo>
                <a:lnTo>
                  <a:pt x="368405" y="607653"/>
                </a:lnTo>
                <a:lnTo>
                  <a:pt x="271462" y="510816"/>
                </a:lnTo>
                <a:lnTo>
                  <a:pt x="311465" y="470857"/>
                </a:lnTo>
                <a:lnTo>
                  <a:pt x="368405" y="527735"/>
                </a:lnTo>
                <a:close/>
                <a:moveTo>
                  <a:pt x="169862" y="368300"/>
                </a:moveTo>
                <a:lnTo>
                  <a:pt x="395986" y="368300"/>
                </a:lnTo>
                <a:lnTo>
                  <a:pt x="395986" y="424945"/>
                </a:lnTo>
                <a:lnTo>
                  <a:pt x="226303" y="424945"/>
                </a:lnTo>
                <a:lnTo>
                  <a:pt x="226303" y="652247"/>
                </a:lnTo>
                <a:lnTo>
                  <a:pt x="452787" y="652247"/>
                </a:lnTo>
                <a:lnTo>
                  <a:pt x="452787" y="567099"/>
                </a:lnTo>
                <a:lnTo>
                  <a:pt x="509228" y="567099"/>
                </a:lnTo>
                <a:lnTo>
                  <a:pt x="509228" y="709252"/>
                </a:lnTo>
                <a:lnTo>
                  <a:pt x="169862" y="709252"/>
                </a:lnTo>
                <a:close/>
                <a:moveTo>
                  <a:pt x="45018" y="85725"/>
                </a:moveTo>
                <a:lnTo>
                  <a:pt x="141897" y="85725"/>
                </a:lnTo>
                <a:lnTo>
                  <a:pt x="141897" y="142251"/>
                </a:lnTo>
                <a:lnTo>
                  <a:pt x="68428" y="142251"/>
                </a:lnTo>
                <a:lnTo>
                  <a:pt x="56543" y="154132"/>
                </a:lnTo>
                <a:lnTo>
                  <a:pt x="56543" y="839283"/>
                </a:lnTo>
                <a:lnTo>
                  <a:pt x="68428" y="850804"/>
                </a:lnTo>
                <a:lnTo>
                  <a:pt x="612249" y="850804"/>
                </a:lnTo>
                <a:lnTo>
                  <a:pt x="624134" y="839283"/>
                </a:lnTo>
                <a:lnTo>
                  <a:pt x="624134" y="154132"/>
                </a:lnTo>
                <a:lnTo>
                  <a:pt x="612249" y="142251"/>
                </a:lnTo>
                <a:lnTo>
                  <a:pt x="538779" y="142251"/>
                </a:lnTo>
                <a:lnTo>
                  <a:pt x="538779" y="85725"/>
                </a:lnTo>
                <a:lnTo>
                  <a:pt x="635659" y="85725"/>
                </a:lnTo>
                <a:lnTo>
                  <a:pt x="680677" y="130370"/>
                </a:lnTo>
                <a:lnTo>
                  <a:pt x="680677" y="862686"/>
                </a:lnTo>
                <a:lnTo>
                  <a:pt x="635659" y="907690"/>
                </a:lnTo>
                <a:lnTo>
                  <a:pt x="45018" y="907690"/>
                </a:lnTo>
                <a:lnTo>
                  <a:pt x="0" y="862686"/>
                </a:lnTo>
                <a:lnTo>
                  <a:pt x="0" y="130370"/>
                </a:lnTo>
                <a:close/>
                <a:moveTo>
                  <a:pt x="339545" y="56484"/>
                </a:moveTo>
                <a:cubicBezTo>
                  <a:pt x="324087" y="56484"/>
                  <a:pt x="311145" y="69435"/>
                  <a:pt x="311145" y="85265"/>
                </a:cubicBezTo>
                <a:cubicBezTo>
                  <a:pt x="311145" y="100735"/>
                  <a:pt x="324087" y="113687"/>
                  <a:pt x="339545" y="113687"/>
                </a:cubicBezTo>
                <a:cubicBezTo>
                  <a:pt x="355003" y="113687"/>
                  <a:pt x="367945" y="100735"/>
                  <a:pt x="367945" y="85265"/>
                </a:cubicBezTo>
                <a:cubicBezTo>
                  <a:pt x="367945" y="69435"/>
                  <a:pt x="355003" y="56484"/>
                  <a:pt x="339545" y="56484"/>
                </a:cubicBezTo>
                <a:close/>
                <a:moveTo>
                  <a:pt x="282744" y="0"/>
                </a:moveTo>
                <a:lnTo>
                  <a:pt x="395986" y="0"/>
                </a:lnTo>
                <a:cubicBezTo>
                  <a:pt x="414320" y="36337"/>
                  <a:pt x="445956" y="64039"/>
                  <a:pt x="484782" y="76631"/>
                </a:cubicBezTo>
                <a:lnTo>
                  <a:pt x="509228" y="85265"/>
                </a:lnTo>
                <a:lnTo>
                  <a:pt x="509228" y="226653"/>
                </a:lnTo>
                <a:lnTo>
                  <a:pt x="169862" y="226653"/>
                </a:lnTo>
                <a:lnTo>
                  <a:pt x="169862" y="85265"/>
                </a:lnTo>
                <a:lnTo>
                  <a:pt x="194308" y="76631"/>
                </a:lnTo>
                <a:cubicBezTo>
                  <a:pt x="233134" y="64039"/>
                  <a:pt x="264770" y="36337"/>
                  <a:pt x="282744" y="0"/>
                </a:cubicBezTo>
                <a:close/>
              </a:path>
            </a:pathLst>
          </a:custGeom>
          <a:solidFill>
            <a:sysClr val="window" lastClr="FFFFFF"/>
          </a:solidFill>
          <a:ln>
            <a:noFill/>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endParaRPr lang="en-US" sz="1100">
              <a:latin typeface="Calibri Light" panose="020F0302020204030204" pitchFamily="34" charset="0"/>
              <a:cs typeface="Calibri Light" panose="020F0302020204030204" pitchFamily="34" charset="0"/>
            </a:endParaRPr>
          </a:p>
        </xdr:txBody>
      </xdr:sp>
      <xdr:sp macro="" textlink="">
        <xdr:nvSpPr>
          <xdr:cNvPr id="47" name="Freeform 949">
            <a:extLst>
              <a:ext uri="{FF2B5EF4-FFF2-40B4-BE49-F238E27FC236}">
                <a16:creationId xmlns:a16="http://schemas.microsoft.com/office/drawing/2014/main" id="{00000000-0008-0000-0400-00002F000000}"/>
              </a:ext>
            </a:extLst>
          </xdr:cNvPr>
          <xdr:cNvSpPr>
            <a:spLocks noChangeAspect="1" noChangeArrowheads="1"/>
          </xdr:cNvSpPr>
        </xdr:nvSpPr>
        <xdr:spPr bwMode="auto">
          <a:xfrm>
            <a:off x="249773" y="7037269"/>
            <a:ext cx="252000" cy="252757"/>
          </a:xfrm>
          <a:custGeom>
            <a:avLst/>
            <a:gdLst>
              <a:gd name="T0" fmla="*/ 873075 w 291288"/>
              <a:gd name="T1" fmla="*/ 2795955 h 291739"/>
              <a:gd name="T2" fmla="*/ 825138 w 291288"/>
              <a:gd name="T3" fmla="*/ 3109255 h 291739"/>
              <a:gd name="T4" fmla="*/ 1567832 w 291288"/>
              <a:gd name="T5" fmla="*/ 3109255 h 291739"/>
              <a:gd name="T6" fmla="*/ 1567832 w 291288"/>
              <a:gd name="T7" fmla="*/ 2795955 h 291739"/>
              <a:gd name="T8" fmla="*/ 932966 w 291288"/>
              <a:gd name="T9" fmla="*/ 2427114 h 291739"/>
              <a:gd name="T10" fmla="*/ 889032 w 291288"/>
              <a:gd name="T11" fmla="*/ 2696803 h 291739"/>
              <a:gd name="T12" fmla="*/ 1615749 w 291288"/>
              <a:gd name="T13" fmla="*/ 2696803 h 291739"/>
              <a:gd name="T14" fmla="*/ 1663649 w 291288"/>
              <a:gd name="T15" fmla="*/ 2748367 h 291739"/>
              <a:gd name="T16" fmla="*/ 1663649 w 291288"/>
              <a:gd name="T17" fmla="*/ 3109255 h 291739"/>
              <a:gd name="T18" fmla="*/ 2973334 w 291288"/>
              <a:gd name="T19" fmla="*/ 3109255 h 291739"/>
              <a:gd name="T20" fmla="*/ 1603782 w 291288"/>
              <a:gd name="T21" fmla="*/ 2427114 h 291739"/>
              <a:gd name="T22" fmla="*/ 322044 w 291288"/>
              <a:gd name="T23" fmla="*/ 2427114 h 291739"/>
              <a:gd name="T24" fmla="*/ 114416 w 291288"/>
              <a:gd name="T25" fmla="*/ 3109255 h 291739"/>
              <a:gd name="T26" fmla="*/ 725308 w 291288"/>
              <a:gd name="T27" fmla="*/ 3109255 h 291739"/>
              <a:gd name="T28" fmla="*/ 837119 w 291288"/>
              <a:gd name="T29" fmla="*/ 2427114 h 291739"/>
              <a:gd name="T30" fmla="*/ 2861559 w 291288"/>
              <a:gd name="T31" fmla="*/ 2268491 h 291739"/>
              <a:gd name="T32" fmla="*/ 2178738 w 291288"/>
              <a:gd name="T33" fmla="*/ 2609551 h 291739"/>
              <a:gd name="T34" fmla="*/ 3101105 w 291288"/>
              <a:gd name="T35" fmla="*/ 3065636 h 291739"/>
              <a:gd name="T36" fmla="*/ 2090912 w 291288"/>
              <a:gd name="T37" fmla="*/ 1911559 h 291739"/>
              <a:gd name="T38" fmla="*/ 1695617 w 291288"/>
              <a:gd name="T39" fmla="*/ 2367632 h 291739"/>
              <a:gd name="T40" fmla="*/ 2070956 w 291288"/>
              <a:gd name="T41" fmla="*/ 2550070 h 291739"/>
              <a:gd name="T42" fmla="*/ 2833573 w 291288"/>
              <a:gd name="T43" fmla="*/ 2173303 h 291739"/>
              <a:gd name="T44" fmla="*/ 2753701 w 291288"/>
              <a:gd name="T45" fmla="*/ 1911559 h 291739"/>
              <a:gd name="T46" fmla="*/ 1020803 w 291288"/>
              <a:gd name="T47" fmla="*/ 1911559 h 291739"/>
              <a:gd name="T48" fmla="*/ 952932 w 291288"/>
              <a:gd name="T49" fmla="*/ 2331935 h 291739"/>
              <a:gd name="T50" fmla="*/ 1495937 w 291288"/>
              <a:gd name="T51" fmla="*/ 2331935 h 291739"/>
              <a:gd name="T52" fmla="*/ 1140594 w 291288"/>
              <a:gd name="T53" fmla="*/ 1911559 h 291739"/>
              <a:gd name="T54" fmla="*/ 477753 w 291288"/>
              <a:gd name="T55" fmla="*/ 1911559 h 291739"/>
              <a:gd name="T56" fmla="*/ 349984 w 291288"/>
              <a:gd name="T57" fmla="*/ 2331935 h 291739"/>
              <a:gd name="T58" fmla="*/ 853117 w 291288"/>
              <a:gd name="T59" fmla="*/ 2331935 h 291739"/>
              <a:gd name="T60" fmla="*/ 920988 w 291288"/>
              <a:gd name="T61" fmla="*/ 1911559 h 291739"/>
              <a:gd name="T62" fmla="*/ 1615749 w 291288"/>
              <a:gd name="T63" fmla="*/ 566600 h 291739"/>
              <a:gd name="T64" fmla="*/ 1277311 w 291288"/>
              <a:gd name="T65" fmla="*/ 907845 h 291739"/>
              <a:gd name="T66" fmla="*/ 1615749 w 291288"/>
              <a:gd name="T67" fmla="*/ 1245099 h 291739"/>
              <a:gd name="T68" fmla="*/ 1954201 w 291288"/>
              <a:gd name="T69" fmla="*/ 907845 h 291739"/>
              <a:gd name="T70" fmla="*/ 1615749 w 291288"/>
              <a:gd name="T71" fmla="*/ 566600 h 291739"/>
              <a:gd name="T72" fmla="*/ 1615749 w 291288"/>
              <a:gd name="T73" fmla="*/ 471356 h 291739"/>
              <a:gd name="T74" fmla="*/ 2053733 w 291288"/>
              <a:gd name="T75" fmla="*/ 907845 h 291739"/>
              <a:gd name="T76" fmla="*/ 1615749 w 291288"/>
              <a:gd name="T77" fmla="*/ 1340336 h 291739"/>
              <a:gd name="T78" fmla="*/ 1177757 w 291288"/>
              <a:gd name="T79" fmla="*/ 907845 h 291739"/>
              <a:gd name="T80" fmla="*/ 1615749 w 291288"/>
              <a:gd name="T81" fmla="*/ 471356 h 291739"/>
              <a:gd name="T82" fmla="*/ 1615749 w 291288"/>
              <a:gd name="T83" fmla="*/ 95201 h 291739"/>
              <a:gd name="T84" fmla="*/ 809176 w 291288"/>
              <a:gd name="T85" fmla="*/ 896289 h 291739"/>
              <a:gd name="T86" fmla="*/ 1615749 w 291288"/>
              <a:gd name="T87" fmla="*/ 2312106 h 291739"/>
              <a:gd name="T88" fmla="*/ 2418321 w 291288"/>
              <a:gd name="T89" fmla="*/ 896289 h 291739"/>
              <a:gd name="T90" fmla="*/ 1615749 w 291288"/>
              <a:gd name="T91" fmla="*/ 95201 h 291739"/>
              <a:gd name="T92" fmla="*/ 1615749 w 291288"/>
              <a:gd name="T93" fmla="*/ 0 h 291739"/>
              <a:gd name="T94" fmla="*/ 2514142 w 291288"/>
              <a:gd name="T95" fmla="*/ 896289 h 291739"/>
              <a:gd name="T96" fmla="*/ 2154774 w 291288"/>
              <a:gd name="T97" fmla="*/ 1812402 h 291739"/>
              <a:gd name="T98" fmla="*/ 2789634 w 291288"/>
              <a:gd name="T99" fmla="*/ 1812402 h 291739"/>
              <a:gd name="T100" fmla="*/ 2833573 w 291288"/>
              <a:gd name="T101" fmla="*/ 1848099 h 291739"/>
              <a:gd name="T102" fmla="*/ 3224882 w 291288"/>
              <a:gd name="T103" fmla="*/ 3140984 h 291739"/>
              <a:gd name="T104" fmla="*/ 3220897 w 291288"/>
              <a:gd name="T105" fmla="*/ 3188573 h 291739"/>
              <a:gd name="T106" fmla="*/ 3180961 w 291288"/>
              <a:gd name="T107" fmla="*/ 3208396 h 291739"/>
              <a:gd name="T108" fmla="*/ 46558 w 291288"/>
              <a:gd name="T109" fmla="*/ 3208396 h 291739"/>
              <a:gd name="T110" fmla="*/ 6633 w 291288"/>
              <a:gd name="T111" fmla="*/ 3188573 h 291739"/>
              <a:gd name="T112" fmla="*/ 2641 w 291288"/>
              <a:gd name="T113" fmla="*/ 3140984 h 291739"/>
              <a:gd name="T114" fmla="*/ 393917 w 291288"/>
              <a:gd name="T115" fmla="*/ 1848099 h 291739"/>
              <a:gd name="T116" fmla="*/ 441828 w 291288"/>
              <a:gd name="T117" fmla="*/ 1812402 h 291739"/>
              <a:gd name="T118" fmla="*/ 1068706 w 291288"/>
              <a:gd name="T119" fmla="*/ 1812402 h 291739"/>
              <a:gd name="T120" fmla="*/ 713343 w 291288"/>
              <a:gd name="T121" fmla="*/ 896289 h 291739"/>
              <a:gd name="T122" fmla="*/ 1615749 w 291288"/>
              <a:gd name="T123" fmla="*/ 0 h 291739"/>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 name="T174" fmla="*/ 0 60000 65536"/>
              <a:gd name="T175" fmla="*/ 0 60000 65536"/>
              <a:gd name="T176" fmla="*/ 0 60000 65536"/>
              <a:gd name="T177" fmla="*/ 0 60000 65536"/>
              <a:gd name="T178" fmla="*/ 0 60000 65536"/>
              <a:gd name="T179" fmla="*/ 0 60000 65536"/>
              <a:gd name="T180" fmla="*/ 0 60000 65536"/>
              <a:gd name="T181" fmla="*/ 0 60000 65536"/>
              <a:gd name="T182" fmla="*/ 0 60000 65536"/>
              <a:gd name="T183" fmla="*/ 0 60000 65536"/>
              <a:gd name="T184" fmla="*/ 0 60000 65536"/>
              <a:gd name="T185" fmla="*/ 0 60000 65536"/>
            </a:gdLst>
            <a:ahLst/>
            <a:cxnLst>
              <a:cxn ang="T124">
                <a:pos x="T0" y="T1"/>
              </a:cxn>
              <a:cxn ang="T125">
                <a:pos x="T2" y="T3"/>
              </a:cxn>
              <a:cxn ang="T126">
                <a:pos x="T4" y="T5"/>
              </a:cxn>
              <a:cxn ang="T127">
                <a:pos x="T6" y="T7"/>
              </a:cxn>
              <a:cxn ang="T128">
                <a:pos x="T8" y="T9"/>
              </a:cxn>
              <a:cxn ang="T129">
                <a:pos x="T10" y="T11"/>
              </a:cxn>
              <a:cxn ang="T130">
                <a:pos x="T12" y="T13"/>
              </a:cxn>
              <a:cxn ang="T131">
                <a:pos x="T14" y="T15"/>
              </a:cxn>
              <a:cxn ang="T132">
                <a:pos x="T16" y="T17"/>
              </a:cxn>
              <a:cxn ang="T133">
                <a:pos x="T18" y="T19"/>
              </a:cxn>
              <a:cxn ang="T134">
                <a:pos x="T20" y="T21"/>
              </a:cxn>
              <a:cxn ang="T135">
                <a:pos x="T22" y="T23"/>
              </a:cxn>
              <a:cxn ang="T136">
                <a:pos x="T24" y="T25"/>
              </a:cxn>
              <a:cxn ang="T137">
                <a:pos x="T26" y="T27"/>
              </a:cxn>
              <a:cxn ang="T138">
                <a:pos x="T28" y="T29"/>
              </a:cxn>
              <a:cxn ang="T139">
                <a:pos x="T30" y="T31"/>
              </a:cxn>
              <a:cxn ang="T140">
                <a:pos x="T32" y="T33"/>
              </a:cxn>
              <a:cxn ang="T141">
                <a:pos x="T34" y="T35"/>
              </a:cxn>
              <a:cxn ang="T142">
                <a:pos x="T36" y="T37"/>
              </a:cxn>
              <a:cxn ang="T143">
                <a:pos x="T38" y="T39"/>
              </a:cxn>
              <a:cxn ang="T144">
                <a:pos x="T40" y="T41"/>
              </a:cxn>
              <a:cxn ang="T145">
                <a:pos x="T42" y="T43"/>
              </a:cxn>
              <a:cxn ang="T146">
                <a:pos x="T44" y="T45"/>
              </a:cxn>
              <a:cxn ang="T147">
                <a:pos x="T46" y="T47"/>
              </a:cxn>
              <a:cxn ang="T148">
                <a:pos x="T48" y="T49"/>
              </a:cxn>
              <a:cxn ang="T149">
                <a:pos x="T50" y="T51"/>
              </a:cxn>
              <a:cxn ang="T150">
                <a:pos x="T52" y="T53"/>
              </a:cxn>
              <a:cxn ang="T151">
                <a:pos x="T54" y="T55"/>
              </a:cxn>
              <a:cxn ang="T152">
                <a:pos x="T56" y="T57"/>
              </a:cxn>
              <a:cxn ang="T153">
                <a:pos x="T58" y="T59"/>
              </a:cxn>
              <a:cxn ang="T154">
                <a:pos x="T60" y="T61"/>
              </a:cxn>
              <a:cxn ang="T155">
                <a:pos x="T62" y="T63"/>
              </a:cxn>
              <a:cxn ang="T156">
                <a:pos x="T64" y="T65"/>
              </a:cxn>
              <a:cxn ang="T157">
                <a:pos x="T66" y="T67"/>
              </a:cxn>
              <a:cxn ang="T158">
                <a:pos x="T68" y="T69"/>
              </a:cxn>
              <a:cxn ang="T159">
                <a:pos x="T70" y="T71"/>
              </a:cxn>
              <a:cxn ang="T160">
                <a:pos x="T72" y="T73"/>
              </a:cxn>
              <a:cxn ang="T161">
                <a:pos x="T74" y="T75"/>
              </a:cxn>
              <a:cxn ang="T162">
                <a:pos x="T76" y="T77"/>
              </a:cxn>
              <a:cxn ang="T163">
                <a:pos x="T78" y="T79"/>
              </a:cxn>
              <a:cxn ang="T164">
                <a:pos x="T80" y="T81"/>
              </a:cxn>
              <a:cxn ang="T165">
                <a:pos x="T82" y="T83"/>
              </a:cxn>
              <a:cxn ang="T166">
                <a:pos x="T84" y="T85"/>
              </a:cxn>
              <a:cxn ang="T167">
                <a:pos x="T86" y="T87"/>
              </a:cxn>
              <a:cxn ang="T168">
                <a:pos x="T88" y="T89"/>
              </a:cxn>
              <a:cxn ang="T169">
                <a:pos x="T90" y="T91"/>
              </a:cxn>
              <a:cxn ang="T170">
                <a:pos x="T92" y="T93"/>
              </a:cxn>
              <a:cxn ang="T171">
                <a:pos x="T94" y="T95"/>
              </a:cxn>
              <a:cxn ang="T172">
                <a:pos x="T96" y="T97"/>
              </a:cxn>
              <a:cxn ang="T173">
                <a:pos x="T98" y="T99"/>
              </a:cxn>
              <a:cxn ang="T174">
                <a:pos x="T100" y="T101"/>
              </a:cxn>
              <a:cxn ang="T175">
                <a:pos x="T102" y="T103"/>
              </a:cxn>
              <a:cxn ang="T176">
                <a:pos x="T104" y="T105"/>
              </a:cxn>
              <a:cxn ang="T177">
                <a:pos x="T106" y="T107"/>
              </a:cxn>
              <a:cxn ang="T178">
                <a:pos x="T108" y="T109"/>
              </a:cxn>
              <a:cxn ang="T179">
                <a:pos x="T110" y="T111"/>
              </a:cxn>
              <a:cxn ang="T180">
                <a:pos x="T112" y="T113"/>
              </a:cxn>
              <a:cxn ang="T181">
                <a:pos x="T114" y="T115"/>
              </a:cxn>
              <a:cxn ang="T182">
                <a:pos x="T116" y="T117"/>
              </a:cxn>
              <a:cxn ang="T183">
                <a:pos x="T118" y="T119"/>
              </a:cxn>
              <a:cxn ang="T184">
                <a:pos x="T120" y="T121"/>
              </a:cxn>
              <a:cxn ang="T185">
                <a:pos x="T122" y="T123"/>
              </a:cxn>
            </a:cxnLst>
            <a:rect l="0" t="0" r="r" b="b"/>
            <a:pathLst>
              <a:path w="291288" h="291739">
                <a:moveTo>
                  <a:pt x="78754" y="254235"/>
                </a:moveTo>
                <a:lnTo>
                  <a:pt x="74431" y="282724"/>
                </a:lnTo>
                <a:lnTo>
                  <a:pt x="141424" y="282724"/>
                </a:lnTo>
                <a:lnTo>
                  <a:pt x="141424" y="254235"/>
                </a:lnTo>
                <a:lnTo>
                  <a:pt x="78754" y="254235"/>
                </a:lnTo>
                <a:close/>
                <a:moveTo>
                  <a:pt x="84156" y="220698"/>
                </a:moveTo>
                <a:lnTo>
                  <a:pt x="80194" y="245220"/>
                </a:lnTo>
                <a:lnTo>
                  <a:pt x="145746" y="245220"/>
                </a:lnTo>
                <a:cubicBezTo>
                  <a:pt x="147907" y="245220"/>
                  <a:pt x="150068" y="247384"/>
                  <a:pt x="150068" y="249908"/>
                </a:cubicBezTo>
                <a:lnTo>
                  <a:pt x="150068" y="282724"/>
                </a:lnTo>
                <a:lnTo>
                  <a:pt x="268205" y="282724"/>
                </a:lnTo>
                <a:lnTo>
                  <a:pt x="144666" y="220698"/>
                </a:lnTo>
                <a:lnTo>
                  <a:pt x="84156" y="220698"/>
                </a:lnTo>
                <a:close/>
                <a:moveTo>
                  <a:pt x="29050" y="220698"/>
                </a:moveTo>
                <a:lnTo>
                  <a:pt x="10321" y="282724"/>
                </a:lnTo>
                <a:lnTo>
                  <a:pt x="65427" y="282724"/>
                </a:lnTo>
                <a:lnTo>
                  <a:pt x="75512" y="220698"/>
                </a:lnTo>
                <a:lnTo>
                  <a:pt x="29050" y="220698"/>
                </a:lnTo>
                <a:close/>
                <a:moveTo>
                  <a:pt x="258120" y="206273"/>
                </a:moveTo>
                <a:lnTo>
                  <a:pt x="196530" y="237286"/>
                </a:lnTo>
                <a:lnTo>
                  <a:pt x="279730" y="278757"/>
                </a:lnTo>
                <a:lnTo>
                  <a:pt x="258120" y="206273"/>
                </a:lnTo>
                <a:close/>
                <a:moveTo>
                  <a:pt x="188607" y="173818"/>
                </a:moveTo>
                <a:cubicBezTo>
                  <a:pt x="174200" y="192930"/>
                  <a:pt x="160153" y="208076"/>
                  <a:pt x="152950" y="215289"/>
                </a:cubicBezTo>
                <a:lnTo>
                  <a:pt x="186806" y="231877"/>
                </a:lnTo>
                <a:lnTo>
                  <a:pt x="255599" y="197618"/>
                </a:lnTo>
                <a:lnTo>
                  <a:pt x="248395" y="173818"/>
                </a:lnTo>
                <a:lnTo>
                  <a:pt x="188607" y="173818"/>
                </a:lnTo>
                <a:close/>
                <a:moveTo>
                  <a:pt x="92080" y="173818"/>
                </a:moveTo>
                <a:lnTo>
                  <a:pt x="85957" y="212043"/>
                </a:lnTo>
                <a:lnTo>
                  <a:pt x="134941" y="212043"/>
                </a:lnTo>
                <a:cubicBezTo>
                  <a:pt x="127377" y="204109"/>
                  <a:pt x="115131" y="190406"/>
                  <a:pt x="102885" y="173818"/>
                </a:cubicBezTo>
                <a:lnTo>
                  <a:pt x="92080" y="173818"/>
                </a:lnTo>
                <a:close/>
                <a:moveTo>
                  <a:pt x="43096" y="173818"/>
                </a:moveTo>
                <a:lnTo>
                  <a:pt x="31571" y="212043"/>
                </a:lnTo>
                <a:lnTo>
                  <a:pt x="76953" y="212043"/>
                </a:lnTo>
                <a:lnTo>
                  <a:pt x="83076" y="173818"/>
                </a:lnTo>
                <a:lnTo>
                  <a:pt x="43096" y="173818"/>
                </a:lnTo>
                <a:close/>
                <a:moveTo>
                  <a:pt x="145746" y="51521"/>
                </a:moveTo>
                <a:cubicBezTo>
                  <a:pt x="128866" y="51521"/>
                  <a:pt x="115217" y="65592"/>
                  <a:pt x="115217" y="82550"/>
                </a:cubicBezTo>
                <a:cubicBezTo>
                  <a:pt x="115217" y="99507"/>
                  <a:pt x="128866" y="113217"/>
                  <a:pt x="145746" y="113217"/>
                </a:cubicBezTo>
                <a:cubicBezTo>
                  <a:pt x="162627" y="113217"/>
                  <a:pt x="176275" y="99507"/>
                  <a:pt x="176275" y="82550"/>
                </a:cubicBezTo>
                <a:cubicBezTo>
                  <a:pt x="176275" y="65592"/>
                  <a:pt x="162627" y="51521"/>
                  <a:pt x="145746" y="51521"/>
                </a:cubicBezTo>
                <a:close/>
                <a:moveTo>
                  <a:pt x="145746" y="42862"/>
                </a:moveTo>
                <a:cubicBezTo>
                  <a:pt x="167296" y="42862"/>
                  <a:pt x="185254" y="60541"/>
                  <a:pt x="185254" y="82550"/>
                </a:cubicBezTo>
                <a:cubicBezTo>
                  <a:pt x="185254" y="104197"/>
                  <a:pt x="167296" y="121876"/>
                  <a:pt x="145746" y="121876"/>
                </a:cubicBezTo>
                <a:cubicBezTo>
                  <a:pt x="123837" y="121876"/>
                  <a:pt x="106238" y="104197"/>
                  <a:pt x="106238" y="82550"/>
                </a:cubicBezTo>
                <a:cubicBezTo>
                  <a:pt x="106238" y="60541"/>
                  <a:pt x="123837" y="42862"/>
                  <a:pt x="145746" y="42862"/>
                </a:cubicBezTo>
                <a:close/>
                <a:moveTo>
                  <a:pt x="145746" y="8655"/>
                </a:moveTo>
                <a:cubicBezTo>
                  <a:pt x="105767" y="8655"/>
                  <a:pt x="72991" y="41471"/>
                  <a:pt x="72991" y="81500"/>
                </a:cubicBezTo>
                <a:cubicBezTo>
                  <a:pt x="72991" y="133428"/>
                  <a:pt x="131339" y="195815"/>
                  <a:pt x="145746" y="210240"/>
                </a:cubicBezTo>
                <a:cubicBezTo>
                  <a:pt x="159793" y="195815"/>
                  <a:pt x="218141" y="133068"/>
                  <a:pt x="218141" y="81500"/>
                </a:cubicBezTo>
                <a:cubicBezTo>
                  <a:pt x="218141" y="41471"/>
                  <a:pt x="185725" y="8655"/>
                  <a:pt x="145746" y="8655"/>
                </a:cubicBezTo>
                <a:close/>
                <a:moveTo>
                  <a:pt x="145746" y="0"/>
                </a:moveTo>
                <a:cubicBezTo>
                  <a:pt x="190408" y="0"/>
                  <a:pt x="226785" y="36422"/>
                  <a:pt x="226785" y="81500"/>
                </a:cubicBezTo>
                <a:cubicBezTo>
                  <a:pt x="226785" y="109628"/>
                  <a:pt x="211658" y="139920"/>
                  <a:pt x="194369" y="164802"/>
                </a:cubicBezTo>
                <a:lnTo>
                  <a:pt x="251637" y="164802"/>
                </a:lnTo>
                <a:cubicBezTo>
                  <a:pt x="253438" y="164802"/>
                  <a:pt x="255239" y="166245"/>
                  <a:pt x="255599" y="168048"/>
                </a:cubicBezTo>
                <a:lnTo>
                  <a:pt x="290896" y="285609"/>
                </a:lnTo>
                <a:cubicBezTo>
                  <a:pt x="291616" y="287051"/>
                  <a:pt x="291256" y="288494"/>
                  <a:pt x="290536" y="289936"/>
                </a:cubicBezTo>
                <a:cubicBezTo>
                  <a:pt x="289455" y="291018"/>
                  <a:pt x="288375" y="291739"/>
                  <a:pt x="286934" y="291739"/>
                </a:cubicBezTo>
                <a:lnTo>
                  <a:pt x="4198" y="291739"/>
                </a:lnTo>
                <a:cubicBezTo>
                  <a:pt x="3117" y="291739"/>
                  <a:pt x="1677" y="291018"/>
                  <a:pt x="596" y="289936"/>
                </a:cubicBezTo>
                <a:cubicBezTo>
                  <a:pt x="-124" y="288494"/>
                  <a:pt x="-124" y="287051"/>
                  <a:pt x="236" y="285609"/>
                </a:cubicBezTo>
                <a:lnTo>
                  <a:pt x="35533" y="168048"/>
                </a:lnTo>
                <a:cubicBezTo>
                  <a:pt x="36253" y="166245"/>
                  <a:pt x="37694" y="164802"/>
                  <a:pt x="39855" y="164802"/>
                </a:cubicBezTo>
                <a:lnTo>
                  <a:pt x="96402" y="164802"/>
                </a:lnTo>
                <a:cubicBezTo>
                  <a:pt x="79834" y="139920"/>
                  <a:pt x="64347" y="109628"/>
                  <a:pt x="64347" y="81500"/>
                </a:cubicBezTo>
                <a:cubicBezTo>
                  <a:pt x="64347" y="36422"/>
                  <a:pt x="100724" y="0"/>
                  <a:pt x="145746" y="0"/>
                </a:cubicBezTo>
                <a:close/>
              </a:path>
            </a:pathLst>
          </a:custGeom>
          <a:solidFill>
            <a:sysClr val="window" lastClr="FFFFFF"/>
          </a:solidFill>
          <a:ln w="3175">
            <a:solidFill>
              <a:sysClr val="window" lastClr="FFFFFF"/>
            </a:solidFill>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endParaRPr lang="en-US" sz="1100">
              <a:latin typeface="Calibri Light" panose="020F0302020204030204" pitchFamily="34" charset="0"/>
              <a:cs typeface="Calibri Light" panose="020F0302020204030204" pitchFamily="34" charset="0"/>
            </a:endParaRPr>
          </a:p>
        </xdr:txBody>
      </xdr:sp>
    </xdr:grpSp>
    <xdr:clientData fLocksWithSheet="0"/>
  </xdr:twoCellAnchor>
  <xdr:twoCellAnchor>
    <xdr:from>
      <xdr:col>5</xdr:col>
      <xdr:colOff>780336</xdr:colOff>
      <xdr:row>3</xdr:row>
      <xdr:rowOff>120650</xdr:rowOff>
    </xdr:from>
    <xdr:to>
      <xdr:col>7</xdr:col>
      <xdr:colOff>1133867</xdr:colOff>
      <xdr:row>34</xdr:row>
      <xdr:rowOff>170768</xdr:rowOff>
    </xdr:to>
    <xdr:grpSp>
      <xdr:nvGrpSpPr>
        <xdr:cNvPr id="48" name="Gruppieren 47">
          <a:extLst>
            <a:ext uri="{FF2B5EF4-FFF2-40B4-BE49-F238E27FC236}">
              <a16:creationId xmlns:a16="http://schemas.microsoft.com/office/drawing/2014/main" id="{00000000-0008-0000-0400-000030000000}"/>
            </a:ext>
          </a:extLst>
        </xdr:cNvPr>
        <xdr:cNvGrpSpPr/>
      </xdr:nvGrpSpPr>
      <xdr:grpSpPr>
        <a:xfrm>
          <a:off x="9131856" y="1050290"/>
          <a:ext cx="2083271" cy="5612718"/>
          <a:chOff x="9016286" y="6153150"/>
          <a:chExt cx="2125181" cy="5657168"/>
        </a:xfrm>
      </xdr:grpSpPr>
      <xdr:sp macro="" textlink="">
        <xdr:nvSpPr>
          <xdr:cNvPr id="49" name="Textfeld 13">
            <a:extLst>
              <a:ext uri="{FF2B5EF4-FFF2-40B4-BE49-F238E27FC236}">
                <a16:creationId xmlns:a16="http://schemas.microsoft.com/office/drawing/2014/main" id="{00000000-0008-0000-0400-000031000000}"/>
              </a:ext>
            </a:extLst>
          </xdr:cNvPr>
          <xdr:cNvSpPr txBox="1"/>
        </xdr:nvSpPr>
        <xdr:spPr>
          <a:xfrm>
            <a:off x="9040539" y="7647500"/>
            <a:ext cx="2016000" cy="2268000"/>
          </a:xfrm>
          <a:prstGeom prst="rect">
            <a:avLst/>
          </a:prstGeom>
          <a:gradFill flip="none" rotWithShape="1">
            <a:gsLst>
              <a:gs pos="9000">
                <a:srgbClr val="9EA2C7"/>
              </a:gs>
              <a:gs pos="100000">
                <a:srgbClr val="DCE0E8"/>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Activité 1</a:t>
            </a:r>
          </a:p>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Aktivität 2</a:t>
            </a:r>
          </a:p>
          <a:p>
            <a:pPr marL="90488" marR="0" lvl="0" indent="-90488" algn="l" defTabSz="45720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a:t>
            </a:r>
          </a:p>
        </xdr:txBody>
      </xdr:sp>
      <xdr:sp macro="" textlink="">
        <xdr:nvSpPr>
          <xdr:cNvPr id="50" name="Textfeld 20">
            <a:extLst>
              <a:ext uri="{FF2B5EF4-FFF2-40B4-BE49-F238E27FC236}">
                <a16:creationId xmlns:a16="http://schemas.microsoft.com/office/drawing/2014/main" id="{00000000-0008-0000-0400-000032000000}"/>
              </a:ext>
            </a:extLst>
          </xdr:cNvPr>
          <xdr:cNvSpPr txBox="1"/>
        </xdr:nvSpPr>
        <xdr:spPr>
          <a:xfrm>
            <a:off x="9040539" y="9988625"/>
            <a:ext cx="2016000" cy="1368000"/>
          </a:xfrm>
          <a:prstGeom prst="rect">
            <a:avLst/>
          </a:prstGeom>
          <a:gradFill flip="none" rotWithShape="1">
            <a:gsLst>
              <a:gs pos="9000">
                <a:srgbClr val="9EA2C7"/>
              </a:gs>
              <a:gs pos="100000">
                <a:srgbClr val="DCE0E8"/>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90488" marR="0" lvl="0" indent="-90488" algn="l" defTabSz="457200" rtl="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120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Résultat 1</a:t>
            </a:r>
          </a:p>
          <a:p>
            <a:pPr marL="90488" marR="0" lvl="0" indent="-90488" algn="l" defTabSz="457200" rtl="0" eaLnBrk="1" fontAlgn="auto" latinLnBrk="0" hangingPunct="1">
              <a:lnSpc>
                <a:spcPct val="100000"/>
              </a:lnSpc>
              <a:spcBef>
                <a:spcPts val="0"/>
              </a:spcBef>
              <a:spcAft>
                <a:spcPts val="0"/>
              </a:spcAft>
              <a:buClrTx/>
              <a:buSzTx/>
              <a:buFont typeface="Wingdings" panose="05000000000000000000" pitchFamily="2" charset="2"/>
              <a:buChar char="§"/>
              <a:tabLst/>
              <a:defRPr/>
            </a:pPr>
            <a:r>
              <a:rPr kumimoji="0" lang="fr-CH" sz="1100" b="0" i="0" u="none" strike="noStrike" kern="1200" cap="none" spc="0" normalizeH="0" baseline="0" noProof="0">
                <a:ln>
                  <a:noFill/>
                </a:ln>
                <a:solidFill>
                  <a:prstClr val="black"/>
                </a:solidFill>
                <a:effectLst/>
                <a:uLnTx/>
                <a:uFillTx/>
                <a:latin typeface="Calibri Light" panose="020F0302020204030204" pitchFamily="34" charset="0"/>
                <a:ea typeface="+mn-ea"/>
                <a:cs typeface="Calibri Light" panose="020F0302020204030204" pitchFamily="34" charset="0"/>
              </a:rPr>
              <a:t>Résultat 2</a:t>
            </a:r>
          </a:p>
          <a:p>
            <a:pPr>
              <a:buClr>
                <a:srgbClr val="4BACC6">
                  <a:lumMod val="50000"/>
                </a:srgbClr>
              </a:buClr>
              <a:buFont typeface="Calibri Light" panose="020F0302020204030204"/>
              <a:buAutoNum type="arabicPeriod"/>
              <a:tabLst>
                <a:tab pos="90170" algn="l"/>
              </a:tabLst>
            </a:pPr>
            <a:endParaRPr lang="fr-CH" sz="1100">
              <a:latin typeface="Calibri Light" panose="020F0302020204030204" pitchFamily="34" charset="0"/>
              <a:cs typeface="Calibri Light" panose="020F0302020204030204" pitchFamily="34" charset="0"/>
            </a:endParaRPr>
          </a:p>
          <a:p>
            <a:endParaRPr lang="fr-CH" sz="1100">
              <a:latin typeface="Calibri Light" panose="020F0302020204030204" pitchFamily="34" charset="0"/>
              <a:cs typeface="Calibri Light" panose="020F0302020204030204" pitchFamily="34" charset="0"/>
            </a:endParaRPr>
          </a:p>
        </xdr:txBody>
      </xdr:sp>
      <xdr:sp macro="" textlink="">
        <xdr:nvSpPr>
          <xdr:cNvPr id="51" name="Eingekerbter Richtungspfeil 3">
            <a:extLst>
              <a:ext uri="{FF2B5EF4-FFF2-40B4-BE49-F238E27FC236}">
                <a16:creationId xmlns:a16="http://schemas.microsoft.com/office/drawing/2014/main" id="{00000000-0008-0000-0400-000033000000}"/>
              </a:ext>
            </a:extLst>
          </xdr:cNvPr>
          <xdr:cNvSpPr/>
        </xdr:nvSpPr>
        <xdr:spPr>
          <a:xfrm>
            <a:off x="9053467" y="11440978"/>
            <a:ext cx="2088000" cy="369340"/>
          </a:xfrm>
          <a:prstGeom prst="chevron">
            <a:avLst>
              <a:gd name="adj" fmla="val 25921"/>
            </a:avLst>
          </a:prstGeom>
          <a:solidFill>
            <a:srgbClr val="6F7FA1"/>
          </a:solidFill>
          <a:ln w="25400" cap="flat" cmpd="sng" algn="ctr">
            <a:noFill/>
            <a:prstDash val="solid"/>
          </a:ln>
          <a:effectLst/>
        </xdr:spPr>
        <xdr:txBody>
          <a:bodyPr rot="0" spcFirstLastPara="0" vert="horz" wrap="square" lIns="324000" tIns="36000" rIns="7200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fr-CH" sz="14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 30.03.2024</a:t>
            </a:r>
          </a:p>
        </xdr:txBody>
      </xdr:sp>
      <xdr:sp macro="" textlink="">
        <xdr:nvSpPr>
          <xdr:cNvPr id="52" name="Textfeld 20">
            <a:extLst>
              <a:ext uri="{FF2B5EF4-FFF2-40B4-BE49-F238E27FC236}">
                <a16:creationId xmlns:a16="http://schemas.microsoft.com/office/drawing/2014/main" id="{00000000-0008-0000-0400-000034000000}"/>
              </a:ext>
            </a:extLst>
          </xdr:cNvPr>
          <xdr:cNvSpPr txBox="1"/>
        </xdr:nvSpPr>
        <xdr:spPr>
          <a:xfrm>
            <a:off x="9040539" y="6778132"/>
            <a:ext cx="2016000" cy="792000"/>
          </a:xfrm>
          <a:prstGeom prst="rect">
            <a:avLst/>
          </a:prstGeom>
          <a:gradFill flip="none" rotWithShape="1">
            <a:gsLst>
              <a:gs pos="9000">
                <a:srgbClr val="9EA2C7"/>
              </a:gs>
              <a:gs pos="100000">
                <a:srgbClr val="DCE0E8"/>
              </a:gs>
            </a:gsLst>
            <a:lin ang="16200000" scaled="0"/>
            <a:tileRect/>
          </a:gra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noAutofit/>
          </a:bodyPr>
          <a:lstStyle>
            <a:defPPr>
              <a:defRPr lang="de-DE"/>
            </a:defPPr>
            <a:lvl1pPr algn="ctr" rtl="0" fontAlgn="base">
              <a:spcBef>
                <a:spcPct val="0"/>
              </a:spcBef>
              <a:spcAft>
                <a:spcPct val="0"/>
              </a:spcAft>
              <a:buFont typeface="Times" pitchFamily="18" charset="0"/>
              <a:defRPr sz="3200" b="1" kern="1200">
                <a:solidFill>
                  <a:sysClr val="window" lastClr="FFFFFF"/>
                </a:solidFill>
                <a:latin typeface="Calibri" panose="020F0502020204030204"/>
              </a:defRPr>
            </a:lvl1pPr>
            <a:lvl2pPr marL="457200" algn="ctr" rtl="0" fontAlgn="base">
              <a:spcBef>
                <a:spcPct val="0"/>
              </a:spcBef>
              <a:spcAft>
                <a:spcPct val="0"/>
              </a:spcAft>
              <a:buFont typeface="Times" pitchFamily="18" charset="0"/>
              <a:defRPr sz="3200" b="1" kern="1200">
                <a:solidFill>
                  <a:sysClr val="window" lastClr="FFFFFF"/>
                </a:solidFill>
                <a:latin typeface="Calibri" panose="020F0502020204030204"/>
              </a:defRPr>
            </a:lvl2pPr>
            <a:lvl3pPr marL="914400" algn="ctr" rtl="0" fontAlgn="base">
              <a:spcBef>
                <a:spcPct val="0"/>
              </a:spcBef>
              <a:spcAft>
                <a:spcPct val="0"/>
              </a:spcAft>
              <a:buFont typeface="Times" pitchFamily="18" charset="0"/>
              <a:defRPr sz="3200" b="1" kern="1200">
                <a:solidFill>
                  <a:sysClr val="window" lastClr="FFFFFF"/>
                </a:solidFill>
                <a:latin typeface="Calibri" panose="020F0502020204030204"/>
              </a:defRPr>
            </a:lvl3pPr>
            <a:lvl4pPr marL="1371600" algn="ctr" rtl="0" fontAlgn="base">
              <a:spcBef>
                <a:spcPct val="0"/>
              </a:spcBef>
              <a:spcAft>
                <a:spcPct val="0"/>
              </a:spcAft>
              <a:buFont typeface="Times" pitchFamily="18" charset="0"/>
              <a:defRPr sz="3200" b="1" kern="1200">
                <a:solidFill>
                  <a:sysClr val="window" lastClr="FFFFFF"/>
                </a:solidFill>
                <a:latin typeface="Calibri" panose="020F0502020204030204"/>
              </a:defRPr>
            </a:lvl4pPr>
            <a:lvl5pPr marL="1828800" algn="ctr" rtl="0" fontAlgn="base">
              <a:spcBef>
                <a:spcPct val="0"/>
              </a:spcBef>
              <a:spcAft>
                <a:spcPct val="0"/>
              </a:spcAft>
              <a:buFont typeface="Times" pitchFamily="18" charset="0"/>
              <a:defRPr sz="3200" b="1" kern="1200">
                <a:solidFill>
                  <a:sysClr val="window" lastClr="FFFFFF"/>
                </a:solidFill>
                <a:latin typeface="Calibri" panose="020F0502020204030204"/>
              </a:defRPr>
            </a:lvl5pPr>
            <a:lvl6pPr marL="2286000" algn="l" defTabSz="914400" rtl="0" eaLnBrk="1" latinLnBrk="0" hangingPunct="1">
              <a:defRPr sz="3200" b="1" kern="1200">
                <a:solidFill>
                  <a:sysClr val="window" lastClr="FFFFFF"/>
                </a:solidFill>
                <a:latin typeface="Calibri" panose="020F0502020204030204"/>
              </a:defRPr>
            </a:lvl6pPr>
            <a:lvl7pPr marL="2743200" algn="l" defTabSz="914400" rtl="0" eaLnBrk="1" latinLnBrk="0" hangingPunct="1">
              <a:defRPr sz="3200" b="1" kern="1200">
                <a:solidFill>
                  <a:sysClr val="window" lastClr="FFFFFF"/>
                </a:solidFill>
                <a:latin typeface="Calibri" panose="020F0502020204030204"/>
              </a:defRPr>
            </a:lvl7pPr>
            <a:lvl8pPr marL="3200400" algn="l" defTabSz="914400" rtl="0" eaLnBrk="1" latinLnBrk="0" hangingPunct="1">
              <a:defRPr sz="3200" b="1" kern="1200">
                <a:solidFill>
                  <a:sysClr val="window" lastClr="FFFFFF"/>
                </a:solidFill>
                <a:latin typeface="Calibri" panose="020F0502020204030204"/>
              </a:defRPr>
            </a:lvl8pPr>
            <a:lvl9pPr marL="3657600" algn="l" defTabSz="914400" rtl="0" eaLnBrk="1" latinLnBrk="0" hangingPunct="1">
              <a:defRPr sz="3200" b="1" kern="1200">
                <a:solidFill>
                  <a:sysClr val="window" lastClr="FFFFFF"/>
                </a:solidFill>
                <a:latin typeface="Calibri" panose="020F0502020204030204"/>
              </a:defRPr>
            </a:lvl9pPr>
          </a:lstStyle>
          <a:p>
            <a:pPr marL="0" indent="0" algn="l" defTabSz="457200" rtl="0" fontAlgn="auto">
              <a:spcBef>
                <a:spcPts val="0"/>
              </a:spcBef>
              <a:spcAft>
                <a:spcPts val="0"/>
              </a:spcAft>
              <a:buFont typeface="Times" pitchFamily="18" charset="0"/>
              <a:buNone/>
            </a:pPr>
            <a:r>
              <a:rPr lang="fr-CH" sz="1000" b="0" kern="1200">
                <a:solidFill>
                  <a:prstClr val="black"/>
                </a:solidFill>
                <a:latin typeface="Calibri Light" panose="020F0302020204030204" pitchFamily="34" charset="0"/>
                <a:ea typeface="+mn-ea"/>
                <a:cs typeface="Calibri Light" panose="020F0302020204030204" pitchFamily="34" charset="0"/>
              </a:rPr>
              <a:t>Ziel/Objectifs</a:t>
            </a:r>
          </a:p>
        </xdr:txBody>
      </xdr:sp>
      <xdr:sp macro="" textlink="">
        <xdr:nvSpPr>
          <xdr:cNvPr id="53" name="Eingekerbter Richtungspfeil 3">
            <a:extLst>
              <a:ext uri="{FF2B5EF4-FFF2-40B4-BE49-F238E27FC236}">
                <a16:creationId xmlns:a16="http://schemas.microsoft.com/office/drawing/2014/main" id="{00000000-0008-0000-0400-000035000000}"/>
              </a:ext>
            </a:extLst>
          </xdr:cNvPr>
          <xdr:cNvSpPr/>
        </xdr:nvSpPr>
        <xdr:spPr>
          <a:xfrm>
            <a:off x="9480187" y="6153150"/>
            <a:ext cx="1648980" cy="540000"/>
          </a:xfrm>
          <a:prstGeom prst="chevron">
            <a:avLst>
              <a:gd name="adj" fmla="val 25921"/>
            </a:avLst>
          </a:prstGeom>
          <a:solidFill>
            <a:srgbClr val="666699"/>
          </a:solidFill>
          <a:ln w="25400" cap="flat" cmpd="sng" algn="ctr">
            <a:noFill/>
            <a:prstDash val="solid"/>
          </a:ln>
          <a:effectLst/>
        </xdr:spPr>
        <xdr:txBody>
          <a:bodyPr rot="0" spcFirstLastPara="0" vert="horz" wrap="square" lIns="72000" tIns="36000" rIns="7200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fr-CH" sz="12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Phase 5</a:t>
            </a:r>
          </a:p>
        </xdr:txBody>
      </xdr:sp>
      <xdr:sp macro="" textlink="">
        <xdr:nvSpPr>
          <xdr:cNvPr id="54" name="Eingekerbter Richtungspfeil 3">
            <a:extLst>
              <a:ext uri="{FF2B5EF4-FFF2-40B4-BE49-F238E27FC236}">
                <a16:creationId xmlns:a16="http://schemas.microsoft.com/office/drawing/2014/main" id="{00000000-0008-0000-0400-000036000000}"/>
              </a:ext>
            </a:extLst>
          </xdr:cNvPr>
          <xdr:cNvSpPr/>
        </xdr:nvSpPr>
        <xdr:spPr>
          <a:xfrm>
            <a:off x="9016286" y="6153150"/>
            <a:ext cx="637724" cy="540000"/>
          </a:xfrm>
          <a:prstGeom prst="chevron">
            <a:avLst>
              <a:gd name="adj" fmla="val 25921"/>
            </a:avLst>
          </a:prstGeom>
          <a:solidFill>
            <a:srgbClr val="4D4D73"/>
          </a:solidFill>
          <a:ln w="25400" cap="flat" cmpd="sng" algn="ctr">
            <a:noFill/>
            <a:prstDash val="solid"/>
          </a:ln>
          <a:effectLst/>
        </xdr:spPr>
        <xdr:txBody>
          <a:bodyPr rot="0" spcFirstLastPara="0" vert="horz" wrap="square" lIns="36000" tIns="36000" rIns="0" bIns="36000" numCol="1" spcCol="0" rtlCol="0" fromWordArt="0" anchor="ctr" anchorCtr="0" forceAA="0" compatLnSpc="1">
            <a:prstTxWarp prst="textNoShape">
              <a:avLst/>
            </a:prstTxWarp>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fontAlgn="auto">
              <a:spcBef>
                <a:spcPts val="0"/>
              </a:spcBef>
              <a:spcAft>
                <a:spcPts val="600"/>
              </a:spcAft>
            </a:pPr>
            <a:r>
              <a:rPr lang="de-CH" sz="20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rPr>
              <a:t>05</a:t>
            </a:r>
            <a:endParaRPr lang="fr-CH" sz="2000" b="0" kern="50">
              <a:solidFill>
                <a:sysClr val="window" lastClr="FFFFFF"/>
              </a:solidFill>
              <a:latin typeface="Calibri Light" panose="020F0302020204030204" pitchFamily="34" charset="0"/>
              <a:ea typeface="SimSun" panose="02010600030101010101" pitchFamily="2" charset="-122"/>
              <a:cs typeface="Calibri Light" panose="020F0302020204030204" pitchFamily="34" charset="0"/>
            </a:endParaRPr>
          </a:p>
        </xdr:txBody>
      </xdr:sp>
      <xdr:sp macro="" textlink="">
        <xdr:nvSpPr>
          <xdr:cNvPr id="55" name="Freeform 10">
            <a:extLst>
              <a:ext uri="{FF2B5EF4-FFF2-40B4-BE49-F238E27FC236}">
                <a16:creationId xmlns:a16="http://schemas.microsoft.com/office/drawing/2014/main" id="{00000000-0008-0000-0400-000037000000}"/>
              </a:ext>
            </a:extLst>
          </xdr:cNvPr>
          <xdr:cNvSpPr>
            <a:spLocks noChangeArrowheads="1"/>
          </xdr:cNvSpPr>
        </xdr:nvSpPr>
        <xdr:spPr bwMode="auto">
          <a:xfrm>
            <a:off x="9208197" y="11509536"/>
            <a:ext cx="145878" cy="233708"/>
          </a:xfrm>
          <a:custGeom>
            <a:avLst/>
            <a:gdLst>
              <a:gd name="connsiteX0" fmla="*/ 252413 w 561616"/>
              <a:gd name="connsiteY0" fmla="*/ 533400 h 899752"/>
              <a:gd name="connsiteX1" fmla="*/ 309199 w 561616"/>
              <a:gd name="connsiteY1" fmla="*/ 533400 h 899752"/>
              <a:gd name="connsiteX2" fmla="*/ 309199 w 561616"/>
              <a:gd name="connsiteY2" fmla="*/ 590188 h 899752"/>
              <a:gd name="connsiteX3" fmla="*/ 252413 w 561616"/>
              <a:gd name="connsiteY3" fmla="*/ 590188 h 899752"/>
              <a:gd name="connsiteX4" fmla="*/ 252763 w 561616"/>
              <a:gd name="connsiteY4" fmla="*/ 478263 h 899752"/>
              <a:gd name="connsiteX5" fmla="*/ 252763 w 561616"/>
              <a:gd name="connsiteY5" fmla="*/ 490131 h 899752"/>
              <a:gd name="connsiteX6" fmla="*/ 153527 w 561616"/>
              <a:gd name="connsiteY6" fmla="*/ 589389 h 899752"/>
              <a:gd name="connsiteX7" fmla="*/ 112179 w 561616"/>
              <a:gd name="connsiteY7" fmla="*/ 688648 h 899752"/>
              <a:gd name="connsiteX8" fmla="*/ 112179 w 561616"/>
              <a:gd name="connsiteY8" fmla="*/ 703033 h 899752"/>
              <a:gd name="connsiteX9" fmla="*/ 252763 w 561616"/>
              <a:gd name="connsiteY9" fmla="*/ 646931 h 899752"/>
              <a:gd name="connsiteX10" fmla="*/ 308853 w 561616"/>
              <a:gd name="connsiteY10" fmla="*/ 646931 h 899752"/>
              <a:gd name="connsiteX11" fmla="*/ 449436 w 561616"/>
              <a:gd name="connsiteY11" fmla="*/ 703033 h 899752"/>
              <a:gd name="connsiteX12" fmla="*/ 449436 w 561616"/>
              <a:gd name="connsiteY12" fmla="*/ 688648 h 899752"/>
              <a:gd name="connsiteX13" fmla="*/ 408088 w 561616"/>
              <a:gd name="connsiteY13" fmla="*/ 589389 h 899752"/>
              <a:gd name="connsiteX14" fmla="*/ 308853 w 561616"/>
              <a:gd name="connsiteY14" fmla="*/ 490131 h 899752"/>
              <a:gd name="connsiteX15" fmla="*/ 308853 w 561616"/>
              <a:gd name="connsiteY15" fmla="*/ 478263 h 899752"/>
              <a:gd name="connsiteX16" fmla="*/ 56089 w 561616"/>
              <a:gd name="connsiteY16" fmla="*/ 141287 h 899752"/>
              <a:gd name="connsiteX17" fmla="*/ 112179 w 561616"/>
              <a:gd name="connsiteY17" fmla="*/ 141287 h 899752"/>
              <a:gd name="connsiteX18" fmla="*/ 112179 w 561616"/>
              <a:gd name="connsiteY18" fmla="*/ 212135 h 899752"/>
              <a:gd name="connsiteX19" fmla="*/ 152089 w 561616"/>
              <a:gd name="connsiteY19" fmla="*/ 309955 h 899752"/>
              <a:gd name="connsiteX20" fmla="*/ 409526 w 561616"/>
              <a:gd name="connsiteY20" fmla="*/ 309955 h 899752"/>
              <a:gd name="connsiteX21" fmla="*/ 449436 w 561616"/>
              <a:gd name="connsiteY21" fmla="*/ 212135 h 899752"/>
              <a:gd name="connsiteX22" fmla="*/ 449436 w 561616"/>
              <a:gd name="connsiteY22" fmla="*/ 141287 h 899752"/>
              <a:gd name="connsiteX23" fmla="*/ 505526 w 561616"/>
              <a:gd name="connsiteY23" fmla="*/ 141287 h 899752"/>
              <a:gd name="connsiteX24" fmla="*/ 505526 w 561616"/>
              <a:gd name="connsiteY24" fmla="*/ 212135 h 899752"/>
              <a:gd name="connsiteX25" fmla="*/ 447998 w 561616"/>
              <a:gd name="connsiteY25" fmla="*/ 350953 h 899752"/>
              <a:gd name="connsiteX26" fmla="*/ 364942 w 561616"/>
              <a:gd name="connsiteY26" fmla="*/ 434028 h 899752"/>
              <a:gd name="connsiteX27" fmla="*/ 364942 w 561616"/>
              <a:gd name="connsiteY27" fmla="*/ 466755 h 899752"/>
              <a:gd name="connsiteX28" fmla="*/ 447998 w 561616"/>
              <a:gd name="connsiteY28" fmla="*/ 549830 h 899752"/>
              <a:gd name="connsiteX29" fmla="*/ 505526 w 561616"/>
              <a:gd name="connsiteY29" fmla="*/ 688648 h 899752"/>
              <a:gd name="connsiteX30" fmla="*/ 505526 w 561616"/>
              <a:gd name="connsiteY30" fmla="*/ 787547 h 899752"/>
              <a:gd name="connsiteX31" fmla="*/ 561616 w 561616"/>
              <a:gd name="connsiteY31" fmla="*/ 787547 h 899752"/>
              <a:gd name="connsiteX32" fmla="*/ 561616 w 561616"/>
              <a:gd name="connsiteY32" fmla="*/ 899752 h 899752"/>
              <a:gd name="connsiteX33" fmla="*/ 0 w 561616"/>
              <a:gd name="connsiteY33" fmla="*/ 899752 h 899752"/>
              <a:gd name="connsiteX34" fmla="*/ 0 w 561616"/>
              <a:gd name="connsiteY34" fmla="*/ 787547 h 899752"/>
              <a:gd name="connsiteX35" fmla="*/ 56089 w 561616"/>
              <a:gd name="connsiteY35" fmla="*/ 787547 h 899752"/>
              <a:gd name="connsiteX36" fmla="*/ 56089 w 561616"/>
              <a:gd name="connsiteY36" fmla="*/ 688648 h 899752"/>
              <a:gd name="connsiteX37" fmla="*/ 113977 w 561616"/>
              <a:gd name="connsiteY37" fmla="*/ 549830 h 899752"/>
              <a:gd name="connsiteX38" fmla="*/ 196673 w 561616"/>
              <a:gd name="connsiteY38" fmla="*/ 466755 h 899752"/>
              <a:gd name="connsiteX39" fmla="*/ 196673 w 561616"/>
              <a:gd name="connsiteY39" fmla="*/ 434028 h 899752"/>
              <a:gd name="connsiteX40" fmla="*/ 113977 w 561616"/>
              <a:gd name="connsiteY40" fmla="*/ 350953 h 899752"/>
              <a:gd name="connsiteX41" fmla="*/ 56089 w 561616"/>
              <a:gd name="connsiteY41" fmla="*/ 212135 h 899752"/>
              <a:gd name="connsiteX42" fmla="*/ 0 w 561616"/>
              <a:gd name="connsiteY42" fmla="*/ 0 h 899752"/>
              <a:gd name="connsiteX43" fmla="*/ 561616 w 561616"/>
              <a:gd name="connsiteY43" fmla="*/ 0 h 899752"/>
              <a:gd name="connsiteX44" fmla="*/ 561616 w 561616"/>
              <a:gd name="connsiteY44" fmla="*/ 112352 h 899752"/>
              <a:gd name="connsiteX45" fmla="*/ 0 w 561616"/>
              <a:gd name="connsiteY45" fmla="*/ 112352 h 89975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Lst>
            <a:rect l="l" t="t" r="r" b="b"/>
            <a:pathLst>
              <a:path w="561616" h="899752">
                <a:moveTo>
                  <a:pt x="252413" y="533400"/>
                </a:moveTo>
                <a:lnTo>
                  <a:pt x="309199" y="533400"/>
                </a:lnTo>
                <a:lnTo>
                  <a:pt x="309199" y="590188"/>
                </a:lnTo>
                <a:lnTo>
                  <a:pt x="252413" y="590188"/>
                </a:lnTo>
                <a:close/>
                <a:moveTo>
                  <a:pt x="252763" y="478263"/>
                </a:moveTo>
                <a:lnTo>
                  <a:pt x="252763" y="490131"/>
                </a:lnTo>
                <a:lnTo>
                  <a:pt x="153527" y="589389"/>
                </a:lnTo>
                <a:cubicBezTo>
                  <a:pt x="126921" y="616002"/>
                  <a:pt x="112179" y="651246"/>
                  <a:pt x="112179" y="688648"/>
                </a:cubicBezTo>
                <a:lnTo>
                  <a:pt x="112179" y="703033"/>
                </a:lnTo>
                <a:lnTo>
                  <a:pt x="252763" y="646931"/>
                </a:lnTo>
                <a:lnTo>
                  <a:pt x="308853" y="646931"/>
                </a:lnTo>
                <a:lnTo>
                  <a:pt x="449436" y="703033"/>
                </a:lnTo>
                <a:lnTo>
                  <a:pt x="449436" y="688648"/>
                </a:lnTo>
                <a:cubicBezTo>
                  <a:pt x="449436" y="651246"/>
                  <a:pt x="434695" y="616002"/>
                  <a:pt x="408088" y="589389"/>
                </a:cubicBezTo>
                <a:lnTo>
                  <a:pt x="308853" y="490131"/>
                </a:lnTo>
                <a:lnTo>
                  <a:pt x="308853" y="478263"/>
                </a:lnTo>
                <a:close/>
                <a:moveTo>
                  <a:pt x="56089" y="141287"/>
                </a:moveTo>
                <a:lnTo>
                  <a:pt x="112179" y="141287"/>
                </a:lnTo>
                <a:lnTo>
                  <a:pt x="112179" y="212135"/>
                </a:lnTo>
                <a:cubicBezTo>
                  <a:pt x="112179" y="248817"/>
                  <a:pt x="126561" y="283701"/>
                  <a:pt x="152089" y="309955"/>
                </a:cubicBezTo>
                <a:lnTo>
                  <a:pt x="409526" y="309955"/>
                </a:lnTo>
                <a:cubicBezTo>
                  <a:pt x="435054" y="283701"/>
                  <a:pt x="449436" y="248817"/>
                  <a:pt x="449436" y="212135"/>
                </a:cubicBezTo>
                <a:lnTo>
                  <a:pt x="449436" y="141287"/>
                </a:lnTo>
                <a:lnTo>
                  <a:pt x="505526" y="141287"/>
                </a:lnTo>
                <a:lnTo>
                  <a:pt x="505526" y="212135"/>
                </a:lnTo>
                <a:cubicBezTo>
                  <a:pt x="505526" y="264641"/>
                  <a:pt x="485032" y="313911"/>
                  <a:pt x="447998" y="350953"/>
                </a:cubicBezTo>
                <a:lnTo>
                  <a:pt x="364942" y="434028"/>
                </a:lnTo>
                <a:lnTo>
                  <a:pt x="364942" y="466755"/>
                </a:lnTo>
                <a:lnTo>
                  <a:pt x="447998" y="549830"/>
                </a:lnTo>
                <a:cubicBezTo>
                  <a:pt x="485032" y="586872"/>
                  <a:pt x="505526" y="636142"/>
                  <a:pt x="505526" y="688648"/>
                </a:cubicBezTo>
                <a:lnTo>
                  <a:pt x="505526" y="787547"/>
                </a:lnTo>
                <a:lnTo>
                  <a:pt x="561616" y="787547"/>
                </a:lnTo>
                <a:lnTo>
                  <a:pt x="561616" y="899752"/>
                </a:lnTo>
                <a:lnTo>
                  <a:pt x="0" y="899752"/>
                </a:lnTo>
                <a:lnTo>
                  <a:pt x="0" y="787547"/>
                </a:lnTo>
                <a:lnTo>
                  <a:pt x="56089" y="787547"/>
                </a:lnTo>
                <a:lnTo>
                  <a:pt x="56089" y="688648"/>
                </a:lnTo>
                <a:cubicBezTo>
                  <a:pt x="56089" y="636142"/>
                  <a:pt x="76584" y="586872"/>
                  <a:pt x="113977" y="549830"/>
                </a:cubicBezTo>
                <a:lnTo>
                  <a:pt x="196673" y="466755"/>
                </a:lnTo>
                <a:lnTo>
                  <a:pt x="196673" y="434028"/>
                </a:lnTo>
                <a:lnTo>
                  <a:pt x="113977" y="350953"/>
                </a:lnTo>
                <a:cubicBezTo>
                  <a:pt x="76584" y="313911"/>
                  <a:pt x="56089" y="264641"/>
                  <a:pt x="56089" y="212135"/>
                </a:cubicBezTo>
                <a:close/>
                <a:moveTo>
                  <a:pt x="0" y="0"/>
                </a:moveTo>
                <a:lnTo>
                  <a:pt x="561616" y="0"/>
                </a:lnTo>
                <a:lnTo>
                  <a:pt x="561616" y="112352"/>
                </a:lnTo>
                <a:lnTo>
                  <a:pt x="0" y="112352"/>
                </a:lnTo>
                <a:close/>
              </a:path>
            </a:pathLst>
          </a:custGeom>
          <a:solidFill>
            <a:sysClr val="window" lastClr="FFFFFF"/>
          </a:solidFill>
          <a:ln>
            <a:noFill/>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endParaRPr lang="en-US" sz="1100">
              <a:latin typeface="Calibri Light" panose="020F0302020204030204" pitchFamily="34" charset="0"/>
              <a:cs typeface="Calibri Light" panose="020F0302020204030204" pitchFamily="34" charset="0"/>
            </a:endParaRPr>
          </a:p>
        </xdr:txBody>
      </xdr:sp>
    </xdr:grpSp>
    <xdr:clientData fLocksWithSheet="0"/>
  </xdr:twoCellAnchor>
  <xdr:twoCellAnchor>
    <xdr:from>
      <xdr:col>7</xdr:col>
      <xdr:colOff>311150</xdr:colOff>
      <xdr:row>1</xdr:row>
      <xdr:rowOff>63500</xdr:rowOff>
    </xdr:from>
    <xdr:to>
      <xdr:col>7</xdr:col>
      <xdr:colOff>991211</xdr:colOff>
      <xdr:row>2</xdr:row>
      <xdr:rowOff>110150</xdr:rowOff>
    </xdr:to>
    <xdr:grpSp>
      <xdr:nvGrpSpPr>
        <xdr:cNvPr id="56" name="Gruppieren 55">
          <a:extLst>
            <a:ext uri="{FF2B5EF4-FFF2-40B4-BE49-F238E27FC236}">
              <a16:creationId xmlns:a16="http://schemas.microsoft.com/office/drawing/2014/main" id="{00000000-0008-0000-0400-000038000000}"/>
            </a:ext>
          </a:extLst>
        </xdr:cNvPr>
        <xdr:cNvGrpSpPr/>
      </xdr:nvGrpSpPr>
      <xdr:grpSpPr>
        <a:xfrm>
          <a:off x="10392410" y="635000"/>
          <a:ext cx="680061" cy="176190"/>
          <a:chOff x="7246937" y="623888"/>
          <a:chExt cx="680061" cy="180000"/>
        </a:xfrm>
      </xdr:grpSpPr>
      <xdr:grpSp>
        <xdr:nvGrpSpPr>
          <xdr:cNvPr id="57" name="Gruppieren 47">
            <a:hlinkClick xmlns:r="http://schemas.openxmlformats.org/officeDocument/2006/relationships" r:id="rId2" tooltip="Help"/>
            <a:extLst>
              <a:ext uri="{FF2B5EF4-FFF2-40B4-BE49-F238E27FC236}">
                <a16:creationId xmlns:a16="http://schemas.microsoft.com/office/drawing/2014/main" id="{00000000-0008-0000-0400-000039000000}"/>
              </a:ext>
            </a:extLst>
          </xdr:cNvPr>
          <xdr:cNvGrpSpPr>
            <a:grpSpLocks/>
          </xdr:cNvGrpSpPr>
        </xdr:nvGrpSpPr>
        <xdr:grpSpPr>
          <a:xfrm>
            <a:off x="7746998" y="623888"/>
            <a:ext cx="180000" cy="180000"/>
            <a:chOff x="8105775" y="571500"/>
            <a:chExt cx="172800" cy="172800"/>
          </a:xfrm>
        </xdr:grpSpPr>
        <xdr:sp macro="" textlink="">
          <xdr:nvSpPr>
            <xdr:cNvPr id="60" name="Rechteck 48">
              <a:extLst>
                <a:ext uri="{FF2B5EF4-FFF2-40B4-BE49-F238E27FC236}">
                  <a16:creationId xmlns:a16="http://schemas.microsoft.com/office/drawing/2014/main" id="{00000000-0008-0000-0400-00003C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1" name="Textfeld 49">
              <a:extLst>
                <a:ext uri="{FF2B5EF4-FFF2-40B4-BE49-F238E27FC236}">
                  <a16:creationId xmlns:a16="http://schemas.microsoft.com/office/drawing/2014/main" id="{00000000-0008-0000-0400-00003D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58" name="Rechteck 78">
            <a:extLst>
              <a:ext uri="{FF2B5EF4-FFF2-40B4-BE49-F238E27FC236}">
                <a16:creationId xmlns:a16="http://schemas.microsoft.com/office/drawing/2014/main" id="{00000000-0008-0000-0400-00003A000000}"/>
              </a:ext>
            </a:extLst>
          </xdr:cNvPr>
          <xdr:cNvSpPr>
            <a:spLocks noChangeAspect="1"/>
          </xdr:cNvSpPr>
        </xdr:nvSpPr>
        <xdr:spPr>
          <a:xfrm>
            <a:off x="7246937" y="623888"/>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59" name="Rechteck 84">
            <a:extLst>
              <a:ext uri="{FF2B5EF4-FFF2-40B4-BE49-F238E27FC236}">
                <a16:creationId xmlns:a16="http://schemas.microsoft.com/office/drawing/2014/main" id="{00000000-0008-0000-0400-00003B000000}"/>
              </a:ext>
            </a:extLst>
          </xdr:cNvPr>
          <xdr:cNvSpPr>
            <a:spLocks noChangeAspect="1"/>
          </xdr:cNvSpPr>
        </xdr:nvSpPr>
        <xdr:spPr>
          <a:xfrm>
            <a:off x="7466964" y="623888"/>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0</xdr:col>
      <xdr:colOff>82550</xdr:colOff>
      <xdr:row>0</xdr:row>
      <xdr:rowOff>203200</xdr:rowOff>
    </xdr:from>
    <xdr:to>
      <xdr:col>0</xdr:col>
      <xdr:colOff>406550</xdr:colOff>
      <xdr:row>0</xdr:row>
      <xdr:rowOff>528665</xdr:rowOff>
    </xdr:to>
    <xdr:grpSp>
      <xdr:nvGrpSpPr>
        <xdr:cNvPr id="62" name="Gruppieren 53">
          <a:hlinkClick xmlns:r="http://schemas.openxmlformats.org/officeDocument/2006/relationships" r:id="rId3" tooltip="back"/>
          <a:extLst>
            <a:ext uri="{FF2B5EF4-FFF2-40B4-BE49-F238E27FC236}">
              <a16:creationId xmlns:a16="http://schemas.microsoft.com/office/drawing/2014/main" id="{00000000-0008-0000-0400-00003E000000}"/>
            </a:ext>
          </a:extLst>
        </xdr:cNvPr>
        <xdr:cNvGrpSpPr/>
      </xdr:nvGrpSpPr>
      <xdr:grpSpPr>
        <a:xfrm>
          <a:off x="82550" y="203200"/>
          <a:ext cx="324000" cy="325465"/>
          <a:chOff x="9191625" y="3009900"/>
          <a:chExt cx="324000" cy="325465"/>
        </a:xfrm>
      </xdr:grpSpPr>
      <xdr:sp macro="" textlink="">
        <xdr:nvSpPr>
          <xdr:cNvPr id="63" name="Rechteck 57">
            <a:extLst>
              <a:ext uri="{FF2B5EF4-FFF2-40B4-BE49-F238E27FC236}">
                <a16:creationId xmlns:a16="http://schemas.microsoft.com/office/drawing/2014/main" id="{00000000-0008-0000-0400-00003F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4" name="Pfeil nach links 58">
            <a:extLst>
              <a:ext uri="{FF2B5EF4-FFF2-40B4-BE49-F238E27FC236}">
                <a16:creationId xmlns:a16="http://schemas.microsoft.com/office/drawing/2014/main" id="{00000000-0008-0000-0400-000040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0</xdr:row>
      <xdr:rowOff>190500</xdr:rowOff>
    </xdr:from>
    <xdr:to>
      <xdr:col>7</xdr:col>
      <xdr:colOff>66675</xdr:colOff>
      <xdr:row>0</xdr:row>
      <xdr:rowOff>542925</xdr:rowOff>
    </xdr:to>
    <xdr:sp macro="" textlink="">
      <xdr:nvSpPr>
        <xdr:cNvPr id="13" name="Rechteck 12">
          <a:extLst>
            <a:ext uri="{FF2B5EF4-FFF2-40B4-BE49-F238E27FC236}">
              <a16:creationId xmlns:a16="http://schemas.microsoft.com/office/drawing/2014/main" id="{00000000-0008-0000-0500-00000D000000}"/>
            </a:ext>
          </a:extLst>
        </xdr:cNvPr>
        <xdr:cNvSpPr/>
      </xdr:nvSpPr>
      <xdr:spPr>
        <a:xfrm>
          <a:off x="257175" y="190500"/>
          <a:ext cx="5629275" cy="352425"/>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fPrintsWithSheet="0"/>
  </xdr:twoCellAnchor>
  <xdr:twoCellAnchor>
    <xdr:from>
      <xdr:col>0</xdr:col>
      <xdr:colOff>38100</xdr:colOff>
      <xdr:row>3</xdr:row>
      <xdr:rowOff>123825</xdr:rowOff>
    </xdr:from>
    <xdr:to>
      <xdr:col>16</xdr:col>
      <xdr:colOff>400051</xdr:colOff>
      <xdr:row>5</xdr:row>
      <xdr:rowOff>66675</xdr:rowOff>
    </xdr:to>
    <xdr:graphicFrame macro="">
      <xdr:nvGraphicFramePr>
        <xdr:cNvPr id="8" name="Diagramm 7">
          <a:extLst>
            <a:ext uri="{FF2B5EF4-FFF2-40B4-BE49-F238E27FC236}">
              <a16:creationId xmlns:a16="http://schemas.microsoft.com/office/drawing/2014/main" id="{00000000-0008-0000-05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82296</xdr:colOff>
      <xdr:row>0</xdr:row>
      <xdr:rowOff>214324</xdr:rowOff>
    </xdr:from>
    <xdr:to>
      <xdr:col>0</xdr:col>
      <xdr:colOff>406296</xdr:colOff>
      <xdr:row>0</xdr:row>
      <xdr:rowOff>539789</xdr:rowOff>
    </xdr:to>
    <xdr:grpSp>
      <xdr:nvGrpSpPr>
        <xdr:cNvPr id="176" name="Gruppieren 175">
          <a:hlinkClick xmlns:r="http://schemas.openxmlformats.org/officeDocument/2006/relationships" r:id="rId2" tooltip="Home"/>
          <a:extLst>
            <a:ext uri="{FF2B5EF4-FFF2-40B4-BE49-F238E27FC236}">
              <a16:creationId xmlns:a16="http://schemas.microsoft.com/office/drawing/2014/main" id="{00000000-0008-0000-0500-0000B0000000}"/>
            </a:ext>
          </a:extLst>
        </xdr:cNvPr>
        <xdr:cNvGrpSpPr/>
      </xdr:nvGrpSpPr>
      <xdr:grpSpPr>
        <a:xfrm>
          <a:off x="82296" y="214324"/>
          <a:ext cx="324000" cy="325465"/>
          <a:chOff x="12729063" y="1298331"/>
          <a:chExt cx="324000" cy="323267"/>
        </a:xfrm>
        <a:gradFill>
          <a:gsLst>
            <a:gs pos="0">
              <a:srgbClr val="3984A3"/>
            </a:gs>
            <a:gs pos="80000">
              <a:srgbClr val="3F92B3"/>
            </a:gs>
            <a:gs pos="100000">
              <a:srgbClr val="55A4C3"/>
            </a:gs>
          </a:gsLst>
        </a:gradFill>
      </xdr:grpSpPr>
      <xdr:sp macro="" textlink="">
        <xdr:nvSpPr>
          <xdr:cNvPr id="177" name="Rechteck 176">
            <a:extLst>
              <a:ext uri="{FF2B5EF4-FFF2-40B4-BE49-F238E27FC236}">
                <a16:creationId xmlns:a16="http://schemas.microsoft.com/office/drawing/2014/main" id="{00000000-0008-0000-0500-0000B1000000}"/>
              </a:ext>
            </a:extLst>
          </xdr:cNvPr>
          <xdr:cNvSpPr>
            <a:spLocks noChangeAspect="1"/>
          </xdr:cNvSpPr>
        </xdr:nvSpPr>
        <xdr:spPr>
          <a:xfrm>
            <a:off x="12729063" y="1298331"/>
            <a:ext cx="324000" cy="323267"/>
          </a:xfrm>
          <a:prstGeom prst="rect">
            <a:avLst/>
          </a:prstGeom>
          <a:grp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78" name="Grafik 177" descr="http://www.clker.com/cliparts/Z/I/5/L/X/x/white-house-md.png">
            <a:extLst>
              <a:ext uri="{FF2B5EF4-FFF2-40B4-BE49-F238E27FC236}">
                <a16:creationId xmlns:a16="http://schemas.microsoft.com/office/drawing/2014/main" id="{00000000-0008-0000-0500-0000B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grpFill/>
        </xdr:spPr>
      </xdr:pic>
    </xdr:grpSp>
    <xdr:clientData fPrintsWithSheet="0"/>
  </xdr:twoCellAnchor>
  <xdr:twoCellAnchor editAs="oneCell">
    <xdr:from>
      <xdr:col>13</xdr:col>
      <xdr:colOff>66676</xdr:colOff>
      <xdr:row>6</xdr:row>
      <xdr:rowOff>104776</xdr:rowOff>
    </xdr:from>
    <xdr:to>
      <xdr:col>13</xdr:col>
      <xdr:colOff>246676</xdr:colOff>
      <xdr:row>6</xdr:row>
      <xdr:rowOff>284043</xdr:rowOff>
    </xdr:to>
    <xdr:pic>
      <xdr:nvPicPr>
        <xdr:cNvPr id="7" name="Grafik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144376" y="2000251"/>
          <a:ext cx="180000" cy="179267"/>
        </a:xfrm>
        <a:prstGeom prst="rect">
          <a:avLst/>
        </a:prstGeom>
      </xdr:spPr>
    </xdr:pic>
    <xdr:clientData/>
  </xdr:twoCellAnchor>
  <xdr:twoCellAnchor editAs="absolute">
    <xdr:from>
      <xdr:col>0</xdr:col>
      <xdr:colOff>154701</xdr:colOff>
      <xdr:row>6</xdr:row>
      <xdr:rowOff>0</xdr:rowOff>
    </xdr:from>
    <xdr:to>
      <xdr:col>0</xdr:col>
      <xdr:colOff>333891</xdr:colOff>
      <xdr:row>7</xdr:row>
      <xdr:rowOff>31517</xdr:rowOff>
    </xdr:to>
    <xdr:grpSp>
      <xdr:nvGrpSpPr>
        <xdr:cNvPr id="11" name="Gruppieren 10">
          <a:extLst>
            <a:ext uri="{FF2B5EF4-FFF2-40B4-BE49-F238E27FC236}">
              <a16:creationId xmlns:a16="http://schemas.microsoft.com/office/drawing/2014/main" id="{00000000-0008-0000-0500-00000B000000}"/>
            </a:ext>
          </a:extLst>
        </xdr:cNvPr>
        <xdr:cNvGrpSpPr/>
      </xdr:nvGrpSpPr>
      <xdr:grpSpPr>
        <a:xfrm>
          <a:off x="154701" y="1889760"/>
          <a:ext cx="179190" cy="420137"/>
          <a:chOff x="168265" y="1905000"/>
          <a:chExt cx="179190" cy="423947"/>
        </a:xfrm>
      </xdr:grpSpPr>
      <xdr:grpSp>
        <xdr:nvGrpSpPr>
          <xdr:cNvPr id="5" name="Gruppieren 4">
            <a:extLst>
              <a:ext uri="{FF2B5EF4-FFF2-40B4-BE49-F238E27FC236}">
                <a16:creationId xmlns:a16="http://schemas.microsoft.com/office/drawing/2014/main" id="{00000000-0008-0000-0500-000005000000}"/>
              </a:ext>
            </a:extLst>
          </xdr:cNvPr>
          <xdr:cNvGrpSpPr/>
        </xdr:nvGrpSpPr>
        <xdr:grpSpPr>
          <a:xfrm>
            <a:off x="168265" y="2149813"/>
            <a:ext cx="179190" cy="179134"/>
            <a:chOff x="149215" y="2168863"/>
            <a:chExt cx="179190" cy="179134"/>
          </a:xfrm>
        </xdr:grpSpPr>
        <xdr:sp macro="[0]!ans_Ende" textlink="">
          <xdr:nvSpPr>
            <xdr:cNvPr id="127" name="Rechteck 126">
              <a:extLst>
                <a:ext uri="{FF2B5EF4-FFF2-40B4-BE49-F238E27FC236}">
                  <a16:creationId xmlns:a16="http://schemas.microsoft.com/office/drawing/2014/main" id="{00000000-0008-0000-0500-00007F000000}"/>
                </a:ext>
              </a:extLst>
            </xdr:cNvPr>
            <xdr:cNvSpPr>
              <a:spLocks noChangeAspect="1"/>
            </xdr:cNvSpPr>
          </xdr:nvSpPr>
          <xdr:spPr>
            <a:xfrm>
              <a:off x="149215" y="2168863"/>
              <a:ext cx="179190" cy="179134"/>
            </a:xfrm>
            <a:prstGeom prst="rect">
              <a:avLst/>
            </a:prstGeom>
            <a:gradFill>
              <a:gsLst>
                <a:gs pos="0">
                  <a:srgbClr val="3984A3"/>
                </a:gs>
                <a:gs pos="80000">
                  <a:srgbClr val="3F92B3"/>
                </a:gs>
                <a:gs pos="100000">
                  <a:srgbClr val="55A4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0]!ans_Ende" textlink="">
          <xdr:nvSpPr>
            <xdr:cNvPr id="128" name="Pfeil nach rechts 127">
              <a:extLst>
                <a:ext uri="{FF2B5EF4-FFF2-40B4-BE49-F238E27FC236}">
                  <a16:creationId xmlns:a16="http://schemas.microsoft.com/office/drawing/2014/main" id="{00000000-0008-0000-0500-000080000000}"/>
                </a:ext>
              </a:extLst>
            </xdr:cNvPr>
            <xdr:cNvSpPr/>
          </xdr:nvSpPr>
          <xdr:spPr>
            <a:xfrm rot="16200000" flipH="1">
              <a:off x="200798" y="2208655"/>
              <a:ext cx="89164"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bg1"/>
                </a:solidFill>
                <a:latin typeface="+mn-lt"/>
                <a:ea typeface="+mn-ea"/>
                <a:cs typeface="+mn-cs"/>
              </a:endParaRPr>
            </a:p>
          </xdr:txBody>
        </xdr:sp>
      </xdr:grpSp>
      <xdr:grpSp>
        <xdr:nvGrpSpPr>
          <xdr:cNvPr id="9" name="Gruppieren 8">
            <a:hlinkClick xmlns:r="http://schemas.openxmlformats.org/officeDocument/2006/relationships" r:id="rId5" tooltip="to top"/>
            <a:extLst>
              <a:ext uri="{FF2B5EF4-FFF2-40B4-BE49-F238E27FC236}">
                <a16:creationId xmlns:a16="http://schemas.microsoft.com/office/drawing/2014/main" id="{00000000-0008-0000-0500-000009000000}"/>
              </a:ext>
            </a:extLst>
          </xdr:cNvPr>
          <xdr:cNvGrpSpPr/>
        </xdr:nvGrpSpPr>
        <xdr:grpSpPr>
          <a:xfrm>
            <a:off x="168265" y="1905000"/>
            <a:ext cx="179190" cy="180000"/>
            <a:chOff x="149215" y="1924050"/>
            <a:chExt cx="179190" cy="180000"/>
          </a:xfrm>
        </xdr:grpSpPr>
        <xdr:sp macro="" textlink="">
          <xdr:nvSpPr>
            <xdr:cNvPr id="130" name="Rechteck 129">
              <a:extLst>
                <a:ext uri="{FF2B5EF4-FFF2-40B4-BE49-F238E27FC236}">
                  <a16:creationId xmlns:a16="http://schemas.microsoft.com/office/drawing/2014/main" id="{00000000-0008-0000-0500-000082000000}"/>
                </a:ext>
              </a:extLst>
            </xdr:cNvPr>
            <xdr:cNvSpPr>
              <a:spLocks noChangeAspect="1"/>
            </xdr:cNvSpPr>
          </xdr:nvSpPr>
          <xdr:spPr>
            <a:xfrm>
              <a:off x="149215" y="1924050"/>
              <a:ext cx="179190" cy="180000"/>
            </a:xfrm>
            <a:prstGeom prst="rect">
              <a:avLst/>
            </a:prstGeom>
            <a:gradFill>
              <a:gsLst>
                <a:gs pos="0">
                  <a:srgbClr val="3984A3"/>
                </a:gs>
                <a:gs pos="80000">
                  <a:srgbClr val="3F92B3"/>
                </a:gs>
                <a:gs pos="100000">
                  <a:srgbClr val="55A4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1" name="Pfeil nach rechts 130">
              <a:extLst>
                <a:ext uri="{FF2B5EF4-FFF2-40B4-BE49-F238E27FC236}">
                  <a16:creationId xmlns:a16="http://schemas.microsoft.com/office/drawing/2014/main" id="{00000000-0008-0000-0500-000083000000}"/>
                </a:ext>
              </a:extLst>
            </xdr:cNvPr>
            <xdr:cNvSpPr/>
          </xdr:nvSpPr>
          <xdr:spPr>
            <a:xfrm rot="5400000" flipH="1" flipV="1">
              <a:off x="198343" y="1964275"/>
              <a:ext cx="89595"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grpSp>
    <xdr:clientData fPrintsWithSheet="0"/>
  </xdr:twoCellAnchor>
  <mc:AlternateContent xmlns:mc="http://schemas.openxmlformats.org/markup-compatibility/2006">
    <mc:Choice xmlns:a14="http://schemas.microsoft.com/office/drawing/2010/main" Requires="a14">
      <xdr:twoCellAnchor editAs="oneCell">
        <xdr:from>
          <xdr:col>11</xdr:col>
          <xdr:colOff>777536</xdr:colOff>
          <xdr:row>0</xdr:row>
          <xdr:rowOff>47625</xdr:rowOff>
        </xdr:from>
        <xdr:to>
          <xdr:col>15</xdr:col>
          <xdr:colOff>292832</xdr:colOff>
          <xdr:row>0</xdr:row>
          <xdr:rowOff>561974</xdr:rowOff>
        </xdr:to>
        <xdr:pic>
          <xdr:nvPicPr>
            <xdr:cNvPr id="67" name="Grafik 66">
              <a:extLst>
                <a:ext uri="{FF2B5EF4-FFF2-40B4-BE49-F238E27FC236}">
                  <a16:creationId xmlns:a16="http://schemas.microsoft.com/office/drawing/2014/main" id="{00000000-0008-0000-0500-000043000000}"/>
                </a:ext>
              </a:extLst>
            </xdr:cNvPr>
            <xdr:cNvPicPr>
              <a:picLocks noChangeAspect="1" noChangeArrowheads="1"/>
              <a:extLst>
                <a:ext uri="{84589F7E-364E-4C9E-8A38-B11213B215E9}">
                  <a14:cameraTool cellRange="Logo!$D$6" spid="_x0000_s204499"/>
                </a:ext>
              </a:extLst>
            </xdr:cNvPicPr>
          </xdr:nvPicPr>
          <xdr:blipFill>
            <a:blip xmlns:r="http://schemas.openxmlformats.org/officeDocument/2006/relationships" r:embed="rId6"/>
            <a:srcRect/>
            <a:stretch>
              <a:fillRect/>
            </a:stretch>
          </xdr:blipFill>
          <xdr:spPr bwMode="auto">
            <a:xfrm>
              <a:off x="11521736" y="47625"/>
              <a:ext cx="2077521" cy="514349"/>
            </a:xfrm>
            <a:prstGeom prst="rect">
              <a:avLst/>
            </a:prstGeom>
            <a:solidFill>
              <a:schemeClr val="bg1"/>
            </a:solidFill>
            <a:ln w="9525">
              <a:noFill/>
              <a:miter lim="800000"/>
              <a:headEnd/>
              <a:tailEnd/>
            </a:ln>
          </xdr:spPr>
        </xdr:pic>
        <xdr:clientData/>
      </xdr:twoCellAnchor>
    </mc:Choice>
    <mc:Fallback/>
  </mc:AlternateContent>
  <xdr:twoCellAnchor editAs="oneCell">
    <xdr:from>
      <xdr:col>1</xdr:col>
      <xdr:colOff>28573</xdr:colOff>
      <xdr:row>4</xdr:row>
      <xdr:rowOff>57157</xdr:rowOff>
    </xdr:from>
    <xdr:to>
      <xdr:col>2</xdr:col>
      <xdr:colOff>687775</xdr:colOff>
      <xdr:row>4</xdr:row>
      <xdr:rowOff>290362</xdr:rowOff>
    </xdr:to>
    <xdr:sp macro="" textlink="$F$4">
      <xdr:nvSpPr>
        <xdr:cNvPr id="68" name="TextBox 5">
          <a:extLst>
            <a:ext uri="{FF2B5EF4-FFF2-40B4-BE49-F238E27FC236}">
              <a16:creationId xmlns:a16="http://schemas.microsoft.com/office/drawing/2014/main" id="{00000000-0008-0000-0500-000044000000}"/>
            </a:ext>
          </a:extLst>
        </xdr:cNvPr>
        <xdr:cNvSpPr txBox="1"/>
      </xdr:nvSpPr>
      <xdr:spPr>
        <a:xfrm>
          <a:off x="552448" y="1219207"/>
          <a:ext cx="1042989"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lIns="36000" rtlCol="0" anchor="ctr">
          <a:noAutofit/>
        </a:bodyPr>
        <a:lstStyle/>
        <a:p>
          <a:pPr algn="l"/>
          <a:fld id="{F91AAE2F-0BE5-4519-84EF-6FC39963C5BA}" type="TxLink">
            <a:rPr lang="en-US" sz="1200" b="0" i="0" u="none" strike="noStrike">
              <a:solidFill>
                <a:srgbClr val="3984A3"/>
              </a:solidFill>
              <a:latin typeface="Calibri Light"/>
              <a:cs typeface="Calibri Light"/>
            </a:rPr>
            <a:pPr algn="l"/>
            <a:t>0/0</a:t>
          </a:fld>
          <a:endParaRPr lang="fr-CH" sz="1200" b="0">
            <a:solidFill>
              <a:srgbClr val="3984A3"/>
            </a:solidFill>
          </a:endParaRPr>
        </a:p>
      </xdr:txBody>
    </xdr:sp>
    <xdr:clientData/>
  </xdr:twoCellAnchor>
  <xdr:twoCellAnchor editAs="absolute">
    <xdr:from>
      <xdr:col>7</xdr:col>
      <xdr:colOff>687097</xdr:colOff>
      <xdr:row>2</xdr:row>
      <xdr:rowOff>9525</xdr:rowOff>
    </xdr:from>
    <xdr:to>
      <xdr:col>10</xdr:col>
      <xdr:colOff>385919</xdr:colOff>
      <xdr:row>2</xdr:row>
      <xdr:rowOff>171450</xdr:rowOff>
    </xdr:to>
    <xdr:sp macro="" textlink="">
      <xdr:nvSpPr>
        <xdr:cNvPr id="72" name="TextBox 49">
          <a:hlinkClick xmlns:r="http://schemas.openxmlformats.org/officeDocument/2006/relationships" r:id="rId7" tooltip="Date"/>
          <a:extLst>
            <a:ext uri="{FF2B5EF4-FFF2-40B4-BE49-F238E27FC236}">
              <a16:creationId xmlns:a16="http://schemas.microsoft.com/office/drawing/2014/main" id="{00000000-0008-0000-0500-000048000000}"/>
            </a:ext>
          </a:extLst>
        </xdr:cNvPr>
        <xdr:cNvSpPr txBox="1"/>
      </xdr:nvSpPr>
      <xdr:spPr>
        <a:xfrm>
          <a:off x="9077324" y="676275"/>
          <a:ext cx="1628775" cy="161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endParaRPr lang="en-US" sz="900" b="0" i="0" u="none" strike="noStrike">
            <a:solidFill>
              <a:schemeClr val="tx2"/>
            </a:solidFill>
            <a:latin typeface="Calibri"/>
            <a:cs typeface="Calibri"/>
          </a:endParaRPr>
        </a:p>
      </xdr:txBody>
    </xdr:sp>
    <xdr:clientData/>
  </xdr:twoCellAnchor>
  <xdr:twoCellAnchor editAs="absolute">
    <xdr:from>
      <xdr:col>13</xdr:col>
      <xdr:colOff>316070</xdr:colOff>
      <xdr:row>2</xdr:row>
      <xdr:rowOff>0</xdr:rowOff>
    </xdr:from>
    <xdr:to>
      <xdr:col>16</xdr:col>
      <xdr:colOff>279679</xdr:colOff>
      <xdr:row>2</xdr:row>
      <xdr:rowOff>161925</xdr:rowOff>
    </xdr:to>
    <xdr:sp macro="" textlink="">
      <xdr:nvSpPr>
        <xdr:cNvPr id="80" name="TextBox 49">
          <a:hlinkClick xmlns:r="http://schemas.openxmlformats.org/officeDocument/2006/relationships" r:id="rId8" tooltip="Date"/>
          <a:extLst>
            <a:ext uri="{FF2B5EF4-FFF2-40B4-BE49-F238E27FC236}">
              <a16:creationId xmlns:a16="http://schemas.microsoft.com/office/drawing/2014/main" id="{00000000-0008-0000-0500-000050000000}"/>
            </a:ext>
          </a:extLst>
        </xdr:cNvPr>
        <xdr:cNvSpPr txBox="1"/>
      </xdr:nvSpPr>
      <xdr:spPr>
        <a:xfrm>
          <a:off x="12392024" y="666750"/>
          <a:ext cx="1628775" cy="161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endParaRPr lang="en-US" sz="900" b="0" i="0" u="none" strike="noStrike">
            <a:solidFill>
              <a:schemeClr val="tx2"/>
            </a:solidFill>
            <a:latin typeface="Calibri"/>
            <a:cs typeface="Calibri"/>
          </a:endParaRPr>
        </a:p>
      </xdr:txBody>
    </xdr:sp>
    <xdr:clientData/>
  </xdr:twoCellAnchor>
  <xdr:twoCellAnchor editAs="oneCell">
    <xdr:from>
      <xdr:col>4</xdr:col>
      <xdr:colOff>3705244</xdr:colOff>
      <xdr:row>6</xdr:row>
      <xdr:rowOff>95249</xdr:rowOff>
    </xdr:from>
    <xdr:to>
      <xdr:col>4</xdr:col>
      <xdr:colOff>3885244</xdr:colOff>
      <xdr:row>6</xdr:row>
      <xdr:rowOff>274516</xdr:rowOff>
    </xdr:to>
    <xdr:pic macro="[0]!Filter_aus">
      <xdr:nvPicPr>
        <xdr:cNvPr id="17" name="Grafik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134244" y="1990724"/>
          <a:ext cx="180000" cy="179267"/>
        </a:xfrm>
        <a:prstGeom prst="rect">
          <a:avLst/>
        </a:prstGeom>
      </xdr:spPr>
    </xdr:pic>
    <xdr:clientData fPrintsWithSheet="0"/>
  </xdr:twoCellAnchor>
  <xdr:twoCellAnchor editAs="oneCell">
    <xdr:from>
      <xdr:col>14</xdr:col>
      <xdr:colOff>447674</xdr:colOff>
      <xdr:row>2</xdr:row>
      <xdr:rowOff>28575</xdr:rowOff>
    </xdr:from>
    <xdr:to>
      <xdr:col>15</xdr:col>
      <xdr:colOff>363300</xdr:colOff>
      <xdr:row>2</xdr:row>
      <xdr:rowOff>208575</xdr:rowOff>
    </xdr:to>
    <xdr:grpSp>
      <xdr:nvGrpSpPr>
        <xdr:cNvPr id="10" name="Gruppieren 9">
          <a:extLst>
            <a:ext uri="{FF2B5EF4-FFF2-40B4-BE49-F238E27FC236}">
              <a16:creationId xmlns:a16="http://schemas.microsoft.com/office/drawing/2014/main" id="{00000000-0008-0000-0500-00000A000000}"/>
            </a:ext>
          </a:extLst>
        </xdr:cNvPr>
        <xdr:cNvGrpSpPr/>
      </xdr:nvGrpSpPr>
      <xdr:grpSpPr>
        <a:xfrm>
          <a:off x="13355954" y="691515"/>
          <a:ext cx="677626" cy="180000"/>
          <a:chOff x="11696699" y="342900"/>
          <a:chExt cx="658576" cy="180000"/>
        </a:xfrm>
      </xdr:grpSpPr>
      <xdr:grpSp>
        <xdr:nvGrpSpPr>
          <xdr:cNvPr id="173" name="Gruppieren 172">
            <a:hlinkClick xmlns:r="http://schemas.openxmlformats.org/officeDocument/2006/relationships" r:id="rId10" tooltip="Help"/>
            <a:extLst>
              <a:ext uri="{FF2B5EF4-FFF2-40B4-BE49-F238E27FC236}">
                <a16:creationId xmlns:a16="http://schemas.microsoft.com/office/drawing/2014/main" id="{00000000-0008-0000-0500-0000AD000000}"/>
              </a:ext>
            </a:extLst>
          </xdr:cNvPr>
          <xdr:cNvGrpSpPr/>
        </xdr:nvGrpSpPr>
        <xdr:grpSpPr>
          <a:xfrm>
            <a:off x="12188451" y="347452"/>
            <a:ext cx="166824" cy="172800"/>
            <a:chOff x="8105775" y="571500"/>
            <a:chExt cx="172800" cy="172800"/>
          </a:xfrm>
          <a:gradFill>
            <a:gsLst>
              <a:gs pos="0">
                <a:srgbClr val="3984A3"/>
              </a:gs>
              <a:gs pos="80000">
                <a:srgbClr val="3F92B3"/>
              </a:gs>
              <a:gs pos="100000">
                <a:srgbClr val="55A4C3"/>
              </a:gs>
            </a:gsLst>
          </a:gradFill>
        </xdr:grpSpPr>
        <xdr:sp macro="" textlink="">
          <xdr:nvSpPr>
            <xdr:cNvPr id="174" name="Rechteck 173">
              <a:extLst>
                <a:ext uri="{FF2B5EF4-FFF2-40B4-BE49-F238E27FC236}">
                  <a16:creationId xmlns:a16="http://schemas.microsoft.com/office/drawing/2014/main" id="{00000000-0008-0000-0500-0000AE000000}"/>
                </a:ext>
              </a:extLst>
            </xdr:cNvPr>
            <xdr:cNvSpPr>
              <a:spLocks noChangeAspect="1"/>
            </xdr:cNvSpPr>
          </xdr:nvSpPr>
          <xdr:spPr>
            <a:xfrm>
              <a:off x="8105775" y="571500"/>
              <a:ext cx="172800" cy="172800"/>
            </a:xfrm>
            <a:prstGeom prst="rect">
              <a:avLst/>
            </a:prstGeom>
            <a:grp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5" name="Textfeld 174">
              <a:extLst>
                <a:ext uri="{FF2B5EF4-FFF2-40B4-BE49-F238E27FC236}">
                  <a16:creationId xmlns:a16="http://schemas.microsoft.com/office/drawing/2014/main" id="{00000000-0008-0000-0500-0000AF000000}"/>
                </a:ext>
              </a:extLst>
            </xdr:cNvPr>
            <xdr:cNvSpPr txBox="1"/>
          </xdr:nvSpPr>
          <xdr:spPr>
            <a:xfrm>
              <a:off x="8152998" y="584162"/>
              <a:ext cx="78355" cy="147476"/>
            </a:xfrm>
            <a:prstGeom prst="rect">
              <a:avLst/>
            </a:prstGeom>
            <a:grp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83" name="Rechteck 78">
            <a:extLst>
              <a:ext uri="{FF2B5EF4-FFF2-40B4-BE49-F238E27FC236}">
                <a16:creationId xmlns:a16="http://schemas.microsoft.com/office/drawing/2014/main" id="{00000000-0008-0000-0500-000053000000}"/>
              </a:ext>
            </a:extLst>
          </xdr:cNvPr>
          <xdr:cNvSpPr>
            <a:spLocks/>
          </xdr:cNvSpPr>
        </xdr:nvSpPr>
        <xdr:spPr>
          <a:xfrm>
            <a:off x="11696699" y="342900"/>
            <a:ext cx="180000" cy="180000"/>
          </a:xfrm>
          <a:prstGeom prst="rect">
            <a:avLst/>
          </a:prstGeom>
          <a:gradFill>
            <a:gsLst>
              <a:gs pos="0">
                <a:srgbClr val="3984A3"/>
              </a:gs>
              <a:gs pos="80000">
                <a:srgbClr val="3F92B3"/>
              </a:gs>
              <a:gs pos="100000">
                <a:srgbClr val="55A4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84" name="Rechteck 84">
            <a:extLst>
              <a:ext uri="{FF2B5EF4-FFF2-40B4-BE49-F238E27FC236}">
                <a16:creationId xmlns:a16="http://schemas.microsoft.com/office/drawing/2014/main" id="{00000000-0008-0000-0500-000054000000}"/>
              </a:ext>
            </a:extLst>
          </xdr:cNvPr>
          <xdr:cNvSpPr>
            <a:spLocks/>
          </xdr:cNvSpPr>
        </xdr:nvSpPr>
        <xdr:spPr>
          <a:xfrm>
            <a:off x="11933159" y="342900"/>
            <a:ext cx="180000" cy="180000"/>
          </a:xfrm>
          <a:prstGeom prst="rect">
            <a:avLst/>
          </a:prstGeom>
          <a:gradFill>
            <a:gsLst>
              <a:gs pos="0">
                <a:srgbClr val="3984A3"/>
              </a:gs>
              <a:gs pos="80000">
                <a:srgbClr val="3F92B3"/>
              </a:gs>
              <a:gs pos="100000">
                <a:srgbClr val="55A4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9</xdr:col>
      <xdr:colOff>40427</xdr:colOff>
      <xdr:row>6</xdr:row>
      <xdr:rowOff>232014</xdr:rowOff>
    </xdr:from>
    <xdr:to>
      <xdr:col>9</xdr:col>
      <xdr:colOff>148427</xdr:colOff>
      <xdr:row>6</xdr:row>
      <xdr:rowOff>340014</xdr:rowOff>
    </xdr:to>
    <xdr:sp macro="[0]!Dauer_einblenden" textlink="">
      <xdr:nvSpPr>
        <xdr:cNvPr id="14" name="Textfeld 13">
          <a:extLst>
            <a:ext uri="{FF2B5EF4-FFF2-40B4-BE49-F238E27FC236}">
              <a16:creationId xmlns:a16="http://schemas.microsoft.com/office/drawing/2014/main" id="{00000000-0008-0000-0500-00000E000000}"/>
            </a:ext>
          </a:extLst>
        </xdr:cNvPr>
        <xdr:cNvSpPr txBox="1"/>
      </xdr:nvSpPr>
      <xdr:spPr>
        <a:xfrm>
          <a:off x="9403502" y="2127489"/>
          <a:ext cx="108000" cy="10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fr-CH" sz="1200">
              <a:solidFill>
                <a:schemeClr val="bg1"/>
              </a:solidFill>
            </a:rPr>
            <a:t>+</a:t>
          </a:r>
        </a:p>
      </xdr:txBody>
    </xdr:sp>
    <xdr:clientData/>
  </xdr:twoCellAnchor>
  <xdr:twoCellAnchor editAs="oneCell">
    <xdr:from>
      <xdr:col>7</xdr:col>
      <xdr:colOff>613142</xdr:colOff>
      <xdr:row>6</xdr:row>
      <xdr:rowOff>232014</xdr:rowOff>
    </xdr:from>
    <xdr:to>
      <xdr:col>7</xdr:col>
      <xdr:colOff>719724</xdr:colOff>
      <xdr:row>6</xdr:row>
      <xdr:rowOff>340014</xdr:rowOff>
    </xdr:to>
    <xdr:sp macro="[0]!Dauer_ausblenden" textlink="">
      <xdr:nvSpPr>
        <xdr:cNvPr id="98" name="Textfeld 97">
          <a:extLst>
            <a:ext uri="{FF2B5EF4-FFF2-40B4-BE49-F238E27FC236}">
              <a16:creationId xmlns:a16="http://schemas.microsoft.com/office/drawing/2014/main" id="{00000000-0008-0000-0500-000062000000}"/>
            </a:ext>
          </a:extLst>
        </xdr:cNvPr>
        <xdr:cNvSpPr txBox="1"/>
      </xdr:nvSpPr>
      <xdr:spPr>
        <a:xfrm>
          <a:off x="9023717" y="2127489"/>
          <a:ext cx="106582" cy="10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fr-CH" sz="1200">
              <a:solidFill>
                <a:schemeClr val="bg1"/>
              </a:solidFill>
            </a:rPr>
            <a:t>-</a:t>
          </a:r>
        </a:p>
      </xdr:txBody>
    </xdr:sp>
    <xdr:clientData/>
  </xdr:twoCellAnchor>
  <xdr:twoCellAnchor editAs="oneCell">
    <xdr:from>
      <xdr:col>0</xdr:col>
      <xdr:colOff>81625</xdr:colOff>
      <xdr:row>3</xdr:row>
      <xdr:rowOff>277409</xdr:rowOff>
    </xdr:from>
    <xdr:to>
      <xdr:col>0</xdr:col>
      <xdr:colOff>406968</xdr:colOff>
      <xdr:row>4</xdr:row>
      <xdr:rowOff>297304</xdr:rowOff>
    </xdr:to>
    <xdr:grpSp>
      <xdr:nvGrpSpPr>
        <xdr:cNvPr id="4" name="Gruppieren 3">
          <a:hlinkClick xmlns:r="http://schemas.openxmlformats.org/officeDocument/2006/relationships" r:id="rId11" tooltip="Calendar"/>
          <a:extLst>
            <a:ext uri="{FF2B5EF4-FFF2-40B4-BE49-F238E27FC236}">
              <a16:creationId xmlns:a16="http://schemas.microsoft.com/office/drawing/2014/main" id="{00000000-0008-0000-0500-000004000000}"/>
            </a:ext>
          </a:extLst>
        </xdr:cNvPr>
        <xdr:cNvGrpSpPr/>
      </xdr:nvGrpSpPr>
      <xdr:grpSpPr>
        <a:xfrm>
          <a:off x="81625" y="1168949"/>
          <a:ext cx="325343" cy="324695"/>
          <a:chOff x="85725" y="1826079"/>
          <a:chExt cx="322639" cy="325465"/>
        </a:xfrm>
        <a:gradFill>
          <a:gsLst>
            <a:gs pos="0">
              <a:srgbClr val="3984A3"/>
            </a:gs>
            <a:gs pos="80000">
              <a:srgbClr val="3F92B3"/>
            </a:gs>
            <a:gs pos="100000">
              <a:srgbClr val="55A4C3"/>
            </a:gs>
          </a:gsLst>
        </a:gradFill>
      </xdr:grpSpPr>
      <xdr:sp macro="" textlink="">
        <xdr:nvSpPr>
          <xdr:cNvPr id="73" name="Rechteck 72">
            <a:extLst>
              <a:ext uri="{FF2B5EF4-FFF2-40B4-BE49-F238E27FC236}">
                <a16:creationId xmlns:a16="http://schemas.microsoft.com/office/drawing/2014/main" id="{00000000-0008-0000-0500-000049000000}"/>
              </a:ext>
            </a:extLst>
          </xdr:cNvPr>
          <xdr:cNvSpPr>
            <a:spLocks noChangeAspect="1"/>
          </xdr:cNvSpPr>
        </xdr:nvSpPr>
        <xdr:spPr>
          <a:xfrm>
            <a:off x="85725" y="1826079"/>
            <a:ext cx="322639" cy="325465"/>
          </a:xfrm>
          <a:prstGeom prst="rect">
            <a:avLst/>
          </a:prstGeom>
          <a:grp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grpSp>
        <xdr:nvGrpSpPr>
          <xdr:cNvPr id="3" name="Gruppieren 2">
            <a:extLst>
              <a:ext uri="{FF2B5EF4-FFF2-40B4-BE49-F238E27FC236}">
                <a16:creationId xmlns:a16="http://schemas.microsoft.com/office/drawing/2014/main" id="{00000000-0008-0000-0500-000003000000}"/>
              </a:ext>
            </a:extLst>
          </xdr:cNvPr>
          <xdr:cNvGrpSpPr/>
        </xdr:nvGrpSpPr>
        <xdr:grpSpPr>
          <a:xfrm>
            <a:off x="139231" y="1875642"/>
            <a:ext cx="215627" cy="226339"/>
            <a:chOff x="142352" y="1872298"/>
            <a:chExt cx="215627" cy="226339"/>
          </a:xfrm>
          <a:grpFill/>
        </xdr:grpSpPr>
        <xdr:sp macro="" textlink="">
          <xdr:nvSpPr>
            <xdr:cNvPr id="6" name="Textfeld 5">
              <a:extLst>
                <a:ext uri="{FF2B5EF4-FFF2-40B4-BE49-F238E27FC236}">
                  <a16:creationId xmlns:a16="http://schemas.microsoft.com/office/drawing/2014/main" id="{00000000-0008-0000-0500-000006000000}"/>
                </a:ext>
              </a:extLst>
            </xdr:cNvPr>
            <xdr:cNvSpPr txBox="1"/>
          </xdr:nvSpPr>
          <xdr:spPr>
            <a:xfrm>
              <a:off x="142352" y="1930477"/>
              <a:ext cx="215520" cy="168160"/>
            </a:xfrm>
            <a:prstGeom prst="rect">
              <a:avLst/>
            </a:prstGeom>
            <a:grpFill/>
            <a:ln>
              <a:solidFill>
                <a:schemeClr val="bg1"/>
              </a:solidFill>
            </a:ln>
            <a:effectLst/>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100">
                  <a:solidFill>
                    <a:schemeClr val="bg1"/>
                  </a:solidFill>
                </a:rPr>
                <a:t>27</a:t>
              </a:r>
            </a:p>
          </xdr:txBody>
        </xdr:sp>
        <xdr:sp macro="" textlink="">
          <xdr:nvSpPr>
            <xdr:cNvPr id="81" name="Textfeld 80">
              <a:extLst>
                <a:ext uri="{FF2B5EF4-FFF2-40B4-BE49-F238E27FC236}">
                  <a16:creationId xmlns:a16="http://schemas.microsoft.com/office/drawing/2014/main" id="{00000000-0008-0000-0500-000051000000}"/>
                </a:ext>
              </a:extLst>
            </xdr:cNvPr>
            <xdr:cNvSpPr txBox="1"/>
          </xdr:nvSpPr>
          <xdr:spPr>
            <a:xfrm>
              <a:off x="142352" y="1872298"/>
              <a:ext cx="215627" cy="42477"/>
            </a:xfrm>
            <a:prstGeom prst="rect">
              <a:avLst/>
            </a:prstGeom>
            <a:grpFill/>
            <a:ln>
              <a:solidFill>
                <a:schemeClr val="bg1"/>
              </a:solidFill>
            </a:ln>
            <a:effectLst/>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endParaRPr lang="de-CH" sz="1100">
                <a:solidFill>
                  <a:schemeClr val="bg1"/>
                </a:solidFill>
              </a:endParaRPr>
            </a:p>
          </xdr:txBody>
        </xdr:sp>
      </xdr:grpSp>
    </xdr:grpSp>
    <xdr:clientData fPrintsWithSheet="0"/>
  </xdr:twoCellAnchor>
  <xdr:twoCellAnchor editAs="oneCell">
    <xdr:from>
      <xdr:col>0</xdr:col>
      <xdr:colOff>86270</xdr:colOff>
      <xdr:row>1</xdr:row>
      <xdr:rowOff>88900</xdr:rowOff>
    </xdr:from>
    <xdr:to>
      <xdr:col>0</xdr:col>
      <xdr:colOff>402322</xdr:colOff>
      <xdr:row>3</xdr:row>
      <xdr:rowOff>101540</xdr:rowOff>
    </xdr:to>
    <xdr:grpSp>
      <xdr:nvGrpSpPr>
        <xdr:cNvPr id="2" name="Gruppieren 1">
          <a:hlinkClick xmlns:r="http://schemas.openxmlformats.org/officeDocument/2006/relationships" r:id="rId12"/>
          <a:extLst>
            <a:ext uri="{FF2B5EF4-FFF2-40B4-BE49-F238E27FC236}">
              <a16:creationId xmlns:a16="http://schemas.microsoft.com/office/drawing/2014/main" id="{00000000-0008-0000-0500-000002000000}"/>
            </a:ext>
          </a:extLst>
        </xdr:cNvPr>
        <xdr:cNvGrpSpPr/>
      </xdr:nvGrpSpPr>
      <xdr:grpSpPr>
        <a:xfrm>
          <a:off x="86270" y="660400"/>
          <a:ext cx="316052" cy="332680"/>
          <a:chOff x="90917" y="660400"/>
          <a:chExt cx="316052" cy="336490"/>
        </a:xfrm>
      </xdr:grpSpPr>
      <xdr:sp macro="" textlink="">
        <xdr:nvSpPr>
          <xdr:cNvPr id="118" name="Rechteck 57">
            <a:extLst>
              <a:ext uri="{FF2B5EF4-FFF2-40B4-BE49-F238E27FC236}">
                <a16:creationId xmlns:a16="http://schemas.microsoft.com/office/drawing/2014/main" id="{00000000-0008-0000-0500-000076000000}"/>
              </a:ext>
            </a:extLst>
          </xdr:cNvPr>
          <xdr:cNvSpPr>
            <a:spLocks noChangeAspect="1"/>
          </xdr:cNvSpPr>
        </xdr:nvSpPr>
        <xdr:spPr>
          <a:xfrm>
            <a:off x="90917" y="660400"/>
            <a:ext cx="316052" cy="336490"/>
          </a:xfrm>
          <a:prstGeom prst="rect">
            <a:avLst/>
          </a:prstGeom>
          <a:gradFill>
            <a:gsLst>
              <a:gs pos="0">
                <a:srgbClr val="3984A3"/>
              </a:gs>
              <a:gs pos="80000">
                <a:srgbClr val="3F92B3"/>
              </a:gs>
              <a:gs pos="100000">
                <a:srgbClr val="55A4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5" name="Pfeil: Chevron 14">
            <a:extLst>
              <a:ext uri="{FF2B5EF4-FFF2-40B4-BE49-F238E27FC236}">
                <a16:creationId xmlns:a16="http://schemas.microsoft.com/office/drawing/2014/main" id="{00000000-0008-0000-0500-00000F000000}"/>
              </a:ext>
            </a:extLst>
          </xdr:cNvPr>
          <xdr:cNvSpPr>
            <a:spLocks/>
          </xdr:cNvSpPr>
        </xdr:nvSpPr>
        <xdr:spPr>
          <a:xfrm>
            <a:off x="141817" y="733615"/>
            <a:ext cx="144722" cy="180469"/>
          </a:xfrm>
          <a:prstGeom prst="chevron">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endParaRPr lang="de-CH" sz="600" baseline="0">
              <a:solidFill>
                <a:schemeClr val="dk1"/>
              </a:solidFill>
              <a:latin typeface="+mn-lt"/>
              <a:ea typeface="+mn-ea"/>
              <a:cs typeface="+mn-cs"/>
            </a:endParaRPr>
          </a:p>
        </xdr:txBody>
      </xdr:sp>
      <xdr:sp macro="" textlink="">
        <xdr:nvSpPr>
          <xdr:cNvPr id="101" name="Pfeil: Chevron 100">
            <a:extLst>
              <a:ext uri="{FF2B5EF4-FFF2-40B4-BE49-F238E27FC236}">
                <a16:creationId xmlns:a16="http://schemas.microsoft.com/office/drawing/2014/main" id="{00000000-0008-0000-0500-000065000000}"/>
              </a:ext>
            </a:extLst>
          </xdr:cNvPr>
          <xdr:cNvSpPr>
            <a:spLocks/>
          </xdr:cNvSpPr>
        </xdr:nvSpPr>
        <xdr:spPr>
          <a:xfrm>
            <a:off x="236984" y="733615"/>
            <a:ext cx="144722" cy="180469"/>
          </a:xfrm>
          <a:prstGeom prst="chevron">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endParaRPr lang="de-CH" sz="1100" baseline="0">
              <a:solidFill>
                <a:schemeClr val="dk1"/>
              </a:solidFill>
              <a:latin typeface="+mn-lt"/>
              <a:ea typeface="+mn-ea"/>
              <a:cs typeface="+mn-cs"/>
            </a:endParaRPr>
          </a:p>
        </xdr:txBody>
      </xdr:sp>
    </xdr:grpSp>
    <xdr:clientData fPrintsWithSheet="0"/>
  </xdr:twoCellAnchor>
  <xdr:twoCellAnchor editAs="oneCell">
    <xdr:from>
      <xdr:col>2</xdr:col>
      <xdr:colOff>75445</xdr:colOff>
      <xdr:row>5</xdr:row>
      <xdr:rowOff>38100</xdr:rowOff>
    </xdr:from>
    <xdr:to>
      <xdr:col>2</xdr:col>
      <xdr:colOff>428625</xdr:colOff>
      <xdr:row>5</xdr:row>
      <xdr:rowOff>361950</xdr:rowOff>
    </xdr:to>
    <xdr:grpSp>
      <xdr:nvGrpSpPr>
        <xdr:cNvPr id="22" name="Gruppieren 21">
          <a:extLst>
            <a:ext uri="{FF2B5EF4-FFF2-40B4-BE49-F238E27FC236}">
              <a16:creationId xmlns:a16="http://schemas.microsoft.com/office/drawing/2014/main" id="{00000000-0008-0000-0500-000016000000}"/>
            </a:ext>
          </a:extLst>
        </xdr:cNvPr>
        <xdr:cNvGrpSpPr/>
      </xdr:nvGrpSpPr>
      <xdr:grpSpPr>
        <a:xfrm>
          <a:off x="1005085" y="1539240"/>
          <a:ext cx="353180" cy="323850"/>
          <a:chOff x="551695" y="1552575"/>
          <a:chExt cx="353180" cy="323850"/>
        </a:xfrm>
      </xdr:grpSpPr>
      <xdr:sp macro="[0]!Sortieren_Detailplan_Datum" textlink="">
        <xdr:nvSpPr>
          <xdr:cNvPr id="12" name="Textfeld 11">
            <a:extLst>
              <a:ext uri="{FF2B5EF4-FFF2-40B4-BE49-F238E27FC236}">
                <a16:creationId xmlns:a16="http://schemas.microsoft.com/office/drawing/2014/main" id="{00000000-0008-0000-0500-00000C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Detailplan_Datum">
        <xdr:nvCxnSpPr>
          <xdr:cNvPr id="18" name="Gerade Verbindung mit Pfeil 17">
            <a:extLst>
              <a:ext uri="{FF2B5EF4-FFF2-40B4-BE49-F238E27FC236}">
                <a16:creationId xmlns:a16="http://schemas.microsoft.com/office/drawing/2014/main" id="{00000000-0008-0000-0500-000012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7</xdr:col>
      <xdr:colOff>132595</xdr:colOff>
      <xdr:row>5</xdr:row>
      <xdr:rowOff>38100</xdr:rowOff>
    </xdr:from>
    <xdr:to>
      <xdr:col>7</xdr:col>
      <xdr:colOff>485775</xdr:colOff>
      <xdr:row>5</xdr:row>
      <xdr:rowOff>361950</xdr:rowOff>
    </xdr:to>
    <xdr:grpSp>
      <xdr:nvGrpSpPr>
        <xdr:cNvPr id="64" name="Gruppieren 63">
          <a:extLst>
            <a:ext uri="{FF2B5EF4-FFF2-40B4-BE49-F238E27FC236}">
              <a16:creationId xmlns:a16="http://schemas.microsoft.com/office/drawing/2014/main" id="{00000000-0008-0000-0500-000040000000}"/>
            </a:ext>
          </a:extLst>
        </xdr:cNvPr>
        <xdr:cNvGrpSpPr/>
      </xdr:nvGrpSpPr>
      <xdr:grpSpPr>
        <a:xfrm>
          <a:off x="8758435" y="1539240"/>
          <a:ext cx="353180" cy="323850"/>
          <a:chOff x="551695" y="1552575"/>
          <a:chExt cx="353180" cy="323850"/>
        </a:xfrm>
      </xdr:grpSpPr>
      <xdr:sp macro="[0]!Sortieren_Detailplan_Beginn" textlink="">
        <xdr:nvSpPr>
          <xdr:cNvPr id="65" name="Textfeld 64">
            <a:extLst>
              <a:ext uri="{FF2B5EF4-FFF2-40B4-BE49-F238E27FC236}">
                <a16:creationId xmlns:a16="http://schemas.microsoft.com/office/drawing/2014/main" id="{00000000-0008-0000-0500-000041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Detailplan_Beginn">
        <xdr:nvCxnSpPr>
          <xdr:cNvPr id="66" name="Gerade Verbindung mit Pfeil 65">
            <a:extLst>
              <a:ext uri="{FF2B5EF4-FFF2-40B4-BE49-F238E27FC236}">
                <a16:creationId xmlns:a16="http://schemas.microsoft.com/office/drawing/2014/main" id="{00000000-0008-0000-0500-000042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9</xdr:col>
      <xdr:colOff>123070</xdr:colOff>
      <xdr:row>5</xdr:row>
      <xdr:rowOff>38100</xdr:rowOff>
    </xdr:from>
    <xdr:to>
      <xdr:col>9</xdr:col>
      <xdr:colOff>476250</xdr:colOff>
      <xdr:row>5</xdr:row>
      <xdr:rowOff>361950</xdr:rowOff>
    </xdr:to>
    <xdr:grpSp>
      <xdr:nvGrpSpPr>
        <xdr:cNvPr id="74" name="Gruppieren 73">
          <a:extLst>
            <a:ext uri="{FF2B5EF4-FFF2-40B4-BE49-F238E27FC236}">
              <a16:creationId xmlns:a16="http://schemas.microsoft.com/office/drawing/2014/main" id="{00000000-0008-0000-0500-00004A000000}"/>
            </a:ext>
          </a:extLst>
        </xdr:cNvPr>
        <xdr:cNvGrpSpPr/>
      </xdr:nvGrpSpPr>
      <xdr:grpSpPr>
        <a:xfrm>
          <a:off x="9930010" y="1539240"/>
          <a:ext cx="353180" cy="323850"/>
          <a:chOff x="551695" y="1552575"/>
          <a:chExt cx="353180" cy="323850"/>
        </a:xfrm>
      </xdr:grpSpPr>
      <xdr:sp macro="[0]!Sortieren_Detailplan_Enddatum" textlink="">
        <xdr:nvSpPr>
          <xdr:cNvPr id="82" name="Textfeld 81">
            <a:extLst>
              <a:ext uri="{FF2B5EF4-FFF2-40B4-BE49-F238E27FC236}">
                <a16:creationId xmlns:a16="http://schemas.microsoft.com/office/drawing/2014/main" id="{00000000-0008-0000-0500-000052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Detailplan_Enddatum">
        <xdr:nvCxnSpPr>
          <xdr:cNvPr id="86" name="Gerade Verbindung mit Pfeil 85">
            <a:extLst>
              <a:ext uri="{FF2B5EF4-FFF2-40B4-BE49-F238E27FC236}">
                <a16:creationId xmlns:a16="http://schemas.microsoft.com/office/drawing/2014/main" id="{00000000-0008-0000-0500-000056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0</xdr:col>
      <xdr:colOff>446920</xdr:colOff>
      <xdr:row>5</xdr:row>
      <xdr:rowOff>38100</xdr:rowOff>
    </xdr:from>
    <xdr:to>
      <xdr:col>1</xdr:col>
      <xdr:colOff>276225</xdr:colOff>
      <xdr:row>5</xdr:row>
      <xdr:rowOff>361950</xdr:rowOff>
    </xdr:to>
    <xdr:grpSp>
      <xdr:nvGrpSpPr>
        <xdr:cNvPr id="87" name="Gruppieren 86">
          <a:extLst>
            <a:ext uri="{FF2B5EF4-FFF2-40B4-BE49-F238E27FC236}">
              <a16:creationId xmlns:a16="http://schemas.microsoft.com/office/drawing/2014/main" id="{00000000-0008-0000-0500-000057000000}"/>
            </a:ext>
          </a:extLst>
        </xdr:cNvPr>
        <xdr:cNvGrpSpPr/>
      </xdr:nvGrpSpPr>
      <xdr:grpSpPr>
        <a:xfrm>
          <a:off x="446920" y="1539240"/>
          <a:ext cx="370325" cy="323850"/>
          <a:chOff x="551695" y="1552575"/>
          <a:chExt cx="353180" cy="323850"/>
        </a:xfrm>
      </xdr:grpSpPr>
      <xdr:sp macro="[0]!Sortieren_Detailplan_Nummer" textlink="">
        <xdr:nvSpPr>
          <xdr:cNvPr id="88" name="Textfeld 87">
            <a:extLst>
              <a:ext uri="{FF2B5EF4-FFF2-40B4-BE49-F238E27FC236}">
                <a16:creationId xmlns:a16="http://schemas.microsoft.com/office/drawing/2014/main" id="{00000000-0008-0000-0500-000058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Detailplan_Nummer">
        <xdr:nvCxnSpPr>
          <xdr:cNvPr id="89" name="Gerade Verbindung mit Pfeil 88">
            <a:extLst>
              <a:ext uri="{FF2B5EF4-FFF2-40B4-BE49-F238E27FC236}">
                <a16:creationId xmlns:a16="http://schemas.microsoft.com/office/drawing/2014/main" id="{00000000-0008-0000-0500-000059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5</xdr:col>
      <xdr:colOff>523120</xdr:colOff>
      <xdr:row>5</xdr:row>
      <xdr:rowOff>38100</xdr:rowOff>
    </xdr:from>
    <xdr:to>
      <xdr:col>6</xdr:col>
      <xdr:colOff>342901</xdr:colOff>
      <xdr:row>5</xdr:row>
      <xdr:rowOff>361950</xdr:rowOff>
    </xdr:to>
    <xdr:grpSp>
      <xdr:nvGrpSpPr>
        <xdr:cNvPr id="60" name="Gruppieren 59">
          <a:extLst>
            <a:ext uri="{FF2B5EF4-FFF2-40B4-BE49-F238E27FC236}">
              <a16:creationId xmlns:a16="http://schemas.microsoft.com/office/drawing/2014/main" id="{00000000-0008-0000-0500-00003C000000}"/>
            </a:ext>
          </a:extLst>
        </xdr:cNvPr>
        <xdr:cNvGrpSpPr/>
      </xdr:nvGrpSpPr>
      <xdr:grpSpPr>
        <a:xfrm>
          <a:off x="8158360" y="1539240"/>
          <a:ext cx="368421" cy="323850"/>
          <a:chOff x="551695" y="1552575"/>
          <a:chExt cx="353180" cy="323850"/>
        </a:xfrm>
      </xdr:grpSpPr>
      <xdr:sp macro="[0]!Sortieren_Detailplan_Sprint" textlink="">
        <xdr:nvSpPr>
          <xdr:cNvPr id="61" name="Textfeld 60">
            <a:extLst>
              <a:ext uri="{FF2B5EF4-FFF2-40B4-BE49-F238E27FC236}">
                <a16:creationId xmlns:a16="http://schemas.microsoft.com/office/drawing/2014/main" id="{00000000-0008-0000-0500-00003D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Detailplan_Sprint">
        <xdr:nvCxnSpPr>
          <xdr:cNvPr id="62" name="Gerade Verbindung mit Pfeil 61">
            <a:extLst>
              <a:ext uri="{FF2B5EF4-FFF2-40B4-BE49-F238E27FC236}">
                <a16:creationId xmlns:a16="http://schemas.microsoft.com/office/drawing/2014/main" id="{00000000-0008-0000-0500-00003E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14</xdr:col>
      <xdr:colOff>84970</xdr:colOff>
      <xdr:row>5</xdr:row>
      <xdr:rowOff>38100</xdr:rowOff>
    </xdr:from>
    <xdr:to>
      <xdr:col>14</xdr:col>
      <xdr:colOff>438150</xdr:colOff>
      <xdr:row>5</xdr:row>
      <xdr:rowOff>361950</xdr:rowOff>
    </xdr:to>
    <xdr:grpSp>
      <xdr:nvGrpSpPr>
        <xdr:cNvPr id="58" name="Gruppieren 57">
          <a:extLst>
            <a:ext uri="{FF2B5EF4-FFF2-40B4-BE49-F238E27FC236}">
              <a16:creationId xmlns:a16="http://schemas.microsoft.com/office/drawing/2014/main" id="{00000000-0008-0000-0500-00003A000000}"/>
            </a:ext>
          </a:extLst>
        </xdr:cNvPr>
        <xdr:cNvGrpSpPr/>
      </xdr:nvGrpSpPr>
      <xdr:grpSpPr>
        <a:xfrm>
          <a:off x="12993250" y="1539240"/>
          <a:ext cx="353180" cy="323850"/>
          <a:chOff x="551695" y="1552575"/>
          <a:chExt cx="353180" cy="323850"/>
        </a:xfrm>
      </xdr:grpSpPr>
      <xdr:sp macro="[0]!Sortieren_Detailplan_Fortschritt" textlink="">
        <xdr:nvSpPr>
          <xdr:cNvPr id="59" name="Textfeld 58">
            <a:extLst>
              <a:ext uri="{FF2B5EF4-FFF2-40B4-BE49-F238E27FC236}">
                <a16:creationId xmlns:a16="http://schemas.microsoft.com/office/drawing/2014/main" id="{00000000-0008-0000-0500-00003B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Detailplan_Fortschritt">
        <xdr:nvCxnSpPr>
          <xdr:cNvPr id="63" name="Gerade Verbindung mit Pfeil 62">
            <a:extLst>
              <a:ext uri="{FF2B5EF4-FFF2-40B4-BE49-F238E27FC236}">
                <a16:creationId xmlns:a16="http://schemas.microsoft.com/office/drawing/2014/main" id="{00000000-0008-0000-0500-00003F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absolute">
    <xdr:from>
      <xdr:col>1</xdr:col>
      <xdr:colOff>0</xdr:colOff>
      <xdr:row>0</xdr:row>
      <xdr:rowOff>85725</xdr:rowOff>
    </xdr:from>
    <xdr:to>
      <xdr:col>11</xdr:col>
      <xdr:colOff>195716</xdr:colOff>
      <xdr:row>0</xdr:row>
      <xdr:rowOff>517725</xdr:rowOff>
    </xdr:to>
    <xdr:grpSp>
      <xdr:nvGrpSpPr>
        <xdr:cNvPr id="19" name="Gruppieren 18">
          <a:extLst>
            <a:ext uri="{FF2B5EF4-FFF2-40B4-BE49-F238E27FC236}">
              <a16:creationId xmlns:a16="http://schemas.microsoft.com/office/drawing/2014/main" id="{00000000-0008-0000-0500-000013000000}"/>
            </a:ext>
          </a:extLst>
        </xdr:cNvPr>
        <xdr:cNvGrpSpPr/>
      </xdr:nvGrpSpPr>
      <xdr:grpSpPr>
        <a:xfrm>
          <a:off x="541020" y="85725"/>
          <a:ext cx="10688456" cy="432000"/>
          <a:chOff x="523875" y="85725"/>
          <a:chExt cx="10387466" cy="432000"/>
        </a:xfrm>
      </xdr:grpSpPr>
      <xdr:sp macro="" textlink="">
        <xdr:nvSpPr>
          <xdr:cNvPr id="71" name="Rechteck: obere Ecken abgerundet 13">
            <a:hlinkClick xmlns:r="http://schemas.openxmlformats.org/officeDocument/2006/relationships" r:id="rId13" tooltip="Go to"/>
            <a:extLst>
              <a:ext uri="{FF2B5EF4-FFF2-40B4-BE49-F238E27FC236}">
                <a16:creationId xmlns:a16="http://schemas.microsoft.com/office/drawing/2014/main" id="{00000000-0008-0000-0500-000047000000}"/>
              </a:ext>
            </a:extLst>
          </xdr:cNvPr>
          <xdr:cNvSpPr/>
        </xdr:nvSpPr>
        <xdr:spPr>
          <a:xfrm>
            <a:off x="523875" y="85725"/>
            <a:ext cx="1434557" cy="432000"/>
          </a:xfrm>
          <a:prstGeom prst="round2SameRect">
            <a:avLst/>
          </a:prstGeom>
          <a:gradFill>
            <a:gsLst>
              <a:gs pos="0">
                <a:srgbClr val="55A4C3"/>
              </a:gs>
              <a:gs pos="80000">
                <a:srgbClr val="C1DEE9"/>
              </a:gs>
              <a:gs pos="100000">
                <a:srgbClr val="C1DEE9"/>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sp macro="" textlink="' '!A42">
        <xdr:nvSpPr>
          <xdr:cNvPr id="78" name="Rechteck: obere Ecken abgerundet 14">
            <a:hlinkClick xmlns:r="http://schemas.openxmlformats.org/officeDocument/2006/relationships" r:id="rId14" tooltip="Go to"/>
            <a:extLst>
              <a:ext uri="{FF2B5EF4-FFF2-40B4-BE49-F238E27FC236}">
                <a16:creationId xmlns:a16="http://schemas.microsoft.com/office/drawing/2014/main" id="{00000000-0008-0000-0500-00004E000000}"/>
              </a:ext>
            </a:extLst>
          </xdr:cNvPr>
          <xdr:cNvSpPr/>
        </xdr:nvSpPr>
        <xdr:spPr>
          <a:xfrm>
            <a:off x="2011718" y="85725"/>
            <a:ext cx="1440000" cy="432000"/>
          </a:xfrm>
          <a:prstGeom prst="round2SameRect">
            <a:avLst/>
          </a:prstGeom>
          <a:gradFill>
            <a:gsLst>
              <a:gs pos="0">
                <a:srgbClr val="55A4C3"/>
              </a:gs>
              <a:gs pos="80000">
                <a:srgbClr val="C1DEE9"/>
              </a:gs>
              <a:gs pos="100000">
                <a:srgbClr val="C1DEE9"/>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99">
        <xdr:nvSpPr>
          <xdr:cNvPr id="90" name="Rechteck: obere Ecken abgerundet 15">
            <a:hlinkClick xmlns:r="http://schemas.openxmlformats.org/officeDocument/2006/relationships" r:id="rId15" tooltip="Go to"/>
            <a:extLst>
              <a:ext uri="{FF2B5EF4-FFF2-40B4-BE49-F238E27FC236}">
                <a16:creationId xmlns:a16="http://schemas.microsoft.com/office/drawing/2014/main" id="{00000000-0008-0000-0500-00005A000000}"/>
              </a:ext>
            </a:extLst>
          </xdr:cNvPr>
          <xdr:cNvSpPr/>
        </xdr:nvSpPr>
        <xdr:spPr>
          <a:xfrm>
            <a:off x="3505004" y="85725"/>
            <a:ext cx="1440000" cy="432000"/>
          </a:xfrm>
          <a:prstGeom prst="round2SameRect">
            <a:avLst/>
          </a:prstGeom>
          <a:gradFill>
            <a:gsLst>
              <a:gs pos="0">
                <a:srgbClr val="3984A3"/>
              </a:gs>
              <a:gs pos="80000">
                <a:srgbClr val="3F92B3"/>
              </a:gs>
              <a:gs pos="100000">
                <a:srgbClr val="55A4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91" name="Rechteck: obere Ecken abgerundet 14">
            <a:hlinkClick xmlns:r="http://schemas.openxmlformats.org/officeDocument/2006/relationships" r:id="rId16" tooltip="Go to"/>
            <a:extLst>
              <a:ext uri="{FF2B5EF4-FFF2-40B4-BE49-F238E27FC236}">
                <a16:creationId xmlns:a16="http://schemas.microsoft.com/office/drawing/2014/main" id="{00000000-0008-0000-0500-00005B000000}"/>
              </a:ext>
            </a:extLst>
          </xdr:cNvPr>
          <xdr:cNvSpPr/>
        </xdr:nvSpPr>
        <xdr:spPr>
          <a:xfrm>
            <a:off x="4998290" y="85725"/>
            <a:ext cx="1440000" cy="432000"/>
          </a:xfrm>
          <a:prstGeom prst="round2SameRect">
            <a:avLst/>
          </a:prstGeom>
          <a:gradFill>
            <a:gsLst>
              <a:gs pos="0">
                <a:srgbClr val="55A4C3"/>
              </a:gs>
              <a:gs pos="80000">
                <a:srgbClr val="C1DEE9"/>
              </a:gs>
              <a:gs pos="100000">
                <a:srgbClr val="C1DEE9"/>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05">
        <xdr:nvSpPr>
          <xdr:cNvPr id="92" name="Rechteck: obere Ecken abgerundet 14">
            <a:hlinkClick xmlns:r="http://schemas.openxmlformats.org/officeDocument/2006/relationships" r:id="rId17" tooltip="Go to"/>
            <a:extLst>
              <a:ext uri="{FF2B5EF4-FFF2-40B4-BE49-F238E27FC236}">
                <a16:creationId xmlns:a16="http://schemas.microsoft.com/office/drawing/2014/main" id="{00000000-0008-0000-0500-00005C000000}"/>
              </a:ext>
            </a:extLst>
          </xdr:cNvPr>
          <xdr:cNvSpPr/>
        </xdr:nvSpPr>
        <xdr:spPr>
          <a:xfrm>
            <a:off x="7984861" y="85725"/>
            <a:ext cx="1440000" cy="432000"/>
          </a:xfrm>
          <a:prstGeom prst="round2SameRect">
            <a:avLst/>
          </a:prstGeom>
          <a:gradFill>
            <a:gsLst>
              <a:gs pos="0">
                <a:srgbClr val="55A4C3"/>
              </a:gs>
              <a:gs pos="80000">
                <a:srgbClr val="C1DEE9"/>
              </a:gs>
              <a:gs pos="100000">
                <a:srgbClr val="C1DEE9"/>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7DC177B-452E-472F-9108-CE32008F6BD2}"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Retrospective</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06">
        <xdr:nvSpPr>
          <xdr:cNvPr id="93" name="Rechteck: obere Ecken abgerundet 14">
            <a:hlinkClick xmlns:r="http://schemas.openxmlformats.org/officeDocument/2006/relationships" r:id="rId18" tooltip="Go to"/>
            <a:extLst>
              <a:ext uri="{FF2B5EF4-FFF2-40B4-BE49-F238E27FC236}">
                <a16:creationId xmlns:a16="http://schemas.microsoft.com/office/drawing/2014/main" id="{00000000-0008-0000-0500-00005D000000}"/>
              </a:ext>
            </a:extLst>
          </xdr:cNvPr>
          <xdr:cNvSpPr/>
        </xdr:nvSpPr>
        <xdr:spPr>
          <a:xfrm>
            <a:off x="9478145" y="85725"/>
            <a:ext cx="1433196" cy="432000"/>
          </a:xfrm>
          <a:prstGeom prst="round2SameRect">
            <a:avLst/>
          </a:prstGeom>
          <a:gradFill>
            <a:gsLst>
              <a:gs pos="0">
                <a:srgbClr val="55A4C3"/>
              </a:gs>
              <a:gs pos="80000">
                <a:srgbClr val="C1DEE9"/>
              </a:gs>
              <a:gs pos="100000">
                <a:srgbClr val="C1DEE9"/>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8E698A1C-FD08-49E8-8BA5-DB8A7F92BAF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Increment</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02">
        <xdr:nvSpPr>
          <xdr:cNvPr id="94" name="Rechteck: obere Ecken abgerundet 14">
            <a:hlinkClick xmlns:r="http://schemas.openxmlformats.org/officeDocument/2006/relationships" r:id="rId19" tooltip="Go to"/>
            <a:extLst>
              <a:ext uri="{FF2B5EF4-FFF2-40B4-BE49-F238E27FC236}">
                <a16:creationId xmlns:a16="http://schemas.microsoft.com/office/drawing/2014/main" id="{00000000-0008-0000-0500-00005E000000}"/>
              </a:ext>
            </a:extLst>
          </xdr:cNvPr>
          <xdr:cNvSpPr/>
        </xdr:nvSpPr>
        <xdr:spPr>
          <a:xfrm>
            <a:off x="6491576" y="85725"/>
            <a:ext cx="1440000" cy="432000"/>
          </a:xfrm>
          <a:prstGeom prst="round2SameRect">
            <a:avLst/>
          </a:prstGeom>
          <a:gradFill>
            <a:gsLst>
              <a:gs pos="0">
                <a:srgbClr val="55A4C3"/>
              </a:gs>
              <a:gs pos="80000">
                <a:srgbClr val="C1DEE9"/>
              </a:gs>
              <a:gs pos="100000">
                <a:srgbClr val="C1DEE9"/>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E3A21285-16A6-4B9D-8378-81F287973AD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Review</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0</xdr:row>
      <xdr:rowOff>190500</xdr:rowOff>
    </xdr:from>
    <xdr:to>
      <xdr:col>7</xdr:col>
      <xdr:colOff>66675</xdr:colOff>
      <xdr:row>0</xdr:row>
      <xdr:rowOff>542925</xdr:rowOff>
    </xdr:to>
    <xdr:sp macro="" textlink="">
      <xdr:nvSpPr>
        <xdr:cNvPr id="2" name="Rechteck 1">
          <a:extLst>
            <a:ext uri="{FF2B5EF4-FFF2-40B4-BE49-F238E27FC236}">
              <a16:creationId xmlns:a16="http://schemas.microsoft.com/office/drawing/2014/main" id="{00000000-0008-0000-0600-000002000000}"/>
            </a:ext>
          </a:extLst>
        </xdr:cNvPr>
        <xdr:cNvSpPr/>
      </xdr:nvSpPr>
      <xdr:spPr>
        <a:xfrm>
          <a:off x="523875" y="190500"/>
          <a:ext cx="7953375" cy="352425"/>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fPrintsWithSheet="0"/>
  </xdr:twoCellAnchor>
  <xdr:twoCellAnchor>
    <xdr:from>
      <xdr:col>0</xdr:col>
      <xdr:colOff>57148</xdr:colOff>
      <xdr:row>3</xdr:row>
      <xdr:rowOff>123825</xdr:rowOff>
    </xdr:from>
    <xdr:to>
      <xdr:col>16</xdr:col>
      <xdr:colOff>409575</xdr:colOff>
      <xdr:row>5</xdr:row>
      <xdr:rowOff>66675</xdr:rowOff>
    </xdr:to>
    <xdr:graphicFrame macro="">
      <xdr:nvGraphicFramePr>
        <xdr:cNvPr id="3" name="Diagramm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82296</xdr:colOff>
      <xdr:row>0</xdr:row>
      <xdr:rowOff>214324</xdr:rowOff>
    </xdr:from>
    <xdr:to>
      <xdr:col>0</xdr:col>
      <xdr:colOff>406296</xdr:colOff>
      <xdr:row>0</xdr:row>
      <xdr:rowOff>539789</xdr:rowOff>
    </xdr:to>
    <xdr:grpSp>
      <xdr:nvGrpSpPr>
        <xdr:cNvPr id="75" name="Gruppieren 74">
          <a:hlinkClick xmlns:r="http://schemas.openxmlformats.org/officeDocument/2006/relationships" r:id="rId2"/>
          <a:extLst>
            <a:ext uri="{FF2B5EF4-FFF2-40B4-BE49-F238E27FC236}">
              <a16:creationId xmlns:a16="http://schemas.microsoft.com/office/drawing/2014/main" id="{00000000-0008-0000-0600-00004B000000}"/>
            </a:ext>
          </a:extLst>
        </xdr:cNvPr>
        <xdr:cNvGrpSpPr/>
      </xdr:nvGrpSpPr>
      <xdr:grpSpPr>
        <a:xfrm>
          <a:off x="82296" y="214324"/>
          <a:ext cx="324000" cy="325465"/>
          <a:chOff x="82296" y="214324"/>
          <a:chExt cx="324000" cy="325465"/>
        </a:xfrm>
      </xdr:grpSpPr>
      <xdr:sp macro="" textlink="">
        <xdr:nvSpPr>
          <xdr:cNvPr id="5" name="Rechteck 4">
            <a:extLst>
              <a:ext uri="{FF2B5EF4-FFF2-40B4-BE49-F238E27FC236}">
                <a16:creationId xmlns:a16="http://schemas.microsoft.com/office/drawing/2014/main" id="{00000000-0008-0000-0600-000005000000}"/>
              </a:ext>
            </a:extLst>
          </xdr:cNvPr>
          <xdr:cNvSpPr>
            <a:spLocks noChangeAspect="1"/>
          </xdr:cNvSpPr>
        </xdr:nvSpPr>
        <xdr:spPr>
          <a:xfrm>
            <a:off x="82296" y="214324"/>
            <a:ext cx="324000" cy="325465"/>
          </a:xfrm>
          <a:prstGeom prst="rect">
            <a:avLst/>
          </a:prstGeom>
          <a:gradFill>
            <a:gsLst>
              <a:gs pos="0">
                <a:srgbClr val="6C88B7"/>
              </a:gs>
              <a:gs pos="80000">
                <a:srgbClr val="7691BC"/>
              </a:gs>
              <a:gs pos="100000">
                <a:srgbClr val="839B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6" name="Grafik 5" descr="http://www.clker.com/cliparts/Z/I/5/L/X/x/white-house-md.png">
            <a:extLst>
              <a:ext uri="{FF2B5EF4-FFF2-40B4-BE49-F238E27FC236}">
                <a16:creationId xmlns:a16="http://schemas.microsoft.com/office/drawing/2014/main" id="{00000000-0008-0000-06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7" y="261535"/>
            <a:ext cx="228255" cy="217469"/>
          </a:xfrm>
          <a:prstGeom prst="rect">
            <a:avLst/>
          </a:prstGeom>
          <a:gradFill>
            <a:gsLst>
              <a:gs pos="0">
                <a:srgbClr val="6C88B7"/>
              </a:gs>
              <a:gs pos="80000">
                <a:srgbClr val="7691BC"/>
              </a:gs>
              <a:gs pos="100000">
                <a:srgbClr val="839BC3"/>
              </a:gs>
            </a:gsLst>
          </a:gradFill>
        </xdr:spPr>
      </xdr:pic>
    </xdr:grpSp>
    <xdr:clientData/>
  </xdr:twoCellAnchor>
  <xdr:twoCellAnchor>
    <xdr:from>
      <xdr:col>0</xdr:col>
      <xdr:colOff>154701</xdr:colOff>
      <xdr:row>6</xdr:row>
      <xdr:rowOff>245081</xdr:rowOff>
    </xdr:from>
    <xdr:to>
      <xdr:col>0</xdr:col>
      <xdr:colOff>333891</xdr:colOff>
      <xdr:row>7</xdr:row>
      <xdr:rowOff>61997</xdr:rowOff>
    </xdr:to>
    <xdr:grpSp>
      <xdr:nvGrpSpPr>
        <xdr:cNvPr id="77" name="Gruppieren 76">
          <a:extLst>
            <a:ext uri="{FF2B5EF4-FFF2-40B4-BE49-F238E27FC236}">
              <a16:creationId xmlns:a16="http://schemas.microsoft.com/office/drawing/2014/main" id="{00000000-0008-0000-0600-00004D000000}"/>
            </a:ext>
          </a:extLst>
        </xdr:cNvPr>
        <xdr:cNvGrpSpPr/>
      </xdr:nvGrpSpPr>
      <xdr:grpSpPr>
        <a:xfrm>
          <a:off x="154701" y="2134841"/>
          <a:ext cx="179190" cy="175056"/>
          <a:chOff x="154701" y="2145435"/>
          <a:chExt cx="179190" cy="179330"/>
        </a:xfrm>
      </xdr:grpSpPr>
      <xdr:sp macro="[0]!ans_Ende" textlink="">
        <xdr:nvSpPr>
          <xdr:cNvPr id="13" name="Rechteck 12">
            <a:extLst>
              <a:ext uri="{FF2B5EF4-FFF2-40B4-BE49-F238E27FC236}">
                <a16:creationId xmlns:a16="http://schemas.microsoft.com/office/drawing/2014/main" id="{00000000-0008-0000-0600-00000D000000}"/>
              </a:ext>
            </a:extLst>
          </xdr:cNvPr>
          <xdr:cNvSpPr>
            <a:spLocks noChangeAspect="1"/>
          </xdr:cNvSpPr>
        </xdr:nvSpPr>
        <xdr:spPr>
          <a:xfrm>
            <a:off x="154701" y="2145435"/>
            <a:ext cx="179190" cy="179330"/>
          </a:xfrm>
          <a:prstGeom prst="rect">
            <a:avLst/>
          </a:prstGeom>
          <a:gradFill>
            <a:gsLst>
              <a:gs pos="0">
                <a:srgbClr val="6C88B7"/>
              </a:gs>
              <a:gs pos="80000">
                <a:srgbClr val="7691BC"/>
              </a:gs>
              <a:gs pos="100000">
                <a:srgbClr val="839B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0]!ans_Ende" textlink="">
        <xdr:nvSpPr>
          <xdr:cNvPr id="14" name="Pfeil nach rechts 127">
            <a:extLst>
              <a:ext uri="{FF2B5EF4-FFF2-40B4-BE49-F238E27FC236}">
                <a16:creationId xmlns:a16="http://schemas.microsoft.com/office/drawing/2014/main" id="{00000000-0008-0000-0600-00000E000000}"/>
              </a:ext>
            </a:extLst>
          </xdr:cNvPr>
          <xdr:cNvSpPr/>
        </xdr:nvSpPr>
        <xdr:spPr>
          <a:xfrm rot="16200000" flipH="1">
            <a:off x="206235" y="2185325"/>
            <a:ext cx="89262"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bg1"/>
              </a:solidFill>
              <a:latin typeface="+mn-lt"/>
              <a:ea typeface="+mn-ea"/>
              <a:cs typeface="+mn-cs"/>
            </a:endParaRPr>
          </a:p>
        </xdr:txBody>
      </xdr:sp>
    </xdr:grpSp>
    <xdr:clientData/>
  </xdr:twoCellAnchor>
  <xdr:twoCellAnchor>
    <xdr:from>
      <xdr:col>0</xdr:col>
      <xdr:colOff>154701</xdr:colOff>
      <xdr:row>6</xdr:row>
      <xdr:rowOff>0</xdr:rowOff>
    </xdr:from>
    <xdr:to>
      <xdr:col>0</xdr:col>
      <xdr:colOff>333891</xdr:colOff>
      <xdr:row>6</xdr:row>
      <xdr:rowOff>180197</xdr:rowOff>
    </xdr:to>
    <xdr:grpSp>
      <xdr:nvGrpSpPr>
        <xdr:cNvPr id="78" name="Gruppieren 77">
          <a:hlinkClick xmlns:r="http://schemas.openxmlformats.org/officeDocument/2006/relationships" r:id="rId4"/>
          <a:extLst>
            <a:ext uri="{FF2B5EF4-FFF2-40B4-BE49-F238E27FC236}">
              <a16:creationId xmlns:a16="http://schemas.microsoft.com/office/drawing/2014/main" id="{00000000-0008-0000-0600-00004E000000}"/>
            </a:ext>
          </a:extLst>
        </xdr:cNvPr>
        <xdr:cNvGrpSpPr/>
      </xdr:nvGrpSpPr>
      <xdr:grpSpPr>
        <a:xfrm>
          <a:off x="154701" y="1889760"/>
          <a:ext cx="179190" cy="180197"/>
          <a:chOff x="154701" y="1900354"/>
          <a:chExt cx="179190" cy="180197"/>
        </a:xfrm>
      </xdr:grpSpPr>
      <xdr:sp macro="" textlink="">
        <xdr:nvSpPr>
          <xdr:cNvPr id="11" name="Rechteck 10">
            <a:extLst>
              <a:ext uri="{FF2B5EF4-FFF2-40B4-BE49-F238E27FC236}">
                <a16:creationId xmlns:a16="http://schemas.microsoft.com/office/drawing/2014/main" id="{00000000-0008-0000-0600-00000B000000}"/>
              </a:ext>
            </a:extLst>
          </xdr:cNvPr>
          <xdr:cNvSpPr>
            <a:spLocks noChangeAspect="1"/>
          </xdr:cNvSpPr>
        </xdr:nvSpPr>
        <xdr:spPr>
          <a:xfrm>
            <a:off x="154701" y="1900354"/>
            <a:ext cx="179190" cy="180197"/>
          </a:xfrm>
          <a:prstGeom prst="rect">
            <a:avLst/>
          </a:prstGeom>
          <a:gradFill>
            <a:gsLst>
              <a:gs pos="0">
                <a:srgbClr val="6C88B7"/>
              </a:gs>
              <a:gs pos="80000">
                <a:srgbClr val="7691BC"/>
              </a:gs>
              <a:gs pos="100000">
                <a:srgbClr val="839B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 name="Pfeil nach rechts 130">
            <a:extLst>
              <a:ext uri="{FF2B5EF4-FFF2-40B4-BE49-F238E27FC236}">
                <a16:creationId xmlns:a16="http://schemas.microsoft.com/office/drawing/2014/main" id="{00000000-0008-0000-0600-00000C000000}"/>
              </a:ext>
            </a:extLst>
          </xdr:cNvPr>
          <xdr:cNvSpPr/>
        </xdr:nvSpPr>
        <xdr:spPr>
          <a:xfrm rot="5400000" flipH="1" flipV="1">
            <a:off x="203780" y="1940678"/>
            <a:ext cx="89693"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xdr:twoCellAnchor>
  <mc:AlternateContent xmlns:mc="http://schemas.openxmlformats.org/markup-compatibility/2006">
    <mc:Choice xmlns:a14="http://schemas.microsoft.com/office/drawing/2010/main" Requires="a14">
      <xdr:twoCellAnchor editAs="oneCell">
        <xdr:from>
          <xdr:col>11</xdr:col>
          <xdr:colOff>720386</xdr:colOff>
          <xdr:row>0</xdr:row>
          <xdr:rowOff>38100</xdr:rowOff>
        </xdr:from>
        <xdr:to>
          <xdr:col>15</xdr:col>
          <xdr:colOff>317615</xdr:colOff>
          <xdr:row>0</xdr:row>
          <xdr:rowOff>561975</xdr:rowOff>
        </xdr:to>
        <xdr:pic>
          <xdr:nvPicPr>
            <xdr:cNvPr id="15" name="Grafik 14">
              <a:extLst>
                <a:ext uri="{FF2B5EF4-FFF2-40B4-BE49-F238E27FC236}">
                  <a16:creationId xmlns:a16="http://schemas.microsoft.com/office/drawing/2014/main" id="{00000000-0008-0000-0600-00000F000000}"/>
                </a:ext>
              </a:extLst>
            </xdr:cNvPr>
            <xdr:cNvPicPr>
              <a:picLocks noChangeAspect="1" noChangeArrowheads="1"/>
              <a:extLst>
                <a:ext uri="{84589F7E-364E-4C9E-8A38-B11213B215E9}">
                  <a14:cameraTool cellRange="Logo!$D$6" spid="_x0000_s528453"/>
                </a:ext>
              </a:extLst>
            </xdr:cNvPicPr>
          </xdr:nvPicPr>
          <xdr:blipFill>
            <a:blip xmlns:r="http://schemas.openxmlformats.org/officeDocument/2006/relationships" r:embed="rId5"/>
            <a:srcRect/>
            <a:stretch>
              <a:fillRect/>
            </a:stretch>
          </xdr:blipFill>
          <xdr:spPr bwMode="auto">
            <a:xfrm>
              <a:off x="11559836" y="38100"/>
              <a:ext cx="2159454" cy="523875"/>
            </a:xfrm>
            <a:prstGeom prst="rect">
              <a:avLst/>
            </a:prstGeom>
            <a:solidFill>
              <a:schemeClr val="bg1"/>
            </a:solidFill>
            <a:ln w="9525">
              <a:noFill/>
              <a:miter lim="800000"/>
              <a:headEnd/>
              <a:tailEnd/>
            </a:ln>
          </xdr:spPr>
        </xdr:pic>
        <xdr:clientData/>
      </xdr:twoCellAnchor>
    </mc:Choice>
    <mc:Fallback/>
  </mc:AlternateContent>
  <xdr:twoCellAnchor editAs="oneCell">
    <xdr:from>
      <xdr:col>1</xdr:col>
      <xdr:colOff>28573</xdr:colOff>
      <xdr:row>4</xdr:row>
      <xdr:rowOff>57157</xdr:rowOff>
    </xdr:from>
    <xdr:to>
      <xdr:col>3</xdr:col>
      <xdr:colOff>261055</xdr:colOff>
      <xdr:row>4</xdr:row>
      <xdr:rowOff>290362</xdr:rowOff>
    </xdr:to>
    <xdr:sp macro="" textlink="$F$4">
      <xdr:nvSpPr>
        <xdr:cNvPr id="16" name="TextBox 5">
          <a:extLst>
            <a:ext uri="{FF2B5EF4-FFF2-40B4-BE49-F238E27FC236}">
              <a16:creationId xmlns:a16="http://schemas.microsoft.com/office/drawing/2014/main" id="{00000000-0008-0000-0600-000010000000}"/>
            </a:ext>
          </a:extLst>
        </xdr:cNvPr>
        <xdr:cNvSpPr txBox="1"/>
      </xdr:nvSpPr>
      <xdr:spPr>
        <a:xfrm>
          <a:off x="552448" y="1257307"/>
          <a:ext cx="1040202"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lIns="36000" rtlCol="0" anchor="ctr">
          <a:noAutofit/>
        </a:bodyPr>
        <a:lstStyle/>
        <a:p>
          <a:pPr algn="l"/>
          <a:fld id="{F91AAE2F-0BE5-4519-84EF-6FC39963C5BA}" type="TxLink">
            <a:rPr lang="en-US" sz="1200" b="0" i="0" u="none" strike="noStrike">
              <a:solidFill>
                <a:srgbClr val="3984A3"/>
              </a:solidFill>
              <a:latin typeface="Calibri Light"/>
              <a:cs typeface="Calibri Light"/>
            </a:rPr>
            <a:pPr algn="l"/>
            <a:t>0/0</a:t>
          </a:fld>
          <a:endParaRPr lang="fr-CH" sz="1200" b="0">
            <a:solidFill>
              <a:srgbClr val="3984A3"/>
            </a:solidFill>
          </a:endParaRPr>
        </a:p>
      </xdr:txBody>
    </xdr:sp>
    <xdr:clientData/>
  </xdr:twoCellAnchor>
  <xdr:twoCellAnchor editAs="absolute">
    <xdr:from>
      <xdr:col>8</xdr:col>
      <xdr:colOff>380665</xdr:colOff>
      <xdr:row>2</xdr:row>
      <xdr:rowOff>9525</xdr:rowOff>
    </xdr:from>
    <xdr:to>
      <xdr:col>11</xdr:col>
      <xdr:colOff>344009</xdr:colOff>
      <xdr:row>2</xdr:row>
      <xdr:rowOff>171450</xdr:rowOff>
    </xdr:to>
    <xdr:sp macro="" textlink="">
      <xdr:nvSpPr>
        <xdr:cNvPr id="17" name="TextBox 49">
          <a:hlinkClick xmlns:r="http://schemas.openxmlformats.org/officeDocument/2006/relationships" r:id="rId6" tooltip="Date"/>
          <a:extLst>
            <a:ext uri="{FF2B5EF4-FFF2-40B4-BE49-F238E27FC236}">
              <a16:creationId xmlns:a16="http://schemas.microsoft.com/office/drawing/2014/main" id="{00000000-0008-0000-0600-000011000000}"/>
            </a:ext>
          </a:extLst>
        </xdr:cNvPr>
        <xdr:cNvSpPr txBox="1"/>
      </xdr:nvSpPr>
      <xdr:spPr>
        <a:xfrm>
          <a:off x="9069097" y="676275"/>
          <a:ext cx="1594297" cy="161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endParaRPr lang="en-US" sz="900" b="0" i="0" u="none" strike="noStrike">
            <a:solidFill>
              <a:schemeClr val="tx2"/>
            </a:solidFill>
            <a:latin typeface="Calibri"/>
            <a:cs typeface="Calibri"/>
          </a:endParaRPr>
        </a:p>
      </xdr:txBody>
    </xdr:sp>
    <xdr:clientData/>
  </xdr:twoCellAnchor>
  <xdr:twoCellAnchor editAs="absolute">
    <xdr:from>
      <xdr:col>14</xdr:col>
      <xdr:colOff>220820</xdr:colOff>
      <xdr:row>2</xdr:row>
      <xdr:rowOff>0</xdr:rowOff>
    </xdr:from>
    <xdr:to>
      <xdr:col>17</xdr:col>
      <xdr:colOff>199669</xdr:colOff>
      <xdr:row>2</xdr:row>
      <xdr:rowOff>161925</xdr:rowOff>
    </xdr:to>
    <xdr:sp macro="" textlink="">
      <xdr:nvSpPr>
        <xdr:cNvPr id="18" name="TextBox 49">
          <a:hlinkClick xmlns:r="http://schemas.openxmlformats.org/officeDocument/2006/relationships" r:id="rId7" tooltip="Date"/>
          <a:extLst>
            <a:ext uri="{FF2B5EF4-FFF2-40B4-BE49-F238E27FC236}">
              <a16:creationId xmlns:a16="http://schemas.microsoft.com/office/drawing/2014/main" id="{00000000-0008-0000-0600-000012000000}"/>
            </a:ext>
          </a:extLst>
        </xdr:cNvPr>
        <xdr:cNvSpPr txBox="1"/>
      </xdr:nvSpPr>
      <xdr:spPr>
        <a:xfrm>
          <a:off x="12365195" y="666750"/>
          <a:ext cx="1611434" cy="161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endParaRPr lang="en-US" sz="900" b="0" i="0" u="none" strike="noStrike">
            <a:solidFill>
              <a:schemeClr val="tx2"/>
            </a:solidFill>
            <a:latin typeface="Calibri"/>
            <a:cs typeface="Calibri"/>
          </a:endParaRPr>
        </a:p>
      </xdr:txBody>
    </xdr:sp>
    <xdr:clientData/>
  </xdr:twoCellAnchor>
  <xdr:twoCellAnchor editAs="oneCell">
    <xdr:from>
      <xdr:col>4</xdr:col>
      <xdr:colOff>3238519</xdr:colOff>
      <xdr:row>6</xdr:row>
      <xdr:rowOff>95249</xdr:rowOff>
    </xdr:from>
    <xdr:to>
      <xdr:col>4</xdr:col>
      <xdr:colOff>3418519</xdr:colOff>
      <xdr:row>6</xdr:row>
      <xdr:rowOff>274516</xdr:rowOff>
    </xdr:to>
    <xdr:pic macro="[0]!Filter_aus">
      <xdr:nvPicPr>
        <xdr:cNvPr id="19" name="Grafik 18">
          <a:extLst>
            <a:ext uri="{FF2B5EF4-FFF2-40B4-BE49-F238E27FC236}">
              <a16:creationId xmlns:a16="http://schemas.microsoft.com/office/drawing/2014/main" id="{00000000-0008-0000-0600-00001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677044" y="1990724"/>
          <a:ext cx="180000" cy="179267"/>
        </a:xfrm>
        <a:prstGeom prst="rect">
          <a:avLst/>
        </a:prstGeom>
      </xdr:spPr>
    </xdr:pic>
    <xdr:clientData fPrintsWithSheet="0"/>
  </xdr:twoCellAnchor>
  <xdr:twoCellAnchor editAs="oneCell">
    <xdr:from>
      <xdr:col>14</xdr:col>
      <xdr:colOff>371474</xdr:colOff>
      <xdr:row>2</xdr:row>
      <xdr:rowOff>19050</xdr:rowOff>
    </xdr:from>
    <xdr:to>
      <xdr:col>15</xdr:col>
      <xdr:colOff>284379</xdr:colOff>
      <xdr:row>2</xdr:row>
      <xdr:rowOff>199050</xdr:rowOff>
    </xdr:to>
    <xdr:grpSp>
      <xdr:nvGrpSpPr>
        <xdr:cNvPr id="23" name="Gruppieren 22">
          <a:extLst>
            <a:ext uri="{FF2B5EF4-FFF2-40B4-BE49-F238E27FC236}">
              <a16:creationId xmlns:a16="http://schemas.microsoft.com/office/drawing/2014/main" id="{00000000-0008-0000-0600-000017000000}"/>
            </a:ext>
          </a:extLst>
        </xdr:cNvPr>
        <xdr:cNvGrpSpPr/>
      </xdr:nvGrpSpPr>
      <xdr:grpSpPr>
        <a:xfrm>
          <a:off x="12837794" y="681990"/>
          <a:ext cx="674905" cy="180000"/>
          <a:chOff x="11696699" y="342900"/>
          <a:chExt cx="658576" cy="180000"/>
        </a:xfrm>
        <a:gradFill>
          <a:gsLst>
            <a:gs pos="0">
              <a:srgbClr val="6C88B7"/>
            </a:gs>
            <a:gs pos="80000">
              <a:srgbClr val="7691BC"/>
            </a:gs>
            <a:gs pos="100000">
              <a:srgbClr val="839BC3"/>
            </a:gs>
          </a:gsLst>
        </a:gradFill>
      </xdr:grpSpPr>
      <xdr:grpSp>
        <xdr:nvGrpSpPr>
          <xdr:cNvPr id="24" name="Gruppieren 23">
            <a:hlinkClick xmlns:r="http://schemas.openxmlformats.org/officeDocument/2006/relationships" r:id="rId9" tooltip="Help"/>
            <a:extLst>
              <a:ext uri="{FF2B5EF4-FFF2-40B4-BE49-F238E27FC236}">
                <a16:creationId xmlns:a16="http://schemas.microsoft.com/office/drawing/2014/main" id="{00000000-0008-0000-0600-000018000000}"/>
              </a:ext>
            </a:extLst>
          </xdr:cNvPr>
          <xdr:cNvGrpSpPr/>
        </xdr:nvGrpSpPr>
        <xdr:grpSpPr>
          <a:xfrm>
            <a:off x="12188451" y="347452"/>
            <a:ext cx="166824" cy="172800"/>
            <a:chOff x="8105775" y="571500"/>
            <a:chExt cx="172800" cy="172800"/>
          </a:xfrm>
          <a:grpFill/>
        </xdr:grpSpPr>
        <xdr:sp macro="" textlink="">
          <xdr:nvSpPr>
            <xdr:cNvPr id="27" name="Rechteck 26">
              <a:extLst>
                <a:ext uri="{FF2B5EF4-FFF2-40B4-BE49-F238E27FC236}">
                  <a16:creationId xmlns:a16="http://schemas.microsoft.com/office/drawing/2014/main" id="{00000000-0008-0000-0600-00001B000000}"/>
                </a:ext>
              </a:extLst>
            </xdr:cNvPr>
            <xdr:cNvSpPr>
              <a:spLocks noChangeAspect="1"/>
            </xdr:cNvSpPr>
          </xdr:nvSpPr>
          <xdr:spPr>
            <a:xfrm>
              <a:off x="8105775" y="571500"/>
              <a:ext cx="172800" cy="172800"/>
            </a:xfrm>
            <a:prstGeom prst="rect">
              <a:avLst/>
            </a:prstGeom>
            <a:grp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8" name="Textfeld 27">
              <a:extLst>
                <a:ext uri="{FF2B5EF4-FFF2-40B4-BE49-F238E27FC236}">
                  <a16:creationId xmlns:a16="http://schemas.microsoft.com/office/drawing/2014/main" id="{00000000-0008-0000-0600-00001C000000}"/>
                </a:ext>
              </a:extLst>
            </xdr:cNvPr>
            <xdr:cNvSpPr txBox="1"/>
          </xdr:nvSpPr>
          <xdr:spPr>
            <a:xfrm>
              <a:off x="8152998" y="584162"/>
              <a:ext cx="78355" cy="147476"/>
            </a:xfrm>
            <a:prstGeom prst="rect">
              <a:avLst/>
            </a:prstGeom>
            <a:grp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25" name="Rechteck 78">
            <a:extLst>
              <a:ext uri="{FF2B5EF4-FFF2-40B4-BE49-F238E27FC236}">
                <a16:creationId xmlns:a16="http://schemas.microsoft.com/office/drawing/2014/main" id="{00000000-0008-0000-0600-000019000000}"/>
              </a:ext>
            </a:extLst>
          </xdr:cNvPr>
          <xdr:cNvSpPr>
            <a:spLocks/>
          </xdr:cNvSpPr>
        </xdr:nvSpPr>
        <xdr:spPr>
          <a:xfrm>
            <a:off x="11696699" y="342900"/>
            <a:ext cx="180000" cy="180000"/>
          </a:xfrm>
          <a:prstGeom prst="rect">
            <a:avLst/>
          </a:prstGeom>
          <a:grp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26" name="Rechteck 84">
            <a:extLst>
              <a:ext uri="{FF2B5EF4-FFF2-40B4-BE49-F238E27FC236}">
                <a16:creationId xmlns:a16="http://schemas.microsoft.com/office/drawing/2014/main" id="{00000000-0008-0000-0600-00001A000000}"/>
              </a:ext>
            </a:extLst>
          </xdr:cNvPr>
          <xdr:cNvSpPr>
            <a:spLocks/>
          </xdr:cNvSpPr>
        </xdr:nvSpPr>
        <xdr:spPr>
          <a:xfrm>
            <a:off x="11933159" y="342900"/>
            <a:ext cx="180000" cy="180000"/>
          </a:xfrm>
          <a:prstGeom prst="rect">
            <a:avLst/>
          </a:prstGeom>
          <a:grp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9</xdr:col>
      <xdr:colOff>40427</xdr:colOff>
      <xdr:row>6</xdr:row>
      <xdr:rowOff>232014</xdr:rowOff>
    </xdr:from>
    <xdr:to>
      <xdr:col>9</xdr:col>
      <xdr:colOff>148427</xdr:colOff>
      <xdr:row>6</xdr:row>
      <xdr:rowOff>340014</xdr:rowOff>
    </xdr:to>
    <xdr:sp macro="[0]!Dauer_einblenden" textlink="">
      <xdr:nvSpPr>
        <xdr:cNvPr id="29" name="Textfeld 28">
          <a:extLst>
            <a:ext uri="{FF2B5EF4-FFF2-40B4-BE49-F238E27FC236}">
              <a16:creationId xmlns:a16="http://schemas.microsoft.com/office/drawing/2014/main" id="{00000000-0008-0000-0600-00001D000000}"/>
            </a:ext>
          </a:extLst>
        </xdr:cNvPr>
        <xdr:cNvSpPr txBox="1"/>
      </xdr:nvSpPr>
      <xdr:spPr>
        <a:xfrm>
          <a:off x="9594002" y="2127489"/>
          <a:ext cx="108000" cy="10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fr-CH" sz="1200">
              <a:solidFill>
                <a:schemeClr val="bg1"/>
              </a:solidFill>
            </a:rPr>
            <a:t>+</a:t>
          </a:r>
        </a:p>
      </xdr:txBody>
    </xdr:sp>
    <xdr:clientData/>
  </xdr:twoCellAnchor>
  <xdr:twoCellAnchor editAs="oneCell">
    <xdr:from>
      <xdr:col>7</xdr:col>
      <xdr:colOff>678456</xdr:colOff>
      <xdr:row>6</xdr:row>
      <xdr:rowOff>232014</xdr:rowOff>
    </xdr:from>
    <xdr:to>
      <xdr:col>7</xdr:col>
      <xdr:colOff>785038</xdr:colOff>
      <xdr:row>6</xdr:row>
      <xdr:rowOff>340014</xdr:rowOff>
    </xdr:to>
    <xdr:sp macro="[0]!Dauer_ausblenden" textlink="">
      <xdr:nvSpPr>
        <xdr:cNvPr id="30" name="Textfeld 29">
          <a:extLst>
            <a:ext uri="{FF2B5EF4-FFF2-40B4-BE49-F238E27FC236}">
              <a16:creationId xmlns:a16="http://schemas.microsoft.com/office/drawing/2014/main" id="{00000000-0008-0000-0600-00001E000000}"/>
            </a:ext>
          </a:extLst>
        </xdr:cNvPr>
        <xdr:cNvSpPr txBox="1"/>
      </xdr:nvSpPr>
      <xdr:spPr>
        <a:xfrm>
          <a:off x="8962485" y="2131571"/>
          <a:ext cx="106582" cy="10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fr-CH" sz="1200">
              <a:solidFill>
                <a:schemeClr val="bg1"/>
              </a:solidFill>
            </a:rPr>
            <a:t>-</a:t>
          </a:r>
        </a:p>
      </xdr:txBody>
    </xdr:sp>
    <xdr:clientData/>
  </xdr:twoCellAnchor>
  <xdr:twoCellAnchor editAs="oneCell">
    <xdr:from>
      <xdr:col>0</xdr:col>
      <xdr:colOff>91150</xdr:colOff>
      <xdr:row>2</xdr:row>
      <xdr:rowOff>1184</xdr:rowOff>
    </xdr:from>
    <xdr:to>
      <xdr:col>0</xdr:col>
      <xdr:colOff>416493</xdr:colOff>
      <xdr:row>3</xdr:row>
      <xdr:rowOff>97279</xdr:rowOff>
    </xdr:to>
    <xdr:grpSp>
      <xdr:nvGrpSpPr>
        <xdr:cNvPr id="31" name="Gruppieren 30">
          <a:hlinkClick xmlns:r="http://schemas.openxmlformats.org/officeDocument/2006/relationships" r:id="rId10" tooltip="Calendar"/>
          <a:extLst>
            <a:ext uri="{FF2B5EF4-FFF2-40B4-BE49-F238E27FC236}">
              <a16:creationId xmlns:a16="http://schemas.microsoft.com/office/drawing/2014/main" id="{00000000-0008-0000-0600-00001F000000}"/>
            </a:ext>
          </a:extLst>
        </xdr:cNvPr>
        <xdr:cNvGrpSpPr/>
      </xdr:nvGrpSpPr>
      <xdr:grpSpPr>
        <a:xfrm>
          <a:off x="91150" y="664124"/>
          <a:ext cx="325343" cy="324695"/>
          <a:chOff x="85725" y="1826079"/>
          <a:chExt cx="322639" cy="325465"/>
        </a:xfrm>
        <a:gradFill>
          <a:gsLst>
            <a:gs pos="0">
              <a:srgbClr val="6C88B7"/>
            </a:gs>
            <a:gs pos="80000">
              <a:srgbClr val="7691BC"/>
            </a:gs>
            <a:gs pos="100000">
              <a:srgbClr val="839BC3"/>
            </a:gs>
          </a:gsLst>
        </a:gradFill>
      </xdr:grpSpPr>
      <xdr:sp macro="" textlink="">
        <xdr:nvSpPr>
          <xdr:cNvPr id="32" name="Rechteck 31">
            <a:extLst>
              <a:ext uri="{FF2B5EF4-FFF2-40B4-BE49-F238E27FC236}">
                <a16:creationId xmlns:a16="http://schemas.microsoft.com/office/drawing/2014/main" id="{00000000-0008-0000-0600-000020000000}"/>
              </a:ext>
            </a:extLst>
          </xdr:cNvPr>
          <xdr:cNvSpPr>
            <a:spLocks noChangeAspect="1"/>
          </xdr:cNvSpPr>
        </xdr:nvSpPr>
        <xdr:spPr>
          <a:xfrm>
            <a:off x="85725" y="1826079"/>
            <a:ext cx="322639" cy="325465"/>
          </a:xfrm>
          <a:prstGeom prst="rect">
            <a:avLst/>
          </a:prstGeom>
          <a:grp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grpSp>
        <xdr:nvGrpSpPr>
          <xdr:cNvPr id="33" name="Gruppieren 32">
            <a:extLst>
              <a:ext uri="{FF2B5EF4-FFF2-40B4-BE49-F238E27FC236}">
                <a16:creationId xmlns:a16="http://schemas.microsoft.com/office/drawing/2014/main" id="{00000000-0008-0000-0600-000021000000}"/>
              </a:ext>
            </a:extLst>
          </xdr:cNvPr>
          <xdr:cNvGrpSpPr/>
        </xdr:nvGrpSpPr>
        <xdr:grpSpPr>
          <a:xfrm>
            <a:off x="139231" y="1875642"/>
            <a:ext cx="215627" cy="226339"/>
            <a:chOff x="142352" y="1872298"/>
            <a:chExt cx="215627" cy="226339"/>
          </a:xfrm>
          <a:grpFill/>
        </xdr:grpSpPr>
        <xdr:sp macro="" textlink="">
          <xdr:nvSpPr>
            <xdr:cNvPr id="34" name="Textfeld 33">
              <a:extLst>
                <a:ext uri="{FF2B5EF4-FFF2-40B4-BE49-F238E27FC236}">
                  <a16:creationId xmlns:a16="http://schemas.microsoft.com/office/drawing/2014/main" id="{00000000-0008-0000-0600-000022000000}"/>
                </a:ext>
              </a:extLst>
            </xdr:cNvPr>
            <xdr:cNvSpPr txBox="1"/>
          </xdr:nvSpPr>
          <xdr:spPr>
            <a:xfrm>
              <a:off x="142352" y="1930477"/>
              <a:ext cx="215520" cy="168160"/>
            </a:xfrm>
            <a:prstGeom prst="rect">
              <a:avLst/>
            </a:prstGeom>
            <a:grpFill/>
            <a:ln>
              <a:solidFill>
                <a:schemeClr val="bg1"/>
              </a:solidFill>
            </a:ln>
            <a:effectLst/>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100">
                  <a:solidFill>
                    <a:schemeClr val="bg1"/>
                  </a:solidFill>
                </a:rPr>
                <a:t>27</a:t>
              </a:r>
            </a:p>
          </xdr:txBody>
        </xdr:sp>
        <xdr:sp macro="" textlink="">
          <xdr:nvSpPr>
            <xdr:cNvPr id="35" name="Textfeld 34">
              <a:extLst>
                <a:ext uri="{FF2B5EF4-FFF2-40B4-BE49-F238E27FC236}">
                  <a16:creationId xmlns:a16="http://schemas.microsoft.com/office/drawing/2014/main" id="{00000000-0008-0000-0600-000023000000}"/>
                </a:ext>
              </a:extLst>
            </xdr:cNvPr>
            <xdr:cNvSpPr txBox="1"/>
          </xdr:nvSpPr>
          <xdr:spPr>
            <a:xfrm>
              <a:off x="142352" y="1872298"/>
              <a:ext cx="215627" cy="42477"/>
            </a:xfrm>
            <a:prstGeom prst="rect">
              <a:avLst/>
            </a:prstGeom>
            <a:grpFill/>
            <a:ln>
              <a:solidFill>
                <a:schemeClr val="bg1"/>
              </a:solidFill>
            </a:ln>
            <a:effectLst/>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endParaRPr lang="de-CH" sz="1100">
                <a:solidFill>
                  <a:schemeClr val="bg1"/>
                </a:solidFill>
              </a:endParaRPr>
            </a:p>
          </xdr:txBody>
        </xdr:sp>
      </xdr:grpSp>
    </xdr:grpSp>
    <xdr:clientData fPrintsWithSheet="0"/>
  </xdr:twoCellAnchor>
  <xdr:twoCellAnchor editAs="oneCell">
    <xdr:from>
      <xdr:col>2</xdr:col>
      <xdr:colOff>75445</xdr:colOff>
      <xdr:row>5</xdr:row>
      <xdr:rowOff>38100</xdr:rowOff>
    </xdr:from>
    <xdr:to>
      <xdr:col>3</xdr:col>
      <xdr:colOff>1905</xdr:colOff>
      <xdr:row>5</xdr:row>
      <xdr:rowOff>361950</xdr:rowOff>
    </xdr:to>
    <xdr:grpSp>
      <xdr:nvGrpSpPr>
        <xdr:cNvPr id="40" name="Gruppieren 39">
          <a:extLst>
            <a:ext uri="{FF2B5EF4-FFF2-40B4-BE49-F238E27FC236}">
              <a16:creationId xmlns:a16="http://schemas.microsoft.com/office/drawing/2014/main" id="{00000000-0008-0000-0600-000028000000}"/>
            </a:ext>
          </a:extLst>
        </xdr:cNvPr>
        <xdr:cNvGrpSpPr/>
      </xdr:nvGrpSpPr>
      <xdr:grpSpPr>
        <a:xfrm>
          <a:off x="1005085" y="1539240"/>
          <a:ext cx="353180" cy="323850"/>
          <a:chOff x="551695" y="1552575"/>
          <a:chExt cx="353180" cy="323850"/>
        </a:xfrm>
      </xdr:grpSpPr>
      <xdr:sp macro="[0]!Sortieren_SprintBacklog_Datum" textlink="">
        <xdr:nvSpPr>
          <xdr:cNvPr id="41" name="Textfeld 40">
            <a:extLst>
              <a:ext uri="{FF2B5EF4-FFF2-40B4-BE49-F238E27FC236}">
                <a16:creationId xmlns:a16="http://schemas.microsoft.com/office/drawing/2014/main" id="{00000000-0008-0000-0600-000029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SprintBacklog_Datum">
        <xdr:nvCxnSpPr>
          <xdr:cNvPr id="42" name="Gerade Verbindung mit Pfeil 41">
            <a:extLst>
              <a:ext uri="{FF2B5EF4-FFF2-40B4-BE49-F238E27FC236}">
                <a16:creationId xmlns:a16="http://schemas.microsoft.com/office/drawing/2014/main" id="{00000000-0008-0000-0600-00002A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7</xdr:col>
      <xdr:colOff>132595</xdr:colOff>
      <xdr:row>5</xdr:row>
      <xdr:rowOff>38100</xdr:rowOff>
    </xdr:from>
    <xdr:to>
      <xdr:col>7</xdr:col>
      <xdr:colOff>485775</xdr:colOff>
      <xdr:row>5</xdr:row>
      <xdr:rowOff>361950</xdr:rowOff>
    </xdr:to>
    <xdr:grpSp>
      <xdr:nvGrpSpPr>
        <xdr:cNvPr id="43" name="Gruppieren 42">
          <a:extLst>
            <a:ext uri="{FF2B5EF4-FFF2-40B4-BE49-F238E27FC236}">
              <a16:creationId xmlns:a16="http://schemas.microsoft.com/office/drawing/2014/main" id="{00000000-0008-0000-0600-00002B000000}"/>
            </a:ext>
          </a:extLst>
        </xdr:cNvPr>
        <xdr:cNvGrpSpPr/>
      </xdr:nvGrpSpPr>
      <xdr:grpSpPr>
        <a:xfrm>
          <a:off x="8225035" y="1539240"/>
          <a:ext cx="353180" cy="323850"/>
          <a:chOff x="551695" y="1552575"/>
          <a:chExt cx="353180" cy="323850"/>
        </a:xfrm>
      </xdr:grpSpPr>
      <xdr:sp macro="[0]!Sortieren_SprintBacklog_Beginn" textlink="">
        <xdr:nvSpPr>
          <xdr:cNvPr id="44" name="Textfeld 43">
            <a:extLst>
              <a:ext uri="{FF2B5EF4-FFF2-40B4-BE49-F238E27FC236}">
                <a16:creationId xmlns:a16="http://schemas.microsoft.com/office/drawing/2014/main" id="{00000000-0008-0000-0600-00002C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SprintBacklog_Beginn">
        <xdr:nvCxnSpPr>
          <xdr:cNvPr id="45" name="Gerade Verbindung mit Pfeil 44">
            <a:extLst>
              <a:ext uri="{FF2B5EF4-FFF2-40B4-BE49-F238E27FC236}">
                <a16:creationId xmlns:a16="http://schemas.microsoft.com/office/drawing/2014/main" id="{00000000-0008-0000-0600-00002D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9</xdr:col>
      <xdr:colOff>123070</xdr:colOff>
      <xdr:row>5</xdr:row>
      <xdr:rowOff>38100</xdr:rowOff>
    </xdr:from>
    <xdr:to>
      <xdr:col>9</xdr:col>
      <xdr:colOff>476250</xdr:colOff>
      <xdr:row>5</xdr:row>
      <xdr:rowOff>361950</xdr:rowOff>
    </xdr:to>
    <xdr:grpSp>
      <xdr:nvGrpSpPr>
        <xdr:cNvPr id="46" name="Gruppieren 45">
          <a:extLst>
            <a:ext uri="{FF2B5EF4-FFF2-40B4-BE49-F238E27FC236}">
              <a16:creationId xmlns:a16="http://schemas.microsoft.com/office/drawing/2014/main" id="{00000000-0008-0000-0600-00002E000000}"/>
            </a:ext>
          </a:extLst>
        </xdr:cNvPr>
        <xdr:cNvGrpSpPr/>
      </xdr:nvGrpSpPr>
      <xdr:grpSpPr>
        <a:xfrm>
          <a:off x="9442330" y="1539240"/>
          <a:ext cx="353180" cy="323850"/>
          <a:chOff x="551695" y="1552575"/>
          <a:chExt cx="353180" cy="323850"/>
        </a:xfrm>
      </xdr:grpSpPr>
      <xdr:sp macro="[0]!Sortieren_SprintBacklog_Enddatum" textlink="">
        <xdr:nvSpPr>
          <xdr:cNvPr id="47" name="Textfeld 46">
            <a:extLst>
              <a:ext uri="{FF2B5EF4-FFF2-40B4-BE49-F238E27FC236}">
                <a16:creationId xmlns:a16="http://schemas.microsoft.com/office/drawing/2014/main" id="{00000000-0008-0000-0600-00002F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SprintBacklog_Enddatum">
        <xdr:nvCxnSpPr>
          <xdr:cNvPr id="48" name="Gerade Verbindung mit Pfeil 47">
            <a:extLst>
              <a:ext uri="{FF2B5EF4-FFF2-40B4-BE49-F238E27FC236}">
                <a16:creationId xmlns:a16="http://schemas.microsoft.com/office/drawing/2014/main" id="{00000000-0008-0000-0600-000030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0</xdr:col>
      <xdr:colOff>446920</xdr:colOff>
      <xdr:row>5</xdr:row>
      <xdr:rowOff>38100</xdr:rowOff>
    </xdr:from>
    <xdr:to>
      <xdr:col>1</xdr:col>
      <xdr:colOff>276225</xdr:colOff>
      <xdr:row>5</xdr:row>
      <xdr:rowOff>361950</xdr:rowOff>
    </xdr:to>
    <xdr:grpSp>
      <xdr:nvGrpSpPr>
        <xdr:cNvPr id="49" name="Gruppieren 48">
          <a:extLst>
            <a:ext uri="{FF2B5EF4-FFF2-40B4-BE49-F238E27FC236}">
              <a16:creationId xmlns:a16="http://schemas.microsoft.com/office/drawing/2014/main" id="{00000000-0008-0000-0600-000031000000}"/>
            </a:ext>
          </a:extLst>
        </xdr:cNvPr>
        <xdr:cNvGrpSpPr/>
      </xdr:nvGrpSpPr>
      <xdr:grpSpPr>
        <a:xfrm>
          <a:off x="446920" y="1539240"/>
          <a:ext cx="370325" cy="323850"/>
          <a:chOff x="551695" y="1552575"/>
          <a:chExt cx="353180" cy="323850"/>
        </a:xfrm>
      </xdr:grpSpPr>
      <xdr:sp macro="[0]!Sortieren_Sprint_Backlog_Nummer" textlink="">
        <xdr:nvSpPr>
          <xdr:cNvPr id="50" name="Textfeld 49">
            <a:extLst>
              <a:ext uri="{FF2B5EF4-FFF2-40B4-BE49-F238E27FC236}">
                <a16:creationId xmlns:a16="http://schemas.microsoft.com/office/drawing/2014/main" id="{00000000-0008-0000-0600-000032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Sprint_Backlog_Nummer">
        <xdr:nvCxnSpPr>
          <xdr:cNvPr id="51" name="Gerade Verbindung mit Pfeil 50">
            <a:extLst>
              <a:ext uri="{FF2B5EF4-FFF2-40B4-BE49-F238E27FC236}">
                <a16:creationId xmlns:a16="http://schemas.microsoft.com/office/drawing/2014/main" id="{00000000-0008-0000-0600-000033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6</xdr:col>
      <xdr:colOff>18295</xdr:colOff>
      <xdr:row>5</xdr:row>
      <xdr:rowOff>9525</xdr:rowOff>
    </xdr:from>
    <xdr:to>
      <xdr:col>6</xdr:col>
      <xdr:colOff>371476</xdr:colOff>
      <xdr:row>5</xdr:row>
      <xdr:rowOff>333375</xdr:rowOff>
    </xdr:to>
    <xdr:grpSp>
      <xdr:nvGrpSpPr>
        <xdr:cNvPr id="52" name="Gruppieren 51">
          <a:extLst>
            <a:ext uri="{FF2B5EF4-FFF2-40B4-BE49-F238E27FC236}">
              <a16:creationId xmlns:a16="http://schemas.microsoft.com/office/drawing/2014/main" id="{00000000-0008-0000-0600-000034000000}"/>
            </a:ext>
          </a:extLst>
        </xdr:cNvPr>
        <xdr:cNvGrpSpPr/>
      </xdr:nvGrpSpPr>
      <xdr:grpSpPr>
        <a:xfrm>
          <a:off x="7379215" y="1510665"/>
          <a:ext cx="353181" cy="323850"/>
          <a:chOff x="551695" y="1552575"/>
          <a:chExt cx="353180" cy="323850"/>
        </a:xfrm>
      </xdr:grpSpPr>
      <xdr:sp macro="[0]!Sortieren_SprintBacklog_Budget" textlink="">
        <xdr:nvSpPr>
          <xdr:cNvPr id="53" name="Textfeld 52">
            <a:extLst>
              <a:ext uri="{FF2B5EF4-FFF2-40B4-BE49-F238E27FC236}">
                <a16:creationId xmlns:a16="http://schemas.microsoft.com/office/drawing/2014/main" id="{00000000-0008-0000-0600-000035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SprintBacklog_Budget">
        <xdr:nvCxnSpPr>
          <xdr:cNvPr id="54" name="Gerade Verbindung mit Pfeil 53">
            <a:extLst>
              <a:ext uri="{FF2B5EF4-FFF2-40B4-BE49-F238E27FC236}">
                <a16:creationId xmlns:a16="http://schemas.microsoft.com/office/drawing/2014/main" id="{00000000-0008-0000-0600-000036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oneCell">
    <xdr:from>
      <xdr:col>14</xdr:col>
      <xdr:colOff>84970</xdr:colOff>
      <xdr:row>5</xdr:row>
      <xdr:rowOff>38100</xdr:rowOff>
    </xdr:from>
    <xdr:to>
      <xdr:col>14</xdr:col>
      <xdr:colOff>438150</xdr:colOff>
      <xdr:row>5</xdr:row>
      <xdr:rowOff>361950</xdr:rowOff>
    </xdr:to>
    <xdr:grpSp>
      <xdr:nvGrpSpPr>
        <xdr:cNvPr id="58" name="Gruppieren 57">
          <a:extLst>
            <a:ext uri="{FF2B5EF4-FFF2-40B4-BE49-F238E27FC236}">
              <a16:creationId xmlns:a16="http://schemas.microsoft.com/office/drawing/2014/main" id="{00000000-0008-0000-0600-00003A000000}"/>
            </a:ext>
          </a:extLst>
        </xdr:cNvPr>
        <xdr:cNvGrpSpPr/>
      </xdr:nvGrpSpPr>
      <xdr:grpSpPr>
        <a:xfrm>
          <a:off x="12551290" y="1539240"/>
          <a:ext cx="353180" cy="323850"/>
          <a:chOff x="551695" y="1552575"/>
          <a:chExt cx="353180" cy="323850"/>
        </a:xfrm>
      </xdr:grpSpPr>
      <xdr:sp macro="[0]!Sortieren_SprintBacklog_Fortschritt" textlink="">
        <xdr:nvSpPr>
          <xdr:cNvPr id="59" name="Textfeld 58">
            <a:extLst>
              <a:ext uri="{FF2B5EF4-FFF2-40B4-BE49-F238E27FC236}">
                <a16:creationId xmlns:a16="http://schemas.microsoft.com/office/drawing/2014/main" id="{00000000-0008-0000-0600-00003B000000}"/>
              </a:ext>
            </a:extLst>
          </xdr:cNvPr>
          <xdr:cNvSpPr txBox="1"/>
        </xdr:nvSpPr>
        <xdr:spPr>
          <a:xfrm>
            <a:off x="551695" y="1552575"/>
            <a:ext cx="35318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 wrap="none" lIns="0" tIns="0" rIns="0" bIns="0" rtlCol="0" anchor="ctr" anchorCtr="0">
            <a:noAutofit/>
          </a:bodyPr>
          <a:lstStyle/>
          <a:p>
            <a:r>
              <a:rPr lang="fr-CH" sz="1100" kern="0" spc="-700" baseline="0">
                <a:solidFill>
                  <a:sysClr val="windowText" lastClr="000000"/>
                </a:solidFill>
                <a:latin typeface="Calibri Light" panose="020F0302020204030204" pitchFamily="34" charset="0"/>
                <a:cs typeface="Calibri Light" panose="020F0302020204030204" pitchFamily="34" charset="0"/>
              </a:rPr>
              <a:t>AZ</a:t>
            </a:r>
          </a:p>
        </xdr:txBody>
      </xdr:sp>
      <xdr:cxnSp macro="[0]!Sortieren_SprintBacklog_Fortschritt">
        <xdr:nvCxnSpPr>
          <xdr:cNvPr id="60" name="Gerade Verbindung mit Pfeil 59">
            <a:extLst>
              <a:ext uri="{FF2B5EF4-FFF2-40B4-BE49-F238E27FC236}">
                <a16:creationId xmlns:a16="http://schemas.microsoft.com/office/drawing/2014/main" id="{00000000-0008-0000-0600-00003C000000}"/>
              </a:ext>
            </a:extLst>
          </xdr:cNvPr>
          <xdr:cNvCxnSpPr/>
        </xdr:nvCxnSpPr>
        <xdr:spPr>
          <a:xfrm>
            <a:off x="848469" y="1619250"/>
            <a:ext cx="0" cy="219075"/>
          </a:xfrm>
          <a:prstGeom prst="straightConnector1">
            <a:avLst/>
          </a:prstGeom>
          <a:ln w="3175">
            <a:solidFill>
              <a:sysClr val="windowText" lastClr="000000"/>
            </a:solidFill>
            <a:headEnd type="none" w="med" len="med"/>
            <a:tailEnd type="triangle" w="med" len="med"/>
          </a:ln>
        </xdr:spPr>
        <xdr:style>
          <a:lnRef idx="1">
            <a:schemeClr val="dk1"/>
          </a:lnRef>
          <a:fillRef idx="0">
            <a:schemeClr val="dk1"/>
          </a:fillRef>
          <a:effectRef idx="0">
            <a:schemeClr val="dk1"/>
          </a:effectRef>
          <a:fontRef idx="minor">
            <a:schemeClr val="tx1"/>
          </a:fontRef>
        </xdr:style>
      </xdr:cxnSp>
    </xdr:grpSp>
    <xdr:clientData fPrintsWithSheet="0"/>
  </xdr:twoCellAnchor>
  <xdr:twoCellAnchor editAs="absolute">
    <xdr:from>
      <xdr:col>1</xdr:col>
      <xdr:colOff>0</xdr:colOff>
      <xdr:row>0</xdr:row>
      <xdr:rowOff>114300</xdr:rowOff>
    </xdr:from>
    <xdr:to>
      <xdr:col>3</xdr:col>
      <xdr:colOff>651602</xdr:colOff>
      <xdr:row>0</xdr:row>
      <xdr:rowOff>546300</xdr:rowOff>
    </xdr:to>
    <xdr:sp macro="" textlink="">
      <xdr:nvSpPr>
        <xdr:cNvPr id="80" name="Rechteck: obere Ecken abgerundet 13">
          <a:hlinkClick xmlns:r="http://schemas.openxmlformats.org/officeDocument/2006/relationships" r:id="rId11" tooltip="Go to"/>
          <a:extLst>
            <a:ext uri="{FF2B5EF4-FFF2-40B4-BE49-F238E27FC236}">
              <a16:creationId xmlns:a16="http://schemas.microsoft.com/office/drawing/2014/main" id="{00000000-0008-0000-0600-000050000000}"/>
            </a:ext>
          </a:extLst>
        </xdr:cNvPr>
        <xdr:cNvSpPr/>
      </xdr:nvSpPr>
      <xdr:spPr>
        <a:xfrm>
          <a:off x="523875" y="114300"/>
          <a:ext cx="1434557"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clientData fPrintsWithSheet="0"/>
  </xdr:twoCellAnchor>
  <xdr:twoCellAnchor editAs="absolute">
    <xdr:from>
      <xdr:col>3</xdr:col>
      <xdr:colOff>704888</xdr:colOff>
      <xdr:row>0</xdr:row>
      <xdr:rowOff>114300</xdr:rowOff>
    </xdr:from>
    <xdr:to>
      <xdr:col>4</xdr:col>
      <xdr:colOff>439913</xdr:colOff>
      <xdr:row>0</xdr:row>
      <xdr:rowOff>546300</xdr:rowOff>
    </xdr:to>
    <xdr:sp macro="" textlink="' '!A42">
      <xdr:nvSpPr>
        <xdr:cNvPr id="81" name="Rechteck: obere Ecken abgerundet 14">
          <a:hlinkClick xmlns:r="http://schemas.openxmlformats.org/officeDocument/2006/relationships" r:id="rId12" tooltip="Go to"/>
          <a:extLst>
            <a:ext uri="{FF2B5EF4-FFF2-40B4-BE49-F238E27FC236}">
              <a16:creationId xmlns:a16="http://schemas.microsoft.com/office/drawing/2014/main" id="{00000000-0008-0000-0600-000051000000}"/>
            </a:ext>
          </a:extLst>
        </xdr:cNvPr>
        <xdr:cNvSpPr/>
      </xdr:nvSpPr>
      <xdr:spPr>
        <a:xfrm>
          <a:off x="2011718" y="114300"/>
          <a:ext cx="1440000"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4</xdr:col>
      <xdr:colOff>493199</xdr:colOff>
      <xdr:row>0</xdr:row>
      <xdr:rowOff>114300</xdr:rowOff>
    </xdr:from>
    <xdr:to>
      <xdr:col>4</xdr:col>
      <xdr:colOff>1933199</xdr:colOff>
      <xdr:row>0</xdr:row>
      <xdr:rowOff>546300</xdr:rowOff>
    </xdr:to>
    <xdr:sp macro="" textlink="' '!A99">
      <xdr:nvSpPr>
        <xdr:cNvPr id="82" name="Rechteck: obere Ecken abgerundet 15">
          <a:hlinkClick xmlns:r="http://schemas.openxmlformats.org/officeDocument/2006/relationships" r:id="rId13" tooltip="Go to"/>
          <a:extLst>
            <a:ext uri="{FF2B5EF4-FFF2-40B4-BE49-F238E27FC236}">
              <a16:creationId xmlns:a16="http://schemas.microsoft.com/office/drawing/2014/main" id="{00000000-0008-0000-0600-000052000000}"/>
            </a:ext>
          </a:extLst>
        </xdr:cNvPr>
        <xdr:cNvSpPr/>
      </xdr:nvSpPr>
      <xdr:spPr>
        <a:xfrm>
          <a:off x="3505004" y="114300"/>
          <a:ext cx="1440000"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4</xdr:col>
      <xdr:colOff>1986485</xdr:colOff>
      <xdr:row>0</xdr:row>
      <xdr:rowOff>114300</xdr:rowOff>
    </xdr:from>
    <xdr:to>
      <xdr:col>4</xdr:col>
      <xdr:colOff>3426485</xdr:colOff>
      <xdr:row>0</xdr:row>
      <xdr:rowOff>546300</xdr:rowOff>
    </xdr:to>
    <xdr:sp macro="" textlink="' '!A116">
      <xdr:nvSpPr>
        <xdr:cNvPr id="83" name="Rechteck: obere Ecken abgerundet 14">
          <a:hlinkClick xmlns:r="http://schemas.openxmlformats.org/officeDocument/2006/relationships" r:id="rId14" tooltip="Go to"/>
          <a:extLst>
            <a:ext uri="{FF2B5EF4-FFF2-40B4-BE49-F238E27FC236}">
              <a16:creationId xmlns:a16="http://schemas.microsoft.com/office/drawing/2014/main" id="{00000000-0008-0000-0600-000053000000}"/>
            </a:ext>
          </a:extLst>
        </xdr:cNvPr>
        <xdr:cNvSpPr/>
      </xdr:nvSpPr>
      <xdr:spPr>
        <a:xfrm>
          <a:off x="4998290" y="114300"/>
          <a:ext cx="1440000" cy="432000"/>
        </a:xfrm>
        <a:prstGeom prst="round2SameRect">
          <a:avLst/>
        </a:prstGeom>
        <a:gradFill>
          <a:gsLst>
            <a:gs pos="0">
              <a:srgbClr val="6C88B7"/>
            </a:gs>
            <a:gs pos="80000">
              <a:srgbClr val="89A0C5"/>
            </a:gs>
            <a:gs pos="100000">
              <a:srgbClr val="A5B7D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7</xdr:col>
      <xdr:colOff>107686</xdr:colOff>
      <xdr:row>0</xdr:row>
      <xdr:rowOff>114300</xdr:rowOff>
    </xdr:from>
    <xdr:to>
      <xdr:col>9</xdr:col>
      <xdr:colOff>360871</xdr:colOff>
      <xdr:row>0</xdr:row>
      <xdr:rowOff>546300</xdr:rowOff>
    </xdr:to>
    <xdr:sp macro="" textlink="' '!A105">
      <xdr:nvSpPr>
        <xdr:cNvPr id="84" name="Rechteck: obere Ecken abgerundet 14">
          <a:hlinkClick xmlns:r="http://schemas.openxmlformats.org/officeDocument/2006/relationships" r:id="rId15" tooltip="Go to"/>
          <a:extLst>
            <a:ext uri="{FF2B5EF4-FFF2-40B4-BE49-F238E27FC236}">
              <a16:creationId xmlns:a16="http://schemas.microsoft.com/office/drawing/2014/main" id="{00000000-0008-0000-0600-000054000000}"/>
            </a:ext>
          </a:extLst>
        </xdr:cNvPr>
        <xdr:cNvSpPr/>
      </xdr:nvSpPr>
      <xdr:spPr>
        <a:xfrm>
          <a:off x="7984861" y="114300"/>
          <a:ext cx="1440000"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7DC177B-452E-472F-9108-CE32008F6BD2}"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Retrospective</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9</xdr:col>
      <xdr:colOff>427490</xdr:colOff>
      <xdr:row>0</xdr:row>
      <xdr:rowOff>114300</xdr:rowOff>
    </xdr:from>
    <xdr:to>
      <xdr:col>11</xdr:col>
      <xdr:colOff>622436</xdr:colOff>
      <xdr:row>0</xdr:row>
      <xdr:rowOff>546300</xdr:rowOff>
    </xdr:to>
    <xdr:sp macro="" textlink="' '!A106">
      <xdr:nvSpPr>
        <xdr:cNvPr id="85" name="Rechteck: obere Ecken abgerundet 14">
          <a:hlinkClick xmlns:r="http://schemas.openxmlformats.org/officeDocument/2006/relationships" r:id="rId16" tooltip="Go to"/>
          <a:extLst>
            <a:ext uri="{FF2B5EF4-FFF2-40B4-BE49-F238E27FC236}">
              <a16:creationId xmlns:a16="http://schemas.microsoft.com/office/drawing/2014/main" id="{00000000-0008-0000-0600-000055000000}"/>
            </a:ext>
          </a:extLst>
        </xdr:cNvPr>
        <xdr:cNvSpPr/>
      </xdr:nvSpPr>
      <xdr:spPr>
        <a:xfrm>
          <a:off x="9478145" y="114300"/>
          <a:ext cx="1433196"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8E698A1C-FD08-49E8-8BA5-DB8A7F92BAF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Increment</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4</xdr:col>
      <xdr:colOff>3479771</xdr:colOff>
      <xdr:row>0</xdr:row>
      <xdr:rowOff>114300</xdr:rowOff>
    </xdr:from>
    <xdr:to>
      <xdr:col>7</xdr:col>
      <xdr:colOff>54401</xdr:colOff>
      <xdr:row>0</xdr:row>
      <xdr:rowOff>546300</xdr:rowOff>
    </xdr:to>
    <xdr:sp macro="" textlink="' '!A102">
      <xdr:nvSpPr>
        <xdr:cNvPr id="86" name="Rechteck: obere Ecken abgerundet 14">
          <a:hlinkClick xmlns:r="http://schemas.openxmlformats.org/officeDocument/2006/relationships" r:id="rId17" tooltip="Go to"/>
          <a:extLst>
            <a:ext uri="{FF2B5EF4-FFF2-40B4-BE49-F238E27FC236}">
              <a16:creationId xmlns:a16="http://schemas.microsoft.com/office/drawing/2014/main" id="{00000000-0008-0000-0600-000056000000}"/>
            </a:ext>
          </a:extLst>
        </xdr:cNvPr>
        <xdr:cNvSpPr/>
      </xdr:nvSpPr>
      <xdr:spPr>
        <a:xfrm>
          <a:off x="6491576" y="114300"/>
          <a:ext cx="1440000"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E3A21285-16A6-4B9D-8378-81F287973AD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Review</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1</xdr:col>
      <xdr:colOff>1</xdr:colOff>
      <xdr:row>0</xdr:row>
      <xdr:rowOff>190500</xdr:rowOff>
    </xdr:from>
    <xdr:to>
      <xdr:col>2</xdr:col>
      <xdr:colOff>1800226</xdr:colOff>
      <xdr:row>0</xdr:row>
      <xdr:rowOff>542925</xdr:rowOff>
    </xdr:to>
    <xdr:sp macro="" textlink="">
      <xdr:nvSpPr>
        <xdr:cNvPr id="2" name="Rechteck 1">
          <a:extLst>
            <a:ext uri="{FF2B5EF4-FFF2-40B4-BE49-F238E27FC236}">
              <a16:creationId xmlns:a16="http://schemas.microsoft.com/office/drawing/2014/main" id="{00000000-0008-0000-0700-000002000000}"/>
            </a:ext>
          </a:extLst>
        </xdr:cNvPr>
        <xdr:cNvSpPr/>
      </xdr:nvSpPr>
      <xdr:spPr>
        <a:xfrm>
          <a:off x="523876" y="190500"/>
          <a:ext cx="4438650" cy="352425"/>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fPrintsWithSheet="0"/>
  </xdr:twoCellAnchor>
  <xdr:twoCellAnchor editAs="oneCell">
    <xdr:from>
      <xdr:col>0</xdr:col>
      <xdr:colOff>82296</xdr:colOff>
      <xdr:row>0</xdr:row>
      <xdr:rowOff>214324</xdr:rowOff>
    </xdr:from>
    <xdr:to>
      <xdr:col>0</xdr:col>
      <xdr:colOff>406296</xdr:colOff>
      <xdr:row>0</xdr:row>
      <xdr:rowOff>539789</xdr:rowOff>
    </xdr:to>
    <xdr:grpSp>
      <xdr:nvGrpSpPr>
        <xdr:cNvPr id="3" name="Gruppieren 2">
          <a:hlinkClick xmlns:r="http://schemas.openxmlformats.org/officeDocument/2006/relationships" r:id="rId1" tooltip="Home"/>
          <a:extLst>
            <a:ext uri="{FF2B5EF4-FFF2-40B4-BE49-F238E27FC236}">
              <a16:creationId xmlns:a16="http://schemas.microsoft.com/office/drawing/2014/main" id="{00000000-0008-0000-0700-000003000000}"/>
            </a:ext>
          </a:extLst>
        </xdr:cNvPr>
        <xdr:cNvGrpSpPr/>
      </xdr:nvGrpSpPr>
      <xdr:grpSpPr>
        <a:xfrm>
          <a:off x="82296" y="214324"/>
          <a:ext cx="324000" cy="325465"/>
          <a:chOff x="82296" y="214324"/>
          <a:chExt cx="324000" cy="325465"/>
        </a:xfrm>
      </xdr:grpSpPr>
      <xdr:sp macro="" textlink="">
        <xdr:nvSpPr>
          <xdr:cNvPr id="5" name="Rechteck 4">
            <a:extLst>
              <a:ext uri="{FF2B5EF4-FFF2-40B4-BE49-F238E27FC236}">
                <a16:creationId xmlns:a16="http://schemas.microsoft.com/office/drawing/2014/main" id="{00000000-0008-0000-0700-000005000000}"/>
              </a:ext>
            </a:extLst>
          </xdr:cNvPr>
          <xdr:cNvSpPr>
            <a:spLocks noChangeAspect="1"/>
          </xdr:cNvSpPr>
        </xdr:nvSpPr>
        <xdr:spPr>
          <a:xfrm>
            <a:off x="82296" y="214324"/>
            <a:ext cx="324000" cy="325465"/>
          </a:xfrm>
          <a:prstGeom prst="rect">
            <a:avLst/>
          </a:prstGeom>
          <a:gradFill>
            <a:gsLst>
              <a:gs pos="0">
                <a:srgbClr val="6C88B7"/>
              </a:gs>
              <a:gs pos="80000">
                <a:srgbClr val="7691BC"/>
              </a:gs>
              <a:gs pos="100000">
                <a:srgbClr val="839B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6" name="Grafik 5" descr="http://www.clker.com/cliparts/Z/I/5/L/X/x/white-house-md.png">
            <a:extLst>
              <a:ext uri="{FF2B5EF4-FFF2-40B4-BE49-F238E27FC236}">
                <a16:creationId xmlns:a16="http://schemas.microsoft.com/office/drawing/2014/main" id="{00000000-0008-0000-07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9447" y="261535"/>
            <a:ext cx="228255" cy="217469"/>
          </a:xfrm>
          <a:prstGeom prst="rect">
            <a:avLst/>
          </a:prstGeom>
          <a:gradFill>
            <a:gsLst>
              <a:gs pos="0">
                <a:srgbClr val="6C88B7"/>
              </a:gs>
              <a:gs pos="80000">
                <a:srgbClr val="7691BC"/>
              </a:gs>
              <a:gs pos="100000">
                <a:srgbClr val="839BC3"/>
              </a:gs>
            </a:gsLst>
          </a:gradFill>
        </xdr:spPr>
      </xdr:pic>
    </xdr:grpSp>
    <xdr:clientData/>
  </xdr:twoCellAnchor>
  <xdr:twoCellAnchor editAs="oneCell">
    <xdr:from>
      <xdr:col>5</xdr:col>
      <xdr:colOff>661987</xdr:colOff>
      <xdr:row>10</xdr:row>
      <xdr:rowOff>1544759</xdr:rowOff>
    </xdr:from>
    <xdr:to>
      <xdr:col>5</xdr:col>
      <xdr:colOff>841987</xdr:colOff>
      <xdr:row>10</xdr:row>
      <xdr:rowOff>1724026</xdr:rowOff>
    </xdr:to>
    <xdr:pic>
      <xdr:nvPicPr>
        <xdr:cNvPr id="7" name="Grafik 6">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739562" y="9221909"/>
          <a:ext cx="180000" cy="17926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438150</xdr:colOff>
          <xdr:row>0</xdr:row>
          <xdr:rowOff>0</xdr:rowOff>
        </xdr:from>
        <xdr:to>
          <xdr:col>5</xdr:col>
          <xdr:colOff>2597604</xdr:colOff>
          <xdr:row>0</xdr:row>
          <xdr:rowOff>523875</xdr:rowOff>
        </xdr:to>
        <xdr:pic>
          <xdr:nvPicPr>
            <xdr:cNvPr id="14" name="Grafik 13">
              <a:extLst>
                <a:ext uri="{FF2B5EF4-FFF2-40B4-BE49-F238E27FC236}">
                  <a16:creationId xmlns:a16="http://schemas.microsoft.com/office/drawing/2014/main" id="{00000000-0008-0000-0700-00000E000000}"/>
                </a:ext>
              </a:extLst>
            </xdr:cNvPr>
            <xdr:cNvPicPr>
              <a:picLocks noChangeAspect="1" noChangeArrowheads="1"/>
              <a:extLst>
                <a:ext uri="{84589F7E-364E-4C9E-8A38-B11213B215E9}">
                  <a14:cameraTool cellRange="Logo!$D$6" spid="_x0000_s529465"/>
                </a:ext>
              </a:extLst>
            </xdr:cNvPicPr>
          </xdr:nvPicPr>
          <xdr:blipFill>
            <a:blip xmlns:r="http://schemas.openxmlformats.org/officeDocument/2006/relationships" r:embed="rId4"/>
            <a:srcRect/>
            <a:stretch>
              <a:fillRect/>
            </a:stretch>
          </xdr:blipFill>
          <xdr:spPr bwMode="auto">
            <a:xfrm>
              <a:off x="11515725" y="0"/>
              <a:ext cx="2159454" cy="523875"/>
            </a:xfrm>
            <a:prstGeom prst="rect">
              <a:avLst/>
            </a:prstGeom>
            <a:solidFill>
              <a:schemeClr val="bg1"/>
            </a:solidFill>
            <a:ln w="9525">
              <a:noFill/>
              <a:miter lim="800000"/>
              <a:headEnd/>
              <a:tailEnd/>
            </a:ln>
          </xdr:spPr>
        </xdr:pic>
        <xdr:clientData/>
      </xdr:twoCellAnchor>
    </mc:Choice>
    <mc:Fallback/>
  </mc:AlternateContent>
  <xdr:twoCellAnchor editAs="absolute">
    <xdr:from>
      <xdr:col>5</xdr:col>
      <xdr:colOff>1268570</xdr:colOff>
      <xdr:row>2</xdr:row>
      <xdr:rowOff>0</xdr:rowOff>
    </xdr:from>
    <xdr:to>
      <xdr:col>6</xdr:col>
      <xdr:colOff>241579</xdr:colOff>
      <xdr:row>2</xdr:row>
      <xdr:rowOff>161925</xdr:rowOff>
    </xdr:to>
    <xdr:sp macro="" textlink="">
      <xdr:nvSpPr>
        <xdr:cNvPr id="17" name="TextBox 49">
          <a:hlinkClick xmlns:r="http://schemas.openxmlformats.org/officeDocument/2006/relationships" r:id="rId5" tooltip="Date"/>
          <a:extLst>
            <a:ext uri="{FF2B5EF4-FFF2-40B4-BE49-F238E27FC236}">
              <a16:creationId xmlns:a16="http://schemas.microsoft.com/office/drawing/2014/main" id="{00000000-0008-0000-0700-000011000000}"/>
            </a:ext>
          </a:extLst>
        </xdr:cNvPr>
        <xdr:cNvSpPr txBox="1"/>
      </xdr:nvSpPr>
      <xdr:spPr>
        <a:xfrm>
          <a:off x="12346145" y="666750"/>
          <a:ext cx="1611434" cy="161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endParaRPr lang="en-US" sz="900" b="0" i="0" u="none" strike="noStrike">
            <a:solidFill>
              <a:schemeClr val="tx2"/>
            </a:solidFill>
            <a:latin typeface="Calibri"/>
            <a:cs typeface="Calibri"/>
          </a:endParaRPr>
        </a:p>
      </xdr:txBody>
    </xdr:sp>
    <xdr:clientData/>
  </xdr:twoCellAnchor>
  <xdr:twoCellAnchor editAs="oneCell">
    <xdr:from>
      <xdr:col>5</xdr:col>
      <xdr:colOff>1943099</xdr:colOff>
      <xdr:row>2</xdr:row>
      <xdr:rowOff>19050</xdr:rowOff>
    </xdr:from>
    <xdr:to>
      <xdr:col>5</xdr:col>
      <xdr:colOff>2598954</xdr:colOff>
      <xdr:row>2</xdr:row>
      <xdr:rowOff>199050</xdr:rowOff>
    </xdr:to>
    <xdr:grpSp>
      <xdr:nvGrpSpPr>
        <xdr:cNvPr id="22" name="Gruppieren 21">
          <a:extLst>
            <a:ext uri="{FF2B5EF4-FFF2-40B4-BE49-F238E27FC236}">
              <a16:creationId xmlns:a16="http://schemas.microsoft.com/office/drawing/2014/main" id="{00000000-0008-0000-0700-000016000000}"/>
            </a:ext>
          </a:extLst>
        </xdr:cNvPr>
        <xdr:cNvGrpSpPr/>
      </xdr:nvGrpSpPr>
      <xdr:grpSpPr>
        <a:xfrm>
          <a:off x="13334999" y="681990"/>
          <a:ext cx="655855" cy="180000"/>
          <a:chOff x="11696699" y="342900"/>
          <a:chExt cx="658576" cy="180000"/>
        </a:xfrm>
        <a:gradFill>
          <a:gsLst>
            <a:gs pos="0">
              <a:srgbClr val="6C88B7"/>
            </a:gs>
            <a:gs pos="80000">
              <a:srgbClr val="7691BC"/>
            </a:gs>
            <a:gs pos="100000">
              <a:srgbClr val="839BC3"/>
            </a:gs>
          </a:gsLst>
        </a:gradFill>
      </xdr:grpSpPr>
      <xdr:grpSp>
        <xdr:nvGrpSpPr>
          <xdr:cNvPr id="23" name="Gruppieren 22">
            <a:hlinkClick xmlns:r="http://schemas.openxmlformats.org/officeDocument/2006/relationships" r:id="rId6" tooltip="Help"/>
            <a:extLst>
              <a:ext uri="{FF2B5EF4-FFF2-40B4-BE49-F238E27FC236}">
                <a16:creationId xmlns:a16="http://schemas.microsoft.com/office/drawing/2014/main" id="{00000000-0008-0000-0700-000017000000}"/>
              </a:ext>
            </a:extLst>
          </xdr:cNvPr>
          <xdr:cNvGrpSpPr/>
        </xdr:nvGrpSpPr>
        <xdr:grpSpPr>
          <a:xfrm>
            <a:off x="12188451" y="347452"/>
            <a:ext cx="166824" cy="172800"/>
            <a:chOff x="8105775" y="571500"/>
            <a:chExt cx="172800" cy="172800"/>
          </a:xfrm>
          <a:grpFill/>
        </xdr:grpSpPr>
        <xdr:sp macro="" textlink="">
          <xdr:nvSpPr>
            <xdr:cNvPr id="26" name="Rechteck 25">
              <a:extLst>
                <a:ext uri="{FF2B5EF4-FFF2-40B4-BE49-F238E27FC236}">
                  <a16:creationId xmlns:a16="http://schemas.microsoft.com/office/drawing/2014/main" id="{00000000-0008-0000-0700-00001A000000}"/>
                </a:ext>
              </a:extLst>
            </xdr:cNvPr>
            <xdr:cNvSpPr>
              <a:spLocks noChangeAspect="1"/>
            </xdr:cNvSpPr>
          </xdr:nvSpPr>
          <xdr:spPr>
            <a:xfrm>
              <a:off x="8105775" y="571500"/>
              <a:ext cx="172800" cy="172800"/>
            </a:xfrm>
            <a:prstGeom prst="rect">
              <a:avLst/>
            </a:prstGeom>
            <a:grp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7" name="Textfeld 26">
              <a:extLst>
                <a:ext uri="{FF2B5EF4-FFF2-40B4-BE49-F238E27FC236}">
                  <a16:creationId xmlns:a16="http://schemas.microsoft.com/office/drawing/2014/main" id="{00000000-0008-0000-0700-00001B000000}"/>
                </a:ext>
              </a:extLst>
            </xdr:cNvPr>
            <xdr:cNvSpPr txBox="1"/>
          </xdr:nvSpPr>
          <xdr:spPr>
            <a:xfrm>
              <a:off x="8152998" y="584162"/>
              <a:ext cx="78355" cy="147476"/>
            </a:xfrm>
            <a:prstGeom prst="rect">
              <a:avLst/>
            </a:prstGeom>
            <a:grp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24" name="Rechteck 78">
            <a:extLst>
              <a:ext uri="{FF2B5EF4-FFF2-40B4-BE49-F238E27FC236}">
                <a16:creationId xmlns:a16="http://schemas.microsoft.com/office/drawing/2014/main" id="{00000000-0008-0000-0700-000018000000}"/>
              </a:ext>
            </a:extLst>
          </xdr:cNvPr>
          <xdr:cNvSpPr>
            <a:spLocks/>
          </xdr:cNvSpPr>
        </xdr:nvSpPr>
        <xdr:spPr>
          <a:xfrm>
            <a:off x="11696699" y="342900"/>
            <a:ext cx="180000" cy="180000"/>
          </a:xfrm>
          <a:prstGeom prst="rect">
            <a:avLst/>
          </a:prstGeom>
          <a:grp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25" name="Rechteck 84">
            <a:extLst>
              <a:ext uri="{FF2B5EF4-FFF2-40B4-BE49-F238E27FC236}">
                <a16:creationId xmlns:a16="http://schemas.microsoft.com/office/drawing/2014/main" id="{00000000-0008-0000-0700-000019000000}"/>
              </a:ext>
            </a:extLst>
          </xdr:cNvPr>
          <xdr:cNvSpPr>
            <a:spLocks/>
          </xdr:cNvSpPr>
        </xdr:nvSpPr>
        <xdr:spPr>
          <a:xfrm>
            <a:off x="11933159" y="342900"/>
            <a:ext cx="180000" cy="180000"/>
          </a:xfrm>
          <a:prstGeom prst="rect">
            <a:avLst/>
          </a:prstGeom>
          <a:grp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5</xdr:col>
      <xdr:colOff>697987</xdr:colOff>
      <xdr:row>10</xdr:row>
      <xdr:rowOff>1616026</xdr:rowOff>
    </xdr:from>
    <xdr:to>
      <xdr:col>5</xdr:col>
      <xdr:colOff>805987</xdr:colOff>
      <xdr:row>10</xdr:row>
      <xdr:rowOff>1724026</xdr:rowOff>
    </xdr:to>
    <xdr:sp macro="[0]!Dauer_einblenden" textlink="">
      <xdr:nvSpPr>
        <xdr:cNvPr id="28" name="Textfeld 27">
          <a:extLst>
            <a:ext uri="{FF2B5EF4-FFF2-40B4-BE49-F238E27FC236}">
              <a16:creationId xmlns:a16="http://schemas.microsoft.com/office/drawing/2014/main" id="{00000000-0008-0000-0700-00001C000000}"/>
            </a:ext>
          </a:extLst>
        </xdr:cNvPr>
        <xdr:cNvSpPr txBox="1"/>
      </xdr:nvSpPr>
      <xdr:spPr>
        <a:xfrm>
          <a:off x="11775562" y="9293176"/>
          <a:ext cx="108000" cy="10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fr-CH" sz="1200">
              <a:solidFill>
                <a:schemeClr val="bg1"/>
              </a:solidFill>
            </a:rPr>
            <a:t>+</a:t>
          </a:r>
        </a:p>
      </xdr:txBody>
    </xdr:sp>
    <xdr:clientData/>
  </xdr:twoCellAnchor>
  <xdr:twoCellAnchor editAs="oneCell">
    <xdr:from>
      <xdr:col>5</xdr:col>
      <xdr:colOff>698696</xdr:colOff>
      <xdr:row>10</xdr:row>
      <xdr:rowOff>1616026</xdr:rowOff>
    </xdr:from>
    <xdr:to>
      <xdr:col>5</xdr:col>
      <xdr:colOff>805278</xdr:colOff>
      <xdr:row>10</xdr:row>
      <xdr:rowOff>1724026</xdr:rowOff>
    </xdr:to>
    <xdr:sp macro="[0]!Dauer_ausblenden" textlink="">
      <xdr:nvSpPr>
        <xdr:cNvPr id="29" name="Textfeld 28">
          <a:extLst>
            <a:ext uri="{FF2B5EF4-FFF2-40B4-BE49-F238E27FC236}">
              <a16:creationId xmlns:a16="http://schemas.microsoft.com/office/drawing/2014/main" id="{00000000-0008-0000-0700-00001D000000}"/>
            </a:ext>
          </a:extLst>
        </xdr:cNvPr>
        <xdr:cNvSpPr txBox="1"/>
      </xdr:nvSpPr>
      <xdr:spPr>
        <a:xfrm>
          <a:off x="11776271" y="9293176"/>
          <a:ext cx="106582" cy="10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fr-CH" sz="1200">
              <a:solidFill>
                <a:schemeClr val="bg1"/>
              </a:solidFill>
            </a:rPr>
            <a:t>-</a:t>
          </a:r>
        </a:p>
      </xdr:txBody>
    </xdr:sp>
    <xdr:clientData/>
  </xdr:twoCellAnchor>
  <xdr:twoCellAnchor editAs="oneCell">
    <xdr:from>
      <xdr:col>0</xdr:col>
      <xdr:colOff>91150</xdr:colOff>
      <xdr:row>2</xdr:row>
      <xdr:rowOff>1184</xdr:rowOff>
    </xdr:from>
    <xdr:to>
      <xdr:col>0</xdr:col>
      <xdr:colOff>416493</xdr:colOff>
      <xdr:row>3</xdr:row>
      <xdr:rowOff>97279</xdr:rowOff>
    </xdr:to>
    <xdr:grpSp>
      <xdr:nvGrpSpPr>
        <xdr:cNvPr id="30" name="Gruppieren 29">
          <a:hlinkClick xmlns:r="http://schemas.openxmlformats.org/officeDocument/2006/relationships" r:id="rId7" tooltip="Calendar"/>
          <a:extLst>
            <a:ext uri="{FF2B5EF4-FFF2-40B4-BE49-F238E27FC236}">
              <a16:creationId xmlns:a16="http://schemas.microsoft.com/office/drawing/2014/main" id="{00000000-0008-0000-0700-00001E000000}"/>
            </a:ext>
          </a:extLst>
        </xdr:cNvPr>
        <xdr:cNvGrpSpPr/>
      </xdr:nvGrpSpPr>
      <xdr:grpSpPr>
        <a:xfrm>
          <a:off x="91150" y="664124"/>
          <a:ext cx="325343" cy="324695"/>
          <a:chOff x="85725" y="1826079"/>
          <a:chExt cx="322639" cy="325465"/>
        </a:xfrm>
        <a:gradFill>
          <a:gsLst>
            <a:gs pos="0">
              <a:srgbClr val="6C88B7"/>
            </a:gs>
            <a:gs pos="80000">
              <a:srgbClr val="7691BC"/>
            </a:gs>
            <a:gs pos="100000">
              <a:srgbClr val="839BC3"/>
            </a:gs>
          </a:gsLst>
        </a:gradFill>
      </xdr:grpSpPr>
      <xdr:sp macro="" textlink="">
        <xdr:nvSpPr>
          <xdr:cNvPr id="31" name="Rechteck 30">
            <a:extLst>
              <a:ext uri="{FF2B5EF4-FFF2-40B4-BE49-F238E27FC236}">
                <a16:creationId xmlns:a16="http://schemas.microsoft.com/office/drawing/2014/main" id="{00000000-0008-0000-0700-00001F000000}"/>
              </a:ext>
            </a:extLst>
          </xdr:cNvPr>
          <xdr:cNvSpPr>
            <a:spLocks noChangeAspect="1"/>
          </xdr:cNvSpPr>
        </xdr:nvSpPr>
        <xdr:spPr>
          <a:xfrm>
            <a:off x="85725" y="1826079"/>
            <a:ext cx="322639" cy="325465"/>
          </a:xfrm>
          <a:prstGeom prst="rect">
            <a:avLst/>
          </a:prstGeom>
          <a:grp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grpSp>
        <xdr:nvGrpSpPr>
          <xdr:cNvPr id="32" name="Gruppieren 31">
            <a:extLst>
              <a:ext uri="{FF2B5EF4-FFF2-40B4-BE49-F238E27FC236}">
                <a16:creationId xmlns:a16="http://schemas.microsoft.com/office/drawing/2014/main" id="{00000000-0008-0000-0700-000020000000}"/>
              </a:ext>
            </a:extLst>
          </xdr:cNvPr>
          <xdr:cNvGrpSpPr/>
        </xdr:nvGrpSpPr>
        <xdr:grpSpPr>
          <a:xfrm>
            <a:off x="139231" y="1875642"/>
            <a:ext cx="215627" cy="226339"/>
            <a:chOff x="142352" y="1872298"/>
            <a:chExt cx="215627" cy="226339"/>
          </a:xfrm>
          <a:grpFill/>
        </xdr:grpSpPr>
        <xdr:sp macro="" textlink="">
          <xdr:nvSpPr>
            <xdr:cNvPr id="33" name="Textfeld 32">
              <a:extLst>
                <a:ext uri="{FF2B5EF4-FFF2-40B4-BE49-F238E27FC236}">
                  <a16:creationId xmlns:a16="http://schemas.microsoft.com/office/drawing/2014/main" id="{00000000-0008-0000-0700-000021000000}"/>
                </a:ext>
              </a:extLst>
            </xdr:cNvPr>
            <xdr:cNvSpPr txBox="1"/>
          </xdr:nvSpPr>
          <xdr:spPr>
            <a:xfrm>
              <a:off x="142352" y="1930477"/>
              <a:ext cx="215520" cy="168160"/>
            </a:xfrm>
            <a:prstGeom prst="rect">
              <a:avLst/>
            </a:prstGeom>
            <a:grpFill/>
            <a:ln>
              <a:solidFill>
                <a:schemeClr val="bg1"/>
              </a:solidFill>
            </a:ln>
            <a:effectLst/>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100">
                  <a:solidFill>
                    <a:schemeClr val="bg1"/>
                  </a:solidFill>
                </a:rPr>
                <a:t>27</a:t>
              </a:r>
            </a:p>
          </xdr:txBody>
        </xdr:sp>
        <xdr:sp macro="" textlink="">
          <xdr:nvSpPr>
            <xdr:cNvPr id="34" name="Textfeld 33">
              <a:extLst>
                <a:ext uri="{FF2B5EF4-FFF2-40B4-BE49-F238E27FC236}">
                  <a16:creationId xmlns:a16="http://schemas.microsoft.com/office/drawing/2014/main" id="{00000000-0008-0000-0700-000022000000}"/>
                </a:ext>
              </a:extLst>
            </xdr:cNvPr>
            <xdr:cNvSpPr txBox="1"/>
          </xdr:nvSpPr>
          <xdr:spPr>
            <a:xfrm>
              <a:off x="142352" y="1872298"/>
              <a:ext cx="215627" cy="42477"/>
            </a:xfrm>
            <a:prstGeom prst="rect">
              <a:avLst/>
            </a:prstGeom>
            <a:grpFill/>
            <a:ln>
              <a:solidFill>
                <a:schemeClr val="bg1"/>
              </a:solidFill>
            </a:ln>
            <a:effectLst/>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endParaRPr lang="de-CH" sz="1100">
                <a:solidFill>
                  <a:schemeClr val="bg1"/>
                </a:solidFill>
              </a:endParaRPr>
            </a:p>
          </xdr:txBody>
        </xdr:sp>
      </xdr:grpSp>
    </xdr:grpSp>
    <xdr:clientData fPrintsWithSheet="0"/>
  </xdr:twoCellAnchor>
  <xdr:oneCellAnchor>
    <xdr:from>
      <xdr:col>1</xdr:col>
      <xdr:colOff>200025</xdr:colOff>
      <xdr:row>10</xdr:row>
      <xdr:rowOff>933450</xdr:rowOff>
    </xdr:from>
    <xdr:ext cx="1145891" cy="790576"/>
    <xdr:sp macro="" textlink="" fLocksText="0">
      <xdr:nvSpPr>
        <xdr:cNvPr id="42" name="Gefaltete Ecke 75">
          <a:extLst>
            <a:ext uri="{FF2B5EF4-FFF2-40B4-BE49-F238E27FC236}">
              <a16:creationId xmlns:a16="http://schemas.microsoft.com/office/drawing/2014/main" id="{00000000-0008-0000-0700-00002A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43" name="Gefaltete Ecke 75">
          <a:extLst>
            <a:ext uri="{FF2B5EF4-FFF2-40B4-BE49-F238E27FC236}">
              <a16:creationId xmlns:a16="http://schemas.microsoft.com/office/drawing/2014/main" id="{00000000-0008-0000-0700-00002B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44" name="Gefaltete Ecke 75">
          <a:extLst>
            <a:ext uri="{FF2B5EF4-FFF2-40B4-BE49-F238E27FC236}">
              <a16:creationId xmlns:a16="http://schemas.microsoft.com/office/drawing/2014/main" id="{00000000-0008-0000-0700-00002C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45" name="Gefaltete Ecke 75">
          <a:extLst>
            <a:ext uri="{FF2B5EF4-FFF2-40B4-BE49-F238E27FC236}">
              <a16:creationId xmlns:a16="http://schemas.microsoft.com/office/drawing/2014/main" id="{00000000-0008-0000-0700-00002D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46" name="Gefaltete Ecke 75">
          <a:extLst>
            <a:ext uri="{FF2B5EF4-FFF2-40B4-BE49-F238E27FC236}">
              <a16:creationId xmlns:a16="http://schemas.microsoft.com/office/drawing/2014/main" id="{00000000-0008-0000-0700-00002E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47" name="Gefaltete Ecke 75">
          <a:extLst>
            <a:ext uri="{FF2B5EF4-FFF2-40B4-BE49-F238E27FC236}">
              <a16:creationId xmlns:a16="http://schemas.microsoft.com/office/drawing/2014/main" id="{00000000-0008-0000-0700-00002F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48" name="Gefaltete Ecke 75">
          <a:extLst>
            <a:ext uri="{FF2B5EF4-FFF2-40B4-BE49-F238E27FC236}">
              <a16:creationId xmlns:a16="http://schemas.microsoft.com/office/drawing/2014/main" id="{00000000-0008-0000-0700-000030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49" name="Gefaltete Ecke 75">
          <a:extLst>
            <a:ext uri="{FF2B5EF4-FFF2-40B4-BE49-F238E27FC236}">
              <a16:creationId xmlns:a16="http://schemas.microsoft.com/office/drawing/2014/main" id="{00000000-0008-0000-0700-000031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50" name="Gefaltete Ecke 75">
          <a:extLst>
            <a:ext uri="{FF2B5EF4-FFF2-40B4-BE49-F238E27FC236}">
              <a16:creationId xmlns:a16="http://schemas.microsoft.com/office/drawing/2014/main" id="{00000000-0008-0000-0700-000032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51" name="Gefaltete Ecke 75">
          <a:extLst>
            <a:ext uri="{FF2B5EF4-FFF2-40B4-BE49-F238E27FC236}">
              <a16:creationId xmlns:a16="http://schemas.microsoft.com/office/drawing/2014/main" id="{00000000-0008-0000-0700-000033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52" name="Gefaltete Ecke 75">
          <a:extLst>
            <a:ext uri="{FF2B5EF4-FFF2-40B4-BE49-F238E27FC236}">
              <a16:creationId xmlns:a16="http://schemas.microsoft.com/office/drawing/2014/main" id="{00000000-0008-0000-0700-000034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53" name="Gefaltete Ecke 75">
          <a:extLst>
            <a:ext uri="{FF2B5EF4-FFF2-40B4-BE49-F238E27FC236}">
              <a16:creationId xmlns:a16="http://schemas.microsoft.com/office/drawing/2014/main" id="{00000000-0008-0000-0700-000035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57" name="Gefaltete Ecke 75">
          <a:extLst>
            <a:ext uri="{FF2B5EF4-FFF2-40B4-BE49-F238E27FC236}">
              <a16:creationId xmlns:a16="http://schemas.microsoft.com/office/drawing/2014/main" id="{00000000-0008-0000-0700-000039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58" name="Gefaltete Ecke 75">
          <a:extLst>
            <a:ext uri="{FF2B5EF4-FFF2-40B4-BE49-F238E27FC236}">
              <a16:creationId xmlns:a16="http://schemas.microsoft.com/office/drawing/2014/main" id="{00000000-0008-0000-0700-00003A000000}"/>
            </a:ext>
          </a:extLst>
        </xdr:cNvPr>
        <xdr:cNvSpPr/>
      </xdr:nvSpPr>
      <xdr:spPr>
        <a:xfrm>
          <a:off x="723900" y="855345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1</xdr:col>
      <xdr:colOff>200025</xdr:colOff>
      <xdr:row>10</xdr:row>
      <xdr:rowOff>933450</xdr:rowOff>
    </xdr:from>
    <xdr:ext cx="1145891" cy="790576"/>
    <xdr:sp macro="" textlink="" fLocksText="0">
      <xdr:nvSpPr>
        <xdr:cNvPr id="59" name="Gefaltete Ecke 75">
          <a:extLst>
            <a:ext uri="{FF2B5EF4-FFF2-40B4-BE49-F238E27FC236}">
              <a16:creationId xmlns:a16="http://schemas.microsoft.com/office/drawing/2014/main" id="{00000000-0008-0000-0700-00003B000000}"/>
            </a:ext>
          </a:extLst>
        </xdr:cNvPr>
        <xdr:cNvSpPr/>
      </xdr:nvSpPr>
      <xdr:spPr>
        <a:xfrm>
          <a:off x="723900" y="8610600"/>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a:t>
          </a:r>
          <a:r>
            <a:rPr lang="en-US" sz="900" b="0" i="0" u="none" strike="noStrike" baseline="0">
              <a:solidFill>
                <a:srgbClr val="000000"/>
              </a:solidFill>
              <a:latin typeface="Calibri Light" panose="020F0302020204030204" pitchFamily="34" charset="0"/>
              <a:cs typeface="Calibri Light" panose="020F0302020204030204" pitchFamily="34" charset="0"/>
            </a:rPr>
            <a:t> ist ein Text</a:t>
          </a: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966787</xdr:colOff>
      <xdr:row>9</xdr:row>
      <xdr:rowOff>600075</xdr:rowOff>
    </xdr:from>
    <xdr:ext cx="1145891" cy="790576"/>
    <xdr:sp macro="" textlink="" fLocksText="0">
      <xdr:nvSpPr>
        <xdr:cNvPr id="60" name="Gefaltete Ecke 75">
          <a:extLst>
            <a:ext uri="{FF2B5EF4-FFF2-40B4-BE49-F238E27FC236}">
              <a16:creationId xmlns:a16="http://schemas.microsoft.com/office/drawing/2014/main" id="{00000000-0008-0000-0700-00003C000000}"/>
            </a:ext>
          </a:extLst>
        </xdr:cNvPr>
        <xdr:cNvSpPr/>
      </xdr:nvSpPr>
      <xdr:spPr>
        <a:xfrm>
          <a:off x="1490662" y="6372225"/>
          <a:ext cx="1145891" cy="790576"/>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1" name="Gefaltete Ecke 75">
          <a:extLst>
            <a:ext uri="{FF2B5EF4-FFF2-40B4-BE49-F238E27FC236}">
              <a16:creationId xmlns:a16="http://schemas.microsoft.com/office/drawing/2014/main" id="{00000000-0008-0000-0700-00003D000000}"/>
            </a:ext>
          </a:extLst>
        </xdr:cNvPr>
        <xdr:cNvSpPr/>
      </xdr:nvSpPr>
      <xdr:spPr>
        <a:xfrm>
          <a:off x="3367087" y="855345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2" name="Gefaltete Ecke 75">
          <a:extLst>
            <a:ext uri="{FF2B5EF4-FFF2-40B4-BE49-F238E27FC236}">
              <a16:creationId xmlns:a16="http://schemas.microsoft.com/office/drawing/2014/main" id="{00000000-0008-0000-0700-00003E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3" name="Gefaltete Ecke 75">
          <a:extLst>
            <a:ext uri="{FF2B5EF4-FFF2-40B4-BE49-F238E27FC236}">
              <a16:creationId xmlns:a16="http://schemas.microsoft.com/office/drawing/2014/main" id="{00000000-0008-0000-0700-00003F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4" name="Gefaltete Ecke 75">
          <a:extLst>
            <a:ext uri="{FF2B5EF4-FFF2-40B4-BE49-F238E27FC236}">
              <a16:creationId xmlns:a16="http://schemas.microsoft.com/office/drawing/2014/main" id="{00000000-0008-0000-0700-000040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5" name="Gefaltete Ecke 75">
          <a:extLst>
            <a:ext uri="{FF2B5EF4-FFF2-40B4-BE49-F238E27FC236}">
              <a16:creationId xmlns:a16="http://schemas.microsoft.com/office/drawing/2014/main" id="{00000000-0008-0000-0700-000041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6" name="Gefaltete Ecke 75">
          <a:extLst>
            <a:ext uri="{FF2B5EF4-FFF2-40B4-BE49-F238E27FC236}">
              <a16:creationId xmlns:a16="http://schemas.microsoft.com/office/drawing/2014/main" id="{00000000-0008-0000-0700-000042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7" name="Gefaltete Ecke 75">
          <a:extLst>
            <a:ext uri="{FF2B5EF4-FFF2-40B4-BE49-F238E27FC236}">
              <a16:creationId xmlns:a16="http://schemas.microsoft.com/office/drawing/2014/main" id="{00000000-0008-0000-0700-000043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8" name="Gefaltete Ecke 75">
          <a:extLst>
            <a:ext uri="{FF2B5EF4-FFF2-40B4-BE49-F238E27FC236}">
              <a16:creationId xmlns:a16="http://schemas.microsoft.com/office/drawing/2014/main" id="{00000000-0008-0000-0700-000044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69" name="Gefaltete Ecke 75">
          <a:extLst>
            <a:ext uri="{FF2B5EF4-FFF2-40B4-BE49-F238E27FC236}">
              <a16:creationId xmlns:a16="http://schemas.microsoft.com/office/drawing/2014/main" id="{00000000-0008-0000-0700-000045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72" name="Gefaltete Ecke 75">
          <a:extLst>
            <a:ext uri="{FF2B5EF4-FFF2-40B4-BE49-F238E27FC236}">
              <a16:creationId xmlns:a16="http://schemas.microsoft.com/office/drawing/2014/main" id="{00000000-0008-0000-0700-000048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73" name="Gefaltete Ecke 75">
          <a:extLst>
            <a:ext uri="{FF2B5EF4-FFF2-40B4-BE49-F238E27FC236}">
              <a16:creationId xmlns:a16="http://schemas.microsoft.com/office/drawing/2014/main" id="{00000000-0008-0000-0700-000049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74" name="Gefaltete Ecke 75">
          <a:extLst>
            <a:ext uri="{FF2B5EF4-FFF2-40B4-BE49-F238E27FC236}">
              <a16:creationId xmlns:a16="http://schemas.microsoft.com/office/drawing/2014/main" id="{00000000-0008-0000-0700-00004A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75" name="Gefaltete Ecke 75">
          <a:extLst>
            <a:ext uri="{FF2B5EF4-FFF2-40B4-BE49-F238E27FC236}">
              <a16:creationId xmlns:a16="http://schemas.microsoft.com/office/drawing/2014/main" id="{00000000-0008-0000-0700-00004B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204787</xdr:colOff>
      <xdr:row>10</xdr:row>
      <xdr:rowOff>933450</xdr:rowOff>
    </xdr:from>
    <xdr:ext cx="1145891" cy="790576"/>
    <xdr:sp macro="" textlink="" fLocksText="0">
      <xdr:nvSpPr>
        <xdr:cNvPr id="76" name="Gefaltete Ecke 75">
          <a:extLst>
            <a:ext uri="{FF2B5EF4-FFF2-40B4-BE49-F238E27FC236}">
              <a16:creationId xmlns:a16="http://schemas.microsoft.com/office/drawing/2014/main" id="{00000000-0008-0000-0700-00004C000000}"/>
            </a:ext>
          </a:extLst>
        </xdr:cNvPr>
        <xdr:cNvSpPr/>
      </xdr:nvSpPr>
      <xdr:spPr>
        <a:xfrm>
          <a:off x="3367087" y="861060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2</xdr:col>
      <xdr:colOff>1290637</xdr:colOff>
      <xdr:row>7</xdr:row>
      <xdr:rowOff>933450</xdr:rowOff>
    </xdr:from>
    <xdr:ext cx="1145891" cy="790576"/>
    <xdr:sp macro="" textlink="" fLocksText="0">
      <xdr:nvSpPr>
        <xdr:cNvPr id="77" name="Gefaltete Ecke 75">
          <a:extLst>
            <a:ext uri="{FF2B5EF4-FFF2-40B4-BE49-F238E27FC236}">
              <a16:creationId xmlns:a16="http://schemas.microsoft.com/office/drawing/2014/main" id="{00000000-0008-0000-0700-00004D000000}"/>
            </a:ext>
          </a:extLst>
        </xdr:cNvPr>
        <xdr:cNvSpPr/>
      </xdr:nvSpPr>
      <xdr:spPr>
        <a:xfrm>
          <a:off x="4452937" y="283845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Task</a:t>
          </a:r>
          <a:r>
            <a:rPr lang="en-US" sz="900" b="0" i="0" u="none" strike="noStrike" baseline="0">
              <a:solidFill>
                <a:srgbClr val="000000"/>
              </a:solidFill>
              <a:latin typeface="Calibri Light" panose="020F0302020204030204" pitchFamily="34" charset="0"/>
              <a:cs typeface="Calibri Light" panose="020F0302020204030204" pitchFamily="34" charset="0"/>
            </a:rPr>
            <a:t> 2</a:t>
          </a: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147637</xdr:colOff>
      <xdr:row>7</xdr:row>
      <xdr:rowOff>114300</xdr:rowOff>
    </xdr:from>
    <xdr:ext cx="1145891" cy="790576"/>
    <xdr:sp macro="" textlink="" fLocksText="0">
      <xdr:nvSpPr>
        <xdr:cNvPr id="78" name="Gefaltete Ecke 75">
          <a:extLst>
            <a:ext uri="{FF2B5EF4-FFF2-40B4-BE49-F238E27FC236}">
              <a16:creationId xmlns:a16="http://schemas.microsoft.com/office/drawing/2014/main" id="{00000000-0008-0000-0700-00004E000000}"/>
            </a:ext>
          </a:extLst>
        </xdr:cNvPr>
        <xdr:cNvSpPr/>
      </xdr:nvSpPr>
      <xdr:spPr>
        <a:xfrm>
          <a:off x="3309937" y="2076450"/>
          <a:ext cx="1145891" cy="790576"/>
        </a:xfrm>
        <a:prstGeom prst="foldedCorner">
          <a:avLst/>
        </a:prstGeom>
        <a:solidFill>
          <a:srgbClr val="C7D1E3"/>
        </a:solidFill>
        <a:ln>
          <a:solidFill>
            <a:srgbClr val="7691BC"/>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Task 1</a:t>
          </a:r>
        </a:p>
      </xdr:txBody>
    </xdr:sp>
    <xdr:clientData fLocksWithSheet="0"/>
  </xdr:oneCellAnchor>
  <xdr:oneCellAnchor>
    <xdr:from>
      <xdr:col>3</xdr:col>
      <xdr:colOff>214312</xdr:colOff>
      <xdr:row>10</xdr:row>
      <xdr:rowOff>933450</xdr:rowOff>
    </xdr:from>
    <xdr:ext cx="1145891" cy="790576"/>
    <xdr:sp macro="" textlink="" fLocksText="0">
      <xdr:nvSpPr>
        <xdr:cNvPr id="79" name="Gefaltete Ecke 75">
          <a:extLst>
            <a:ext uri="{FF2B5EF4-FFF2-40B4-BE49-F238E27FC236}">
              <a16:creationId xmlns:a16="http://schemas.microsoft.com/office/drawing/2014/main" id="{00000000-0008-0000-0700-00004F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0" name="Gefaltete Ecke 75">
          <a:extLst>
            <a:ext uri="{FF2B5EF4-FFF2-40B4-BE49-F238E27FC236}">
              <a16:creationId xmlns:a16="http://schemas.microsoft.com/office/drawing/2014/main" id="{00000000-0008-0000-0700-000050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1" name="Gefaltete Ecke 75">
          <a:extLst>
            <a:ext uri="{FF2B5EF4-FFF2-40B4-BE49-F238E27FC236}">
              <a16:creationId xmlns:a16="http://schemas.microsoft.com/office/drawing/2014/main" id="{00000000-0008-0000-0700-000051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2" name="Gefaltete Ecke 75">
          <a:extLst>
            <a:ext uri="{FF2B5EF4-FFF2-40B4-BE49-F238E27FC236}">
              <a16:creationId xmlns:a16="http://schemas.microsoft.com/office/drawing/2014/main" id="{00000000-0008-0000-0700-000052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3" name="Gefaltete Ecke 75">
          <a:extLst>
            <a:ext uri="{FF2B5EF4-FFF2-40B4-BE49-F238E27FC236}">
              <a16:creationId xmlns:a16="http://schemas.microsoft.com/office/drawing/2014/main" id="{00000000-0008-0000-0700-000053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4" name="Gefaltete Ecke 75">
          <a:extLst>
            <a:ext uri="{FF2B5EF4-FFF2-40B4-BE49-F238E27FC236}">
              <a16:creationId xmlns:a16="http://schemas.microsoft.com/office/drawing/2014/main" id="{00000000-0008-0000-0700-000054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5" name="Gefaltete Ecke 75">
          <a:extLst>
            <a:ext uri="{FF2B5EF4-FFF2-40B4-BE49-F238E27FC236}">
              <a16:creationId xmlns:a16="http://schemas.microsoft.com/office/drawing/2014/main" id="{00000000-0008-0000-0700-000055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6" name="Gefaltete Ecke 75">
          <a:extLst>
            <a:ext uri="{FF2B5EF4-FFF2-40B4-BE49-F238E27FC236}">
              <a16:creationId xmlns:a16="http://schemas.microsoft.com/office/drawing/2014/main" id="{00000000-0008-0000-0700-000056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7" name="Gefaltete Ecke 75">
          <a:extLst>
            <a:ext uri="{FF2B5EF4-FFF2-40B4-BE49-F238E27FC236}">
              <a16:creationId xmlns:a16="http://schemas.microsoft.com/office/drawing/2014/main" id="{00000000-0008-0000-0700-000057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8" name="Gefaltete Ecke 75">
          <a:extLst>
            <a:ext uri="{FF2B5EF4-FFF2-40B4-BE49-F238E27FC236}">
              <a16:creationId xmlns:a16="http://schemas.microsoft.com/office/drawing/2014/main" id="{00000000-0008-0000-0700-000058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89" name="Gefaltete Ecke 75">
          <a:extLst>
            <a:ext uri="{FF2B5EF4-FFF2-40B4-BE49-F238E27FC236}">
              <a16:creationId xmlns:a16="http://schemas.microsoft.com/office/drawing/2014/main" id="{00000000-0008-0000-0700-000059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90" name="Gefaltete Ecke 75">
          <a:extLst>
            <a:ext uri="{FF2B5EF4-FFF2-40B4-BE49-F238E27FC236}">
              <a16:creationId xmlns:a16="http://schemas.microsoft.com/office/drawing/2014/main" id="{00000000-0008-0000-0700-00005A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91" name="Gefaltete Ecke 75">
          <a:extLst>
            <a:ext uri="{FF2B5EF4-FFF2-40B4-BE49-F238E27FC236}">
              <a16:creationId xmlns:a16="http://schemas.microsoft.com/office/drawing/2014/main" id="{00000000-0008-0000-0700-00005B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92" name="Gefaltete Ecke 75">
          <a:extLst>
            <a:ext uri="{FF2B5EF4-FFF2-40B4-BE49-F238E27FC236}">
              <a16:creationId xmlns:a16="http://schemas.microsoft.com/office/drawing/2014/main" id="{00000000-0008-0000-0700-00005C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214312</xdr:colOff>
      <xdr:row>10</xdr:row>
      <xdr:rowOff>933450</xdr:rowOff>
    </xdr:from>
    <xdr:ext cx="1145891" cy="790576"/>
    <xdr:sp macro="" textlink="" fLocksText="0">
      <xdr:nvSpPr>
        <xdr:cNvPr id="93" name="Gefaltete Ecke 75">
          <a:extLst>
            <a:ext uri="{FF2B5EF4-FFF2-40B4-BE49-F238E27FC236}">
              <a16:creationId xmlns:a16="http://schemas.microsoft.com/office/drawing/2014/main" id="{00000000-0008-0000-0700-00005D000000}"/>
            </a:ext>
          </a:extLst>
        </xdr:cNvPr>
        <xdr:cNvSpPr/>
      </xdr:nvSpPr>
      <xdr:spPr>
        <a:xfrm>
          <a:off x="6015037" y="8553450"/>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3</xdr:col>
      <xdr:colOff>766762</xdr:colOff>
      <xdr:row>7</xdr:row>
      <xdr:rowOff>257175</xdr:rowOff>
    </xdr:from>
    <xdr:ext cx="1145891" cy="790576"/>
    <xdr:sp macro="" textlink="" fLocksText="0">
      <xdr:nvSpPr>
        <xdr:cNvPr id="94" name="Gefaltete Ecke 75">
          <a:extLst>
            <a:ext uri="{FF2B5EF4-FFF2-40B4-BE49-F238E27FC236}">
              <a16:creationId xmlns:a16="http://schemas.microsoft.com/office/drawing/2014/main" id="{00000000-0008-0000-0700-00005E000000}"/>
            </a:ext>
          </a:extLst>
        </xdr:cNvPr>
        <xdr:cNvSpPr/>
      </xdr:nvSpPr>
      <xdr:spPr>
        <a:xfrm>
          <a:off x="6567487" y="2162175"/>
          <a:ext cx="1145891" cy="790576"/>
        </a:xfrm>
        <a:prstGeom prst="foldedCorner">
          <a:avLst/>
        </a:prstGeom>
        <a:solidFill>
          <a:schemeClr val="accent6">
            <a:lumMod val="20000"/>
            <a:lumOff val="80000"/>
          </a:schemeClr>
        </a:solidFill>
        <a:ln>
          <a:solidFill>
            <a:schemeClr val="accent6">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95" name="Gefaltete Ecke 75">
          <a:extLst>
            <a:ext uri="{FF2B5EF4-FFF2-40B4-BE49-F238E27FC236}">
              <a16:creationId xmlns:a16="http://schemas.microsoft.com/office/drawing/2014/main" id="{00000000-0008-0000-0700-00005F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96" name="Gefaltete Ecke 75">
          <a:extLst>
            <a:ext uri="{FF2B5EF4-FFF2-40B4-BE49-F238E27FC236}">
              <a16:creationId xmlns:a16="http://schemas.microsoft.com/office/drawing/2014/main" id="{00000000-0008-0000-0700-000060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97" name="Gefaltete Ecke 75">
          <a:extLst>
            <a:ext uri="{FF2B5EF4-FFF2-40B4-BE49-F238E27FC236}">
              <a16:creationId xmlns:a16="http://schemas.microsoft.com/office/drawing/2014/main" id="{00000000-0008-0000-0700-000061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98" name="Gefaltete Ecke 75">
          <a:extLst>
            <a:ext uri="{FF2B5EF4-FFF2-40B4-BE49-F238E27FC236}">
              <a16:creationId xmlns:a16="http://schemas.microsoft.com/office/drawing/2014/main" id="{00000000-0008-0000-0700-000062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99" name="Gefaltete Ecke 75">
          <a:extLst>
            <a:ext uri="{FF2B5EF4-FFF2-40B4-BE49-F238E27FC236}">
              <a16:creationId xmlns:a16="http://schemas.microsoft.com/office/drawing/2014/main" id="{00000000-0008-0000-0700-000063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0" name="Gefaltete Ecke 75">
          <a:extLst>
            <a:ext uri="{FF2B5EF4-FFF2-40B4-BE49-F238E27FC236}">
              <a16:creationId xmlns:a16="http://schemas.microsoft.com/office/drawing/2014/main" id="{00000000-0008-0000-0700-000064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1" name="Gefaltete Ecke 75">
          <a:extLst>
            <a:ext uri="{FF2B5EF4-FFF2-40B4-BE49-F238E27FC236}">
              <a16:creationId xmlns:a16="http://schemas.microsoft.com/office/drawing/2014/main" id="{00000000-0008-0000-0700-000065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2" name="Gefaltete Ecke 75">
          <a:extLst>
            <a:ext uri="{FF2B5EF4-FFF2-40B4-BE49-F238E27FC236}">
              <a16:creationId xmlns:a16="http://schemas.microsoft.com/office/drawing/2014/main" id="{00000000-0008-0000-0700-000066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3" name="Gefaltete Ecke 75">
          <a:extLst>
            <a:ext uri="{FF2B5EF4-FFF2-40B4-BE49-F238E27FC236}">
              <a16:creationId xmlns:a16="http://schemas.microsoft.com/office/drawing/2014/main" id="{00000000-0008-0000-0700-000067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4" name="Gefaltete Ecke 75">
          <a:extLst>
            <a:ext uri="{FF2B5EF4-FFF2-40B4-BE49-F238E27FC236}">
              <a16:creationId xmlns:a16="http://schemas.microsoft.com/office/drawing/2014/main" id="{00000000-0008-0000-0700-000068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5" name="Gefaltete Ecke 75">
          <a:extLst>
            <a:ext uri="{FF2B5EF4-FFF2-40B4-BE49-F238E27FC236}">
              <a16:creationId xmlns:a16="http://schemas.microsoft.com/office/drawing/2014/main" id="{00000000-0008-0000-0700-000069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6" name="Gefaltete Ecke 75">
          <a:extLst>
            <a:ext uri="{FF2B5EF4-FFF2-40B4-BE49-F238E27FC236}">
              <a16:creationId xmlns:a16="http://schemas.microsoft.com/office/drawing/2014/main" id="{00000000-0008-0000-0700-00006A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7" name="Gefaltete Ecke 75">
          <a:extLst>
            <a:ext uri="{FF2B5EF4-FFF2-40B4-BE49-F238E27FC236}">
              <a16:creationId xmlns:a16="http://schemas.microsoft.com/office/drawing/2014/main" id="{00000000-0008-0000-0700-00006B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233362</xdr:colOff>
      <xdr:row>10</xdr:row>
      <xdr:rowOff>933450</xdr:rowOff>
    </xdr:from>
    <xdr:ext cx="1145891" cy="790576"/>
    <xdr:sp macro="" textlink="" fLocksText="0">
      <xdr:nvSpPr>
        <xdr:cNvPr id="108" name="Gefaltete Ecke 75">
          <a:extLst>
            <a:ext uri="{FF2B5EF4-FFF2-40B4-BE49-F238E27FC236}">
              <a16:creationId xmlns:a16="http://schemas.microsoft.com/office/drawing/2014/main" id="{00000000-0008-0000-0700-00006C000000}"/>
            </a:ext>
          </a:extLst>
        </xdr:cNvPr>
        <xdr:cNvSpPr/>
      </xdr:nvSpPr>
      <xdr:spPr>
        <a:xfrm>
          <a:off x="8672512" y="855345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1452562</xdr:colOff>
      <xdr:row>7</xdr:row>
      <xdr:rowOff>304800</xdr:rowOff>
    </xdr:from>
    <xdr:ext cx="1145891" cy="790576"/>
    <xdr:sp macro="" textlink="" fLocksText="0">
      <xdr:nvSpPr>
        <xdr:cNvPr id="109" name="Gefaltete Ecke 75">
          <a:extLst>
            <a:ext uri="{FF2B5EF4-FFF2-40B4-BE49-F238E27FC236}">
              <a16:creationId xmlns:a16="http://schemas.microsoft.com/office/drawing/2014/main" id="{00000000-0008-0000-0700-00006D000000}"/>
            </a:ext>
          </a:extLst>
        </xdr:cNvPr>
        <xdr:cNvSpPr/>
      </xdr:nvSpPr>
      <xdr:spPr>
        <a:xfrm>
          <a:off x="9891712" y="220980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4</xdr:col>
      <xdr:colOff>252412</xdr:colOff>
      <xdr:row>7</xdr:row>
      <xdr:rowOff>857250</xdr:rowOff>
    </xdr:from>
    <xdr:ext cx="1145891" cy="790576"/>
    <xdr:sp macro="" textlink="" fLocksText="0">
      <xdr:nvSpPr>
        <xdr:cNvPr id="110" name="Gefaltete Ecke 75">
          <a:extLst>
            <a:ext uri="{FF2B5EF4-FFF2-40B4-BE49-F238E27FC236}">
              <a16:creationId xmlns:a16="http://schemas.microsoft.com/office/drawing/2014/main" id="{00000000-0008-0000-0700-00006E000000}"/>
            </a:ext>
          </a:extLst>
        </xdr:cNvPr>
        <xdr:cNvSpPr/>
      </xdr:nvSpPr>
      <xdr:spPr>
        <a:xfrm>
          <a:off x="8691562" y="2819400"/>
          <a:ext cx="1145891" cy="790576"/>
        </a:xfrm>
        <a:prstGeom prst="foldedCorner">
          <a:avLst/>
        </a:prstGeom>
        <a:solidFill>
          <a:schemeClr val="accent3">
            <a:lumMod val="20000"/>
            <a:lumOff val="80000"/>
          </a:schemeClr>
        </a:solidFill>
        <a:ln>
          <a:solidFill>
            <a:schemeClr val="accent3">
              <a:lumMod val="7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1" name="Gefaltete Ecke 75">
          <a:extLst>
            <a:ext uri="{FF2B5EF4-FFF2-40B4-BE49-F238E27FC236}">
              <a16:creationId xmlns:a16="http://schemas.microsoft.com/office/drawing/2014/main" id="{00000000-0008-0000-0700-00006F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2" name="Gefaltete Ecke 75">
          <a:extLst>
            <a:ext uri="{FF2B5EF4-FFF2-40B4-BE49-F238E27FC236}">
              <a16:creationId xmlns:a16="http://schemas.microsoft.com/office/drawing/2014/main" id="{00000000-0008-0000-0700-000070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3" name="Gefaltete Ecke 75">
          <a:extLst>
            <a:ext uri="{FF2B5EF4-FFF2-40B4-BE49-F238E27FC236}">
              <a16:creationId xmlns:a16="http://schemas.microsoft.com/office/drawing/2014/main" id="{00000000-0008-0000-0700-000071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4" name="Gefaltete Ecke 75">
          <a:extLst>
            <a:ext uri="{FF2B5EF4-FFF2-40B4-BE49-F238E27FC236}">
              <a16:creationId xmlns:a16="http://schemas.microsoft.com/office/drawing/2014/main" id="{00000000-0008-0000-0700-000072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5" name="Gefaltete Ecke 75">
          <a:extLst>
            <a:ext uri="{FF2B5EF4-FFF2-40B4-BE49-F238E27FC236}">
              <a16:creationId xmlns:a16="http://schemas.microsoft.com/office/drawing/2014/main" id="{00000000-0008-0000-0700-000073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6" name="Gefaltete Ecke 75">
          <a:extLst>
            <a:ext uri="{FF2B5EF4-FFF2-40B4-BE49-F238E27FC236}">
              <a16:creationId xmlns:a16="http://schemas.microsoft.com/office/drawing/2014/main" id="{00000000-0008-0000-0700-000074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7" name="Gefaltete Ecke 75">
          <a:extLst>
            <a:ext uri="{FF2B5EF4-FFF2-40B4-BE49-F238E27FC236}">
              <a16:creationId xmlns:a16="http://schemas.microsoft.com/office/drawing/2014/main" id="{00000000-0008-0000-0700-000075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8" name="Gefaltete Ecke 75">
          <a:extLst>
            <a:ext uri="{FF2B5EF4-FFF2-40B4-BE49-F238E27FC236}">
              <a16:creationId xmlns:a16="http://schemas.microsoft.com/office/drawing/2014/main" id="{00000000-0008-0000-0700-000076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19" name="Gefaltete Ecke 75">
          <a:extLst>
            <a:ext uri="{FF2B5EF4-FFF2-40B4-BE49-F238E27FC236}">
              <a16:creationId xmlns:a16="http://schemas.microsoft.com/office/drawing/2014/main" id="{00000000-0008-0000-0700-000077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20" name="Gefaltete Ecke 75">
          <a:extLst>
            <a:ext uri="{FF2B5EF4-FFF2-40B4-BE49-F238E27FC236}">
              <a16:creationId xmlns:a16="http://schemas.microsoft.com/office/drawing/2014/main" id="{00000000-0008-0000-0700-000078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21" name="Gefaltete Ecke 75">
          <a:extLst>
            <a:ext uri="{FF2B5EF4-FFF2-40B4-BE49-F238E27FC236}">
              <a16:creationId xmlns:a16="http://schemas.microsoft.com/office/drawing/2014/main" id="{00000000-0008-0000-0700-000079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22" name="Gefaltete Ecke 75">
          <a:extLst>
            <a:ext uri="{FF2B5EF4-FFF2-40B4-BE49-F238E27FC236}">
              <a16:creationId xmlns:a16="http://schemas.microsoft.com/office/drawing/2014/main" id="{00000000-0008-0000-0700-00007A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23" name="Gefaltete Ecke 75">
          <a:extLst>
            <a:ext uri="{FF2B5EF4-FFF2-40B4-BE49-F238E27FC236}">
              <a16:creationId xmlns:a16="http://schemas.microsoft.com/office/drawing/2014/main" id="{00000000-0008-0000-0700-00007B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179042</xdr:colOff>
      <xdr:row>10</xdr:row>
      <xdr:rowOff>933450</xdr:rowOff>
    </xdr:from>
    <xdr:ext cx="1145891" cy="790576"/>
    <xdr:sp macro="" textlink="" fLocksText="0">
      <xdr:nvSpPr>
        <xdr:cNvPr id="124" name="Gefaltete Ecke 75">
          <a:extLst>
            <a:ext uri="{FF2B5EF4-FFF2-40B4-BE49-F238E27FC236}">
              <a16:creationId xmlns:a16="http://schemas.microsoft.com/office/drawing/2014/main" id="{00000000-0008-0000-0700-00007C000000}"/>
            </a:ext>
          </a:extLst>
        </xdr:cNvPr>
        <xdr:cNvSpPr/>
      </xdr:nvSpPr>
      <xdr:spPr>
        <a:xfrm>
          <a:off x="11256617" y="8610600"/>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283817</xdr:colOff>
      <xdr:row>7</xdr:row>
      <xdr:rowOff>1362075</xdr:rowOff>
    </xdr:from>
    <xdr:ext cx="1145891" cy="790576"/>
    <xdr:sp macro="" textlink="" fLocksText="0">
      <xdr:nvSpPr>
        <xdr:cNvPr id="125" name="Gefaltete Ecke 75">
          <a:extLst>
            <a:ext uri="{FF2B5EF4-FFF2-40B4-BE49-F238E27FC236}">
              <a16:creationId xmlns:a16="http://schemas.microsoft.com/office/drawing/2014/main" id="{00000000-0008-0000-0700-00007D000000}"/>
            </a:ext>
          </a:extLst>
        </xdr:cNvPr>
        <xdr:cNvSpPr/>
      </xdr:nvSpPr>
      <xdr:spPr>
        <a:xfrm>
          <a:off x="11361392" y="3324225"/>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oneCellAnchor>
    <xdr:from>
      <xdr:col>5</xdr:col>
      <xdr:colOff>1045817</xdr:colOff>
      <xdr:row>7</xdr:row>
      <xdr:rowOff>229882</xdr:rowOff>
    </xdr:from>
    <xdr:ext cx="1145891" cy="790576"/>
    <xdr:sp macro="" textlink="" fLocksText="0">
      <xdr:nvSpPr>
        <xdr:cNvPr id="126" name="Gefaltete Ecke 75">
          <a:extLst>
            <a:ext uri="{FF2B5EF4-FFF2-40B4-BE49-F238E27FC236}">
              <a16:creationId xmlns:a16="http://schemas.microsoft.com/office/drawing/2014/main" id="{00000000-0008-0000-0700-00007E000000}"/>
            </a:ext>
          </a:extLst>
        </xdr:cNvPr>
        <xdr:cNvSpPr/>
      </xdr:nvSpPr>
      <xdr:spPr>
        <a:xfrm>
          <a:off x="12123392" y="2134882"/>
          <a:ext cx="1145891" cy="790576"/>
        </a:xfrm>
        <a:prstGeom prst="foldedCorner">
          <a:avLst/>
        </a:prstGeom>
        <a:solidFill>
          <a:schemeClr val="bg1">
            <a:lumMod val="95000"/>
          </a:schemeClr>
        </a:solidFill>
        <a:ln>
          <a:solidFill>
            <a:schemeClr val="bg1">
              <a:lumMod val="65000"/>
            </a:schemeClr>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36000" rIns="36000" bIns="0" numCol="1" spcCol="0" rtlCol="0" fromWordArt="0" anchor="t" anchorCtr="0" forceAA="0" compatLnSpc="1">
          <a:prstTxWarp prst="textNoShape">
            <a:avLst/>
          </a:prstTxWarp>
          <a:noAutofit/>
        </a:bodyPr>
        <a:lstStyle/>
        <a:p>
          <a:pPr algn="l"/>
          <a:r>
            <a:rPr lang="en-US" sz="900" b="0" i="0" u="none" strike="noStrike">
              <a:solidFill>
                <a:srgbClr val="000000"/>
              </a:solidFill>
              <a:latin typeface="Calibri Light" panose="020F0302020204030204" pitchFamily="34" charset="0"/>
              <a:cs typeface="Calibri Light" panose="020F0302020204030204" pitchFamily="34" charset="0"/>
            </a:rPr>
            <a:t>Dies ist ein Text</a:t>
          </a:r>
        </a:p>
      </xdr:txBody>
    </xdr:sp>
    <xdr:clientData fLocksWithSheet="0"/>
  </xdr:oneCellAnchor>
  <xdr:twoCellAnchor editAs="absolute">
    <xdr:from>
      <xdr:col>1</xdr:col>
      <xdr:colOff>14288</xdr:colOff>
      <xdr:row>0</xdr:row>
      <xdr:rowOff>114299</xdr:rowOff>
    </xdr:from>
    <xdr:to>
      <xdr:col>1</xdr:col>
      <xdr:colOff>1448845</xdr:colOff>
      <xdr:row>0</xdr:row>
      <xdr:rowOff>546299</xdr:rowOff>
    </xdr:to>
    <xdr:sp macro="" textlink="">
      <xdr:nvSpPr>
        <xdr:cNvPr id="19" name="Rechteck: obere Ecken abgerundet 13">
          <a:hlinkClick xmlns:r="http://schemas.openxmlformats.org/officeDocument/2006/relationships" r:id="rId8" tooltip="Go to"/>
          <a:extLst>
            <a:ext uri="{FF2B5EF4-FFF2-40B4-BE49-F238E27FC236}">
              <a16:creationId xmlns:a16="http://schemas.microsoft.com/office/drawing/2014/main" id="{00000000-0008-0000-0700-000013000000}"/>
            </a:ext>
          </a:extLst>
        </xdr:cNvPr>
        <xdr:cNvSpPr/>
      </xdr:nvSpPr>
      <xdr:spPr>
        <a:xfrm>
          <a:off x="538163" y="114299"/>
          <a:ext cx="1434557"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clientData fPrintsWithSheet="0"/>
  </xdr:twoCellAnchor>
  <xdr:twoCellAnchor editAs="absolute">
    <xdr:from>
      <xdr:col>1</xdr:col>
      <xdr:colOff>1502131</xdr:colOff>
      <xdr:row>0</xdr:row>
      <xdr:rowOff>114299</xdr:rowOff>
    </xdr:from>
    <xdr:to>
      <xdr:col>2</xdr:col>
      <xdr:colOff>303706</xdr:colOff>
      <xdr:row>0</xdr:row>
      <xdr:rowOff>546299</xdr:rowOff>
    </xdr:to>
    <xdr:sp macro="" textlink="' '!A42">
      <xdr:nvSpPr>
        <xdr:cNvPr id="20" name="Rechteck: obere Ecken abgerundet 14">
          <a:hlinkClick xmlns:r="http://schemas.openxmlformats.org/officeDocument/2006/relationships" r:id="rId9" tooltip="Go to"/>
          <a:extLst>
            <a:ext uri="{FF2B5EF4-FFF2-40B4-BE49-F238E27FC236}">
              <a16:creationId xmlns:a16="http://schemas.microsoft.com/office/drawing/2014/main" id="{00000000-0008-0000-0700-000014000000}"/>
            </a:ext>
          </a:extLst>
        </xdr:cNvPr>
        <xdr:cNvSpPr/>
      </xdr:nvSpPr>
      <xdr:spPr>
        <a:xfrm>
          <a:off x="2026006" y="114299"/>
          <a:ext cx="1440000"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2</xdr:col>
      <xdr:colOff>356992</xdr:colOff>
      <xdr:row>0</xdr:row>
      <xdr:rowOff>114299</xdr:rowOff>
    </xdr:from>
    <xdr:to>
      <xdr:col>2</xdr:col>
      <xdr:colOff>1796992</xdr:colOff>
      <xdr:row>0</xdr:row>
      <xdr:rowOff>546299</xdr:rowOff>
    </xdr:to>
    <xdr:sp macro="" textlink="' '!A99">
      <xdr:nvSpPr>
        <xdr:cNvPr id="21" name="Rechteck: obere Ecken abgerundet 15">
          <a:hlinkClick xmlns:r="http://schemas.openxmlformats.org/officeDocument/2006/relationships" r:id="rId10" tooltip="Go to"/>
          <a:extLst>
            <a:ext uri="{FF2B5EF4-FFF2-40B4-BE49-F238E27FC236}">
              <a16:creationId xmlns:a16="http://schemas.microsoft.com/office/drawing/2014/main" id="{00000000-0008-0000-0700-000015000000}"/>
            </a:ext>
          </a:extLst>
        </xdr:cNvPr>
        <xdr:cNvSpPr/>
      </xdr:nvSpPr>
      <xdr:spPr>
        <a:xfrm>
          <a:off x="3519292" y="114299"/>
          <a:ext cx="1440000"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2</xdr:col>
      <xdr:colOff>1850278</xdr:colOff>
      <xdr:row>0</xdr:row>
      <xdr:rowOff>114299</xdr:rowOff>
    </xdr:from>
    <xdr:to>
      <xdr:col>3</xdr:col>
      <xdr:colOff>651853</xdr:colOff>
      <xdr:row>0</xdr:row>
      <xdr:rowOff>546299</xdr:rowOff>
    </xdr:to>
    <xdr:sp macro="" textlink="' '!A116">
      <xdr:nvSpPr>
        <xdr:cNvPr id="54" name="Rechteck: obere Ecken abgerundet 14">
          <a:hlinkClick xmlns:r="http://schemas.openxmlformats.org/officeDocument/2006/relationships" r:id="rId11" tooltip="Go to"/>
          <a:extLst>
            <a:ext uri="{FF2B5EF4-FFF2-40B4-BE49-F238E27FC236}">
              <a16:creationId xmlns:a16="http://schemas.microsoft.com/office/drawing/2014/main" id="{00000000-0008-0000-0700-000036000000}"/>
            </a:ext>
          </a:extLst>
        </xdr:cNvPr>
        <xdr:cNvSpPr/>
      </xdr:nvSpPr>
      <xdr:spPr>
        <a:xfrm>
          <a:off x="5012578" y="114299"/>
          <a:ext cx="1440000"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3</xdr:col>
      <xdr:colOff>2198424</xdr:colOff>
      <xdr:row>0</xdr:row>
      <xdr:rowOff>114299</xdr:rowOff>
    </xdr:from>
    <xdr:to>
      <xdr:col>4</xdr:col>
      <xdr:colOff>999999</xdr:colOff>
      <xdr:row>0</xdr:row>
      <xdr:rowOff>546299</xdr:rowOff>
    </xdr:to>
    <xdr:sp macro="" textlink="' '!A105">
      <xdr:nvSpPr>
        <xdr:cNvPr id="55" name="Rechteck: obere Ecken abgerundet 14">
          <a:hlinkClick xmlns:r="http://schemas.openxmlformats.org/officeDocument/2006/relationships" r:id="rId12" tooltip="Go to"/>
          <a:extLst>
            <a:ext uri="{FF2B5EF4-FFF2-40B4-BE49-F238E27FC236}">
              <a16:creationId xmlns:a16="http://schemas.microsoft.com/office/drawing/2014/main" id="{00000000-0008-0000-0700-000037000000}"/>
            </a:ext>
          </a:extLst>
        </xdr:cNvPr>
        <xdr:cNvSpPr/>
      </xdr:nvSpPr>
      <xdr:spPr>
        <a:xfrm>
          <a:off x="7999149" y="114299"/>
          <a:ext cx="1440000"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7DC177B-452E-472F-9108-CE32008F6BD2}"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Retrospective</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4</xdr:col>
      <xdr:colOff>1053283</xdr:colOff>
      <xdr:row>0</xdr:row>
      <xdr:rowOff>114299</xdr:rowOff>
    </xdr:from>
    <xdr:to>
      <xdr:col>4</xdr:col>
      <xdr:colOff>2486479</xdr:colOff>
      <xdr:row>0</xdr:row>
      <xdr:rowOff>546299</xdr:rowOff>
    </xdr:to>
    <xdr:sp macro="" textlink="' '!A106">
      <xdr:nvSpPr>
        <xdr:cNvPr id="56" name="Rechteck: obere Ecken abgerundet 14">
          <a:hlinkClick xmlns:r="http://schemas.openxmlformats.org/officeDocument/2006/relationships" r:id="rId13" tooltip="Go to"/>
          <a:extLst>
            <a:ext uri="{FF2B5EF4-FFF2-40B4-BE49-F238E27FC236}">
              <a16:creationId xmlns:a16="http://schemas.microsoft.com/office/drawing/2014/main" id="{00000000-0008-0000-0700-000038000000}"/>
            </a:ext>
          </a:extLst>
        </xdr:cNvPr>
        <xdr:cNvSpPr/>
      </xdr:nvSpPr>
      <xdr:spPr>
        <a:xfrm>
          <a:off x="9492433" y="114299"/>
          <a:ext cx="1433196" cy="432000"/>
        </a:xfrm>
        <a:prstGeom prst="round2SameRect">
          <a:avLst/>
        </a:prstGeom>
        <a:gradFill>
          <a:gsLst>
            <a:gs pos="0">
              <a:srgbClr val="89A0C5"/>
            </a:gs>
            <a:gs pos="80000">
              <a:srgbClr val="B4C2DA"/>
            </a:gs>
            <a:gs pos="100000">
              <a:srgbClr val="C7D1E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8E698A1C-FD08-49E8-8BA5-DB8A7F92BAF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Increment</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3</xdr:col>
      <xdr:colOff>705139</xdr:colOff>
      <xdr:row>0</xdr:row>
      <xdr:rowOff>114299</xdr:rowOff>
    </xdr:from>
    <xdr:to>
      <xdr:col>3</xdr:col>
      <xdr:colOff>2145139</xdr:colOff>
      <xdr:row>0</xdr:row>
      <xdr:rowOff>546299</xdr:rowOff>
    </xdr:to>
    <xdr:sp macro="" textlink="' '!A102">
      <xdr:nvSpPr>
        <xdr:cNvPr id="137" name="Rechteck: obere Ecken abgerundet 14">
          <a:hlinkClick xmlns:r="http://schemas.openxmlformats.org/officeDocument/2006/relationships" r:id="rId14" tooltip="Go to"/>
          <a:extLst>
            <a:ext uri="{FF2B5EF4-FFF2-40B4-BE49-F238E27FC236}">
              <a16:creationId xmlns:a16="http://schemas.microsoft.com/office/drawing/2014/main" id="{00000000-0008-0000-0700-000089000000}"/>
            </a:ext>
          </a:extLst>
        </xdr:cNvPr>
        <xdr:cNvSpPr/>
      </xdr:nvSpPr>
      <xdr:spPr>
        <a:xfrm>
          <a:off x="6505864" y="114299"/>
          <a:ext cx="1440000" cy="432000"/>
        </a:xfrm>
        <a:prstGeom prst="round2SameRect">
          <a:avLst/>
        </a:prstGeom>
        <a:gradFill>
          <a:gsLst>
            <a:gs pos="0">
              <a:srgbClr val="6C88B7"/>
            </a:gs>
            <a:gs pos="80000">
              <a:srgbClr val="89A0C5"/>
            </a:gs>
            <a:gs pos="100000">
              <a:srgbClr val="A5B7D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E3A21285-16A6-4B9D-8378-81F287973AD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Review</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xdr:from>
      <xdr:col>0</xdr:col>
      <xdr:colOff>95250</xdr:colOff>
      <xdr:row>4</xdr:row>
      <xdr:rowOff>22622</xdr:rowOff>
    </xdr:from>
    <xdr:to>
      <xdr:col>0</xdr:col>
      <xdr:colOff>417978</xdr:colOff>
      <xdr:row>4</xdr:row>
      <xdr:rowOff>348087</xdr:rowOff>
    </xdr:to>
    <xdr:grpSp>
      <xdr:nvGrpSpPr>
        <xdr:cNvPr id="8" name="Gruppieren 7">
          <a:hlinkClick xmlns:r="http://schemas.openxmlformats.org/officeDocument/2006/relationships" r:id="rId15" tooltip="Different Analyses"/>
          <a:extLst>
            <a:ext uri="{FF2B5EF4-FFF2-40B4-BE49-F238E27FC236}">
              <a16:creationId xmlns:a16="http://schemas.microsoft.com/office/drawing/2014/main" id="{00000000-0008-0000-0700-000008000000}"/>
            </a:ext>
          </a:extLst>
        </xdr:cNvPr>
        <xdr:cNvGrpSpPr/>
      </xdr:nvGrpSpPr>
      <xdr:grpSpPr>
        <a:xfrm>
          <a:off x="95250" y="1218962"/>
          <a:ext cx="322728" cy="325465"/>
          <a:chOff x="95250" y="1215628"/>
          <a:chExt cx="322728" cy="325465"/>
        </a:xfrm>
      </xdr:grpSpPr>
      <xdr:sp macro="" textlink="">
        <xdr:nvSpPr>
          <xdr:cNvPr id="128" name="Rechteck 127">
            <a:extLst>
              <a:ext uri="{FF2B5EF4-FFF2-40B4-BE49-F238E27FC236}">
                <a16:creationId xmlns:a16="http://schemas.microsoft.com/office/drawing/2014/main" id="{00000000-0008-0000-0700-000080000000}"/>
              </a:ext>
            </a:extLst>
          </xdr:cNvPr>
          <xdr:cNvSpPr>
            <a:spLocks noChangeAspect="1"/>
          </xdr:cNvSpPr>
        </xdr:nvSpPr>
        <xdr:spPr>
          <a:xfrm>
            <a:off x="95250" y="1215628"/>
            <a:ext cx="322728" cy="325465"/>
          </a:xfrm>
          <a:prstGeom prst="rect">
            <a:avLst/>
          </a:prstGeom>
          <a:gradFill>
            <a:gsLst>
              <a:gs pos="0">
                <a:srgbClr val="6C88B7"/>
              </a:gs>
              <a:gs pos="80000">
                <a:srgbClr val="7691BC"/>
              </a:gs>
              <a:gs pos="100000">
                <a:srgbClr val="839BC3"/>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9" name="Freeform 969">
            <a:extLst>
              <a:ext uri="{FF2B5EF4-FFF2-40B4-BE49-F238E27FC236}">
                <a16:creationId xmlns:a16="http://schemas.microsoft.com/office/drawing/2014/main" id="{00000000-0008-0000-0700-000081000000}"/>
              </a:ext>
            </a:extLst>
          </xdr:cNvPr>
          <xdr:cNvSpPr>
            <a:spLocks noChangeAspect="1" noChangeArrowheads="1"/>
          </xdr:cNvSpPr>
        </xdr:nvSpPr>
        <xdr:spPr bwMode="auto">
          <a:xfrm>
            <a:off x="151839" y="1258974"/>
            <a:ext cx="209550" cy="238772"/>
          </a:xfrm>
          <a:custGeom>
            <a:avLst/>
            <a:gdLst>
              <a:gd name="T0" fmla="*/ 716677 w 256815"/>
              <a:gd name="T1" fmla="*/ 4947853 h 293327"/>
              <a:gd name="T2" fmla="*/ 1369698 w 256815"/>
              <a:gd name="T3" fmla="*/ 4567981 h 293327"/>
              <a:gd name="T4" fmla="*/ 1085783 w 256815"/>
              <a:gd name="T5" fmla="*/ 4195282 h 293327"/>
              <a:gd name="T6" fmla="*/ 1547187 w 256815"/>
              <a:gd name="T7" fmla="*/ 4998031 h 293327"/>
              <a:gd name="T8" fmla="*/ 1043188 w 256815"/>
              <a:gd name="T9" fmla="*/ 5327736 h 293327"/>
              <a:gd name="T10" fmla="*/ 539234 w 256815"/>
              <a:gd name="T11" fmla="*/ 4998031 h 293327"/>
              <a:gd name="T12" fmla="*/ 1000601 w 256815"/>
              <a:gd name="T13" fmla="*/ 4195282 h 293327"/>
              <a:gd name="T14" fmla="*/ 2212240 w 256815"/>
              <a:gd name="T15" fmla="*/ 4292229 h 293327"/>
              <a:gd name="T16" fmla="*/ 3459299 w 256815"/>
              <a:gd name="T17" fmla="*/ 2906367 h 293327"/>
              <a:gd name="T18" fmla="*/ 2212240 w 256815"/>
              <a:gd name="T19" fmla="*/ 1506311 h 293327"/>
              <a:gd name="T20" fmla="*/ 557289 w 256815"/>
              <a:gd name="T21" fmla="*/ 1661828 h 293327"/>
              <a:gd name="T22" fmla="*/ 557289 w 256815"/>
              <a:gd name="T23" fmla="*/ 4043965 h 293327"/>
              <a:gd name="T24" fmla="*/ 1907743 w 256815"/>
              <a:gd name="T25" fmla="*/ 4757198 h 293327"/>
              <a:gd name="T26" fmla="*/ 1500470 w 256815"/>
              <a:gd name="T27" fmla="*/ 1740250 h 293327"/>
              <a:gd name="T28" fmla="*/ 1557636 w 256815"/>
              <a:gd name="T29" fmla="*/ 249684 h 293327"/>
              <a:gd name="T30" fmla="*/ 1093210 w 256815"/>
              <a:gd name="T31" fmla="*/ 1390795 h 293327"/>
              <a:gd name="T32" fmla="*/ 543000 w 256815"/>
              <a:gd name="T33" fmla="*/ 1069848 h 293327"/>
              <a:gd name="T34" fmla="*/ 678813 w 256815"/>
              <a:gd name="T35" fmla="*/ 28544 h 293327"/>
              <a:gd name="T36" fmla="*/ 1050341 w 256815"/>
              <a:gd name="T37" fmla="*/ 1212485 h 293327"/>
              <a:gd name="T38" fmla="*/ 1414737 w 256815"/>
              <a:gd name="T39" fmla="*/ 28544 h 293327"/>
              <a:gd name="T40" fmla="*/ 1664802 w 256815"/>
              <a:gd name="T41" fmla="*/ 1775929 h 293327"/>
              <a:gd name="T42" fmla="*/ 1050341 w 256815"/>
              <a:gd name="T43" fmla="*/ 5798487 h 293327"/>
              <a:gd name="T44" fmla="*/ 421598 w 256815"/>
              <a:gd name="T45" fmla="*/ 1775929 h 293327"/>
              <a:gd name="T46" fmla="*/ 2084769 w 256815"/>
              <a:gd name="T47" fmla="*/ 0 h 293327"/>
              <a:gd name="T48" fmla="*/ 2653782 w 256815"/>
              <a:gd name="T49" fmla="*/ 532641 h 293327"/>
              <a:gd name="T50" fmla="*/ 3309210 w 256815"/>
              <a:gd name="T51" fmla="*/ 262747 h 293327"/>
              <a:gd name="T52" fmla="*/ 3935843 w 256815"/>
              <a:gd name="T53" fmla="*/ 809690 h 293327"/>
              <a:gd name="T54" fmla="*/ 4310386 w 256815"/>
              <a:gd name="T55" fmla="*/ 1179009 h 293327"/>
              <a:gd name="T56" fmla="*/ 4843358 w 256815"/>
              <a:gd name="T57" fmla="*/ 1626464 h 293327"/>
              <a:gd name="T58" fmla="*/ 4490414 w 256815"/>
              <a:gd name="T59" fmla="*/ 2088086 h 293327"/>
              <a:gd name="T60" fmla="*/ 5131496 w 256815"/>
              <a:gd name="T61" fmla="*/ 2670486 h 293327"/>
              <a:gd name="T62" fmla="*/ 4591266 w 256815"/>
              <a:gd name="T63" fmla="*/ 3323903 h 293327"/>
              <a:gd name="T64" fmla="*/ 4843358 w 256815"/>
              <a:gd name="T65" fmla="*/ 4140674 h 293327"/>
              <a:gd name="T66" fmla="*/ 4310386 w 256815"/>
              <a:gd name="T67" fmla="*/ 4595220 h 293327"/>
              <a:gd name="T68" fmla="*/ 3935843 w 256815"/>
              <a:gd name="T69" fmla="*/ 4964558 h 293327"/>
              <a:gd name="T70" fmla="*/ 3309210 w 256815"/>
              <a:gd name="T71" fmla="*/ 5511442 h 293327"/>
              <a:gd name="T72" fmla="*/ 2653782 w 256815"/>
              <a:gd name="T73" fmla="*/ 5234445 h 293327"/>
              <a:gd name="T74" fmla="*/ 2084769 w 256815"/>
              <a:gd name="T75" fmla="*/ 5767122 h 293327"/>
              <a:gd name="T76" fmla="*/ 2423295 w 256815"/>
              <a:gd name="T77" fmla="*/ 5589582 h 293327"/>
              <a:gd name="T78" fmla="*/ 2545769 w 256815"/>
              <a:gd name="T79" fmla="*/ 5071109 h 293327"/>
              <a:gd name="T80" fmla="*/ 3316416 w 256815"/>
              <a:gd name="T81" fmla="*/ 5312585 h 293327"/>
              <a:gd name="T82" fmla="*/ 3770178 w 256815"/>
              <a:gd name="T83" fmla="*/ 5120829 h 293327"/>
              <a:gd name="T84" fmla="*/ 3611723 w 256815"/>
              <a:gd name="T85" fmla="*/ 4616526 h 293327"/>
              <a:gd name="T86" fmla="*/ 4403996 w 256815"/>
              <a:gd name="T87" fmla="*/ 4438985 h 293327"/>
              <a:gd name="T88" fmla="*/ 4684926 w 256815"/>
              <a:gd name="T89" fmla="*/ 4055459 h 293327"/>
              <a:gd name="T90" fmla="*/ 4339189 w 256815"/>
              <a:gd name="T91" fmla="*/ 3799780 h 293327"/>
              <a:gd name="T92" fmla="*/ 4519224 w 256815"/>
              <a:gd name="T93" fmla="*/ 3146360 h 293327"/>
              <a:gd name="T94" fmla="*/ 4951381 w 256815"/>
              <a:gd name="T95" fmla="*/ 2670486 h 293327"/>
              <a:gd name="T96" fmla="*/ 4425601 w 256815"/>
              <a:gd name="T97" fmla="*/ 2542652 h 293327"/>
              <a:gd name="T98" fmla="*/ 4670527 w 256815"/>
              <a:gd name="T99" fmla="*/ 1782706 h 293327"/>
              <a:gd name="T100" fmla="*/ 4476008 w 256815"/>
              <a:gd name="T101" fmla="*/ 1342367 h 293327"/>
              <a:gd name="T102" fmla="*/ 4079887 w 256815"/>
              <a:gd name="T103" fmla="*/ 1512807 h 293327"/>
              <a:gd name="T104" fmla="*/ 3590120 w 256815"/>
              <a:gd name="T105" fmla="*/ 1036980 h 293327"/>
              <a:gd name="T106" fmla="*/ 3395668 w 256815"/>
              <a:gd name="T107" fmla="*/ 440355 h 293327"/>
              <a:gd name="T108" fmla="*/ 3129148 w 256815"/>
              <a:gd name="T109" fmla="*/ 781276 h 293327"/>
              <a:gd name="T110" fmla="*/ 2473752 w 256815"/>
              <a:gd name="T111" fmla="*/ 603728 h 293327"/>
              <a:gd name="T112" fmla="*/ 2084769 w 256815"/>
              <a:gd name="T113" fmla="*/ 170505 h 293327"/>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Lst>
            <a:ahLst/>
            <a:cxnLst>
              <a:cxn ang="T114">
                <a:pos x="T0" y="T1"/>
              </a:cxn>
              <a:cxn ang="T115">
                <a:pos x="T2" y="T3"/>
              </a:cxn>
              <a:cxn ang="T116">
                <a:pos x="T4" y="T5"/>
              </a:cxn>
              <a:cxn ang="T117">
                <a:pos x="T6" y="T7"/>
              </a:cxn>
              <a:cxn ang="T118">
                <a:pos x="T8" y="T9"/>
              </a:cxn>
              <a:cxn ang="T119">
                <a:pos x="T10" y="T11"/>
              </a:cxn>
              <a:cxn ang="T120">
                <a:pos x="T12" y="T13"/>
              </a:cxn>
              <a:cxn ang="T121">
                <a:pos x="T14" y="T15"/>
              </a:cxn>
              <a:cxn ang="T122">
                <a:pos x="T16" y="T17"/>
              </a:cxn>
              <a:cxn ang="T123">
                <a:pos x="T18" y="T19"/>
              </a:cxn>
              <a:cxn ang="T124">
                <a:pos x="T20" y="T21"/>
              </a:cxn>
              <a:cxn ang="T125">
                <a:pos x="T22" y="T23"/>
              </a:cxn>
              <a:cxn ang="T126">
                <a:pos x="T24" y="T25"/>
              </a:cxn>
              <a:cxn ang="T127">
                <a:pos x="T26" y="T27"/>
              </a:cxn>
              <a:cxn ang="T128">
                <a:pos x="T28" y="T29"/>
              </a:cxn>
              <a:cxn ang="T129">
                <a:pos x="T30" y="T31"/>
              </a:cxn>
              <a:cxn ang="T130">
                <a:pos x="T32" y="T33"/>
              </a:cxn>
              <a:cxn ang="T131">
                <a:pos x="T34" y="T35"/>
              </a:cxn>
              <a:cxn ang="T132">
                <a:pos x="T36" y="T37"/>
              </a:cxn>
              <a:cxn ang="T133">
                <a:pos x="T38" y="T39"/>
              </a:cxn>
              <a:cxn ang="T134">
                <a:pos x="T40" y="T41"/>
              </a:cxn>
              <a:cxn ang="T135">
                <a:pos x="T42" y="T43"/>
              </a:cxn>
              <a:cxn ang="T136">
                <a:pos x="T44" y="T45"/>
              </a:cxn>
              <a:cxn ang="T137">
                <a:pos x="T46" y="T47"/>
              </a:cxn>
              <a:cxn ang="T138">
                <a:pos x="T48" y="T49"/>
              </a:cxn>
              <a:cxn ang="T139">
                <a:pos x="T50" y="T51"/>
              </a:cxn>
              <a:cxn ang="T140">
                <a:pos x="T52" y="T53"/>
              </a:cxn>
              <a:cxn ang="T141">
                <a:pos x="T54" y="T55"/>
              </a:cxn>
              <a:cxn ang="T142">
                <a:pos x="T56" y="T57"/>
              </a:cxn>
              <a:cxn ang="T143">
                <a:pos x="T58" y="T59"/>
              </a:cxn>
              <a:cxn ang="T144">
                <a:pos x="T60" y="T61"/>
              </a:cxn>
              <a:cxn ang="T145">
                <a:pos x="T62" y="T63"/>
              </a:cxn>
              <a:cxn ang="T146">
                <a:pos x="T64" y="T65"/>
              </a:cxn>
              <a:cxn ang="T147">
                <a:pos x="T66" y="T67"/>
              </a:cxn>
              <a:cxn ang="T148">
                <a:pos x="T68" y="T69"/>
              </a:cxn>
              <a:cxn ang="T149">
                <a:pos x="T70" y="T71"/>
              </a:cxn>
              <a:cxn ang="T150">
                <a:pos x="T72" y="T73"/>
              </a:cxn>
              <a:cxn ang="T151">
                <a:pos x="T74" y="T75"/>
              </a:cxn>
              <a:cxn ang="T152">
                <a:pos x="T76" y="T77"/>
              </a:cxn>
              <a:cxn ang="T153">
                <a:pos x="T78" y="T79"/>
              </a:cxn>
              <a:cxn ang="T154">
                <a:pos x="T80" y="T81"/>
              </a:cxn>
              <a:cxn ang="T155">
                <a:pos x="T82" y="T83"/>
              </a:cxn>
              <a:cxn ang="T156">
                <a:pos x="T84" y="T85"/>
              </a:cxn>
              <a:cxn ang="T157">
                <a:pos x="T86" y="T87"/>
              </a:cxn>
              <a:cxn ang="T158">
                <a:pos x="T88" y="T89"/>
              </a:cxn>
              <a:cxn ang="T159">
                <a:pos x="T90" y="T91"/>
              </a:cxn>
              <a:cxn ang="T160">
                <a:pos x="T92" y="T93"/>
              </a:cxn>
              <a:cxn ang="T161">
                <a:pos x="T94" y="T95"/>
              </a:cxn>
              <a:cxn ang="T162">
                <a:pos x="T96" y="T97"/>
              </a:cxn>
              <a:cxn ang="T163">
                <a:pos x="T98" y="T99"/>
              </a:cxn>
              <a:cxn ang="T164">
                <a:pos x="T100" y="T101"/>
              </a:cxn>
              <a:cxn ang="T165">
                <a:pos x="T102" y="T103"/>
              </a:cxn>
              <a:cxn ang="T166">
                <a:pos x="T104" y="T105"/>
              </a:cxn>
              <a:cxn ang="T167">
                <a:pos x="T106" y="T107"/>
              </a:cxn>
              <a:cxn ang="T168">
                <a:pos x="T108" y="T109"/>
              </a:cxn>
              <a:cxn ang="T169">
                <a:pos x="T110" y="T111"/>
              </a:cxn>
              <a:cxn ang="T170">
                <a:pos x="T112" y="T113"/>
              </a:cxn>
            </a:cxnLst>
            <a:rect l="0" t="0" r="r" b="b"/>
            <a:pathLst>
              <a:path w="256815" h="293327">
                <a:moveTo>
                  <a:pt x="52209" y="221290"/>
                </a:moveTo>
                <a:lnTo>
                  <a:pt x="35868" y="231080"/>
                </a:lnTo>
                <a:lnTo>
                  <a:pt x="35868" y="250296"/>
                </a:lnTo>
                <a:lnTo>
                  <a:pt x="52209" y="259723"/>
                </a:lnTo>
                <a:lnTo>
                  <a:pt x="68550" y="250296"/>
                </a:lnTo>
                <a:lnTo>
                  <a:pt x="68550" y="231080"/>
                </a:lnTo>
                <a:lnTo>
                  <a:pt x="52209" y="221290"/>
                </a:lnTo>
                <a:close/>
                <a:moveTo>
                  <a:pt x="50078" y="212226"/>
                </a:moveTo>
                <a:cubicBezTo>
                  <a:pt x="51143" y="211138"/>
                  <a:pt x="52564" y="211138"/>
                  <a:pt x="54341" y="212226"/>
                </a:cubicBezTo>
                <a:lnTo>
                  <a:pt x="74945" y="224553"/>
                </a:lnTo>
                <a:cubicBezTo>
                  <a:pt x="76366" y="225278"/>
                  <a:pt x="77432" y="226366"/>
                  <a:pt x="77432" y="228179"/>
                </a:cubicBezTo>
                <a:lnTo>
                  <a:pt x="77432" y="252834"/>
                </a:lnTo>
                <a:cubicBezTo>
                  <a:pt x="77432" y="254284"/>
                  <a:pt x="76366" y="255735"/>
                  <a:pt x="74945" y="256460"/>
                </a:cubicBezTo>
                <a:lnTo>
                  <a:pt x="54341" y="268787"/>
                </a:lnTo>
                <a:cubicBezTo>
                  <a:pt x="53630" y="269150"/>
                  <a:pt x="52564" y="269512"/>
                  <a:pt x="52209" y="269512"/>
                </a:cubicBezTo>
                <a:cubicBezTo>
                  <a:pt x="51143" y="269512"/>
                  <a:pt x="50433" y="269150"/>
                  <a:pt x="50078" y="268787"/>
                </a:cubicBezTo>
                <a:lnTo>
                  <a:pt x="29473" y="256460"/>
                </a:lnTo>
                <a:cubicBezTo>
                  <a:pt x="27697" y="255735"/>
                  <a:pt x="26987" y="254284"/>
                  <a:pt x="26987" y="252834"/>
                </a:cubicBezTo>
                <a:lnTo>
                  <a:pt x="26987" y="228179"/>
                </a:lnTo>
                <a:cubicBezTo>
                  <a:pt x="26987" y="226366"/>
                  <a:pt x="27697" y="225278"/>
                  <a:pt x="29473" y="224553"/>
                </a:cubicBezTo>
                <a:lnTo>
                  <a:pt x="50078" y="212226"/>
                </a:lnTo>
                <a:close/>
                <a:moveTo>
                  <a:pt x="110717" y="76200"/>
                </a:moveTo>
                <a:cubicBezTo>
                  <a:pt x="150268" y="76200"/>
                  <a:pt x="182199" y="107478"/>
                  <a:pt x="182199" y="147024"/>
                </a:cubicBezTo>
                <a:cubicBezTo>
                  <a:pt x="182199" y="185492"/>
                  <a:pt x="150268" y="217129"/>
                  <a:pt x="110717" y="217129"/>
                </a:cubicBezTo>
                <a:cubicBezTo>
                  <a:pt x="108539" y="217129"/>
                  <a:pt x="106362" y="215331"/>
                  <a:pt x="106362" y="212814"/>
                </a:cubicBezTo>
                <a:cubicBezTo>
                  <a:pt x="106362" y="210298"/>
                  <a:pt x="108539" y="208500"/>
                  <a:pt x="110717" y="208500"/>
                </a:cubicBezTo>
                <a:cubicBezTo>
                  <a:pt x="145188" y="208500"/>
                  <a:pt x="173128" y="180818"/>
                  <a:pt x="173128" y="147024"/>
                </a:cubicBezTo>
                <a:cubicBezTo>
                  <a:pt x="173128" y="112870"/>
                  <a:pt x="145188" y="85188"/>
                  <a:pt x="110717" y="85188"/>
                </a:cubicBezTo>
                <a:cubicBezTo>
                  <a:pt x="108539" y="85188"/>
                  <a:pt x="106362" y="82671"/>
                  <a:pt x="106362" y="80155"/>
                </a:cubicBezTo>
                <a:cubicBezTo>
                  <a:pt x="106362" y="77638"/>
                  <a:pt x="108539" y="76200"/>
                  <a:pt x="110717" y="76200"/>
                </a:cubicBezTo>
                <a:close/>
                <a:moveTo>
                  <a:pt x="27177" y="12628"/>
                </a:moveTo>
                <a:cubicBezTo>
                  <a:pt x="15734" y="20926"/>
                  <a:pt x="8940" y="33554"/>
                  <a:pt x="8940" y="48347"/>
                </a:cubicBezTo>
                <a:cubicBezTo>
                  <a:pt x="8940" y="62418"/>
                  <a:pt x="16449" y="76128"/>
                  <a:pt x="27892" y="84066"/>
                </a:cubicBezTo>
                <a:cubicBezTo>
                  <a:pt x="29322" y="85148"/>
                  <a:pt x="30038" y="86591"/>
                  <a:pt x="30038" y="88034"/>
                </a:cubicBezTo>
                <a:lnTo>
                  <a:pt x="30038" y="200963"/>
                </a:lnTo>
                <a:cubicBezTo>
                  <a:pt x="30038" y="202046"/>
                  <a:pt x="29322" y="203850"/>
                  <a:pt x="27892" y="204571"/>
                </a:cubicBezTo>
                <a:cubicBezTo>
                  <a:pt x="16449" y="212870"/>
                  <a:pt x="8940" y="226219"/>
                  <a:pt x="8940" y="240651"/>
                </a:cubicBezTo>
                <a:cubicBezTo>
                  <a:pt x="8940" y="264824"/>
                  <a:pt x="28250" y="284307"/>
                  <a:pt x="52566" y="284307"/>
                </a:cubicBezTo>
                <a:cubicBezTo>
                  <a:pt x="76167" y="284307"/>
                  <a:pt x="95477" y="264824"/>
                  <a:pt x="95477" y="240651"/>
                </a:cubicBezTo>
                <a:cubicBezTo>
                  <a:pt x="95477" y="226219"/>
                  <a:pt x="88683" y="212870"/>
                  <a:pt x="76882" y="204571"/>
                </a:cubicBezTo>
                <a:cubicBezTo>
                  <a:pt x="75452" y="203850"/>
                  <a:pt x="75094" y="202046"/>
                  <a:pt x="75094" y="200963"/>
                </a:cubicBezTo>
                <a:lnTo>
                  <a:pt x="75094" y="88034"/>
                </a:lnTo>
                <a:cubicBezTo>
                  <a:pt x="75094" y="86591"/>
                  <a:pt x="75452" y="85148"/>
                  <a:pt x="76882" y="84066"/>
                </a:cubicBezTo>
                <a:cubicBezTo>
                  <a:pt x="88683" y="76128"/>
                  <a:pt x="95477" y="62418"/>
                  <a:pt x="95477" y="48347"/>
                </a:cubicBezTo>
                <a:cubicBezTo>
                  <a:pt x="95477" y="33554"/>
                  <a:pt x="89041" y="20926"/>
                  <a:pt x="77955" y="12628"/>
                </a:cubicBezTo>
                <a:lnTo>
                  <a:pt x="77955" y="54119"/>
                </a:lnTo>
                <a:cubicBezTo>
                  <a:pt x="77955" y="55923"/>
                  <a:pt x="76882" y="57367"/>
                  <a:pt x="75452" y="58088"/>
                </a:cubicBezTo>
                <a:lnTo>
                  <a:pt x="54712" y="70355"/>
                </a:lnTo>
                <a:cubicBezTo>
                  <a:pt x="52924" y="71077"/>
                  <a:pt x="51493" y="71077"/>
                  <a:pt x="50420" y="70355"/>
                </a:cubicBezTo>
                <a:lnTo>
                  <a:pt x="29680" y="58088"/>
                </a:lnTo>
                <a:cubicBezTo>
                  <a:pt x="27892" y="57367"/>
                  <a:pt x="27177" y="55923"/>
                  <a:pt x="27177" y="54119"/>
                </a:cubicBezTo>
                <a:lnTo>
                  <a:pt x="27177" y="12628"/>
                </a:lnTo>
                <a:close/>
                <a:moveTo>
                  <a:pt x="29680" y="1082"/>
                </a:moveTo>
                <a:cubicBezTo>
                  <a:pt x="30753" y="0"/>
                  <a:pt x="32541" y="0"/>
                  <a:pt x="33971" y="1443"/>
                </a:cubicBezTo>
                <a:cubicBezTo>
                  <a:pt x="35402" y="1804"/>
                  <a:pt x="36117" y="3247"/>
                  <a:pt x="36117" y="4690"/>
                </a:cubicBezTo>
                <a:lnTo>
                  <a:pt x="36117" y="51955"/>
                </a:lnTo>
                <a:lnTo>
                  <a:pt x="52566" y="61335"/>
                </a:lnTo>
                <a:lnTo>
                  <a:pt x="69015" y="51955"/>
                </a:lnTo>
                <a:lnTo>
                  <a:pt x="69015" y="4690"/>
                </a:lnTo>
                <a:cubicBezTo>
                  <a:pt x="69015" y="3247"/>
                  <a:pt x="69731" y="1804"/>
                  <a:pt x="70803" y="1443"/>
                </a:cubicBezTo>
                <a:cubicBezTo>
                  <a:pt x="72234" y="0"/>
                  <a:pt x="73664" y="0"/>
                  <a:pt x="75452" y="1082"/>
                </a:cubicBezTo>
                <a:cubicBezTo>
                  <a:pt x="93689" y="10102"/>
                  <a:pt x="104417" y="27781"/>
                  <a:pt x="104417" y="48347"/>
                </a:cubicBezTo>
                <a:cubicBezTo>
                  <a:pt x="104417" y="64582"/>
                  <a:pt x="96908" y="80097"/>
                  <a:pt x="83319" y="89838"/>
                </a:cubicBezTo>
                <a:lnTo>
                  <a:pt x="83319" y="198438"/>
                </a:lnTo>
                <a:cubicBezTo>
                  <a:pt x="96908" y="208901"/>
                  <a:pt x="104417" y="223694"/>
                  <a:pt x="104417" y="240651"/>
                </a:cubicBezTo>
                <a:cubicBezTo>
                  <a:pt x="104417" y="269515"/>
                  <a:pt x="81531" y="293327"/>
                  <a:pt x="52566" y="293327"/>
                </a:cubicBezTo>
                <a:cubicBezTo>
                  <a:pt x="23959" y="293327"/>
                  <a:pt x="0" y="269515"/>
                  <a:pt x="0" y="240651"/>
                </a:cubicBezTo>
                <a:cubicBezTo>
                  <a:pt x="0" y="223694"/>
                  <a:pt x="8224" y="208901"/>
                  <a:pt x="21098" y="198438"/>
                </a:cubicBezTo>
                <a:lnTo>
                  <a:pt x="21098" y="89838"/>
                </a:lnTo>
                <a:cubicBezTo>
                  <a:pt x="8224" y="80097"/>
                  <a:pt x="0" y="64582"/>
                  <a:pt x="0" y="48347"/>
                </a:cubicBezTo>
                <a:cubicBezTo>
                  <a:pt x="0" y="27781"/>
                  <a:pt x="11800" y="10102"/>
                  <a:pt x="29680" y="1082"/>
                </a:cubicBezTo>
                <a:close/>
                <a:moveTo>
                  <a:pt x="104337" y="0"/>
                </a:moveTo>
                <a:lnTo>
                  <a:pt x="121280" y="0"/>
                </a:lnTo>
                <a:cubicBezTo>
                  <a:pt x="127408" y="0"/>
                  <a:pt x="132815" y="5389"/>
                  <a:pt x="132815" y="11497"/>
                </a:cubicBezTo>
                <a:lnTo>
                  <a:pt x="132815" y="26946"/>
                </a:lnTo>
                <a:cubicBezTo>
                  <a:pt x="138943" y="27665"/>
                  <a:pt x="144710" y="29821"/>
                  <a:pt x="150477" y="31976"/>
                </a:cubicBezTo>
                <a:lnTo>
                  <a:pt x="158408" y="18324"/>
                </a:lnTo>
                <a:cubicBezTo>
                  <a:pt x="159850" y="15449"/>
                  <a:pt x="162373" y="14012"/>
                  <a:pt x="165617" y="13294"/>
                </a:cubicBezTo>
                <a:cubicBezTo>
                  <a:pt x="168501" y="12216"/>
                  <a:pt x="171384" y="12934"/>
                  <a:pt x="174268" y="14371"/>
                </a:cubicBezTo>
                <a:lnTo>
                  <a:pt x="192652" y="25150"/>
                </a:lnTo>
                <a:cubicBezTo>
                  <a:pt x="198419" y="27665"/>
                  <a:pt x="199861" y="35210"/>
                  <a:pt x="196977" y="40959"/>
                </a:cubicBezTo>
                <a:lnTo>
                  <a:pt x="189408" y="53893"/>
                </a:lnTo>
                <a:cubicBezTo>
                  <a:pt x="194094" y="57845"/>
                  <a:pt x="198419" y="62516"/>
                  <a:pt x="202745" y="67187"/>
                </a:cubicBezTo>
                <a:lnTo>
                  <a:pt x="215722" y="59642"/>
                </a:lnTo>
                <a:cubicBezTo>
                  <a:pt x="218245" y="57845"/>
                  <a:pt x="221489" y="57486"/>
                  <a:pt x="224733" y="58204"/>
                </a:cubicBezTo>
                <a:cubicBezTo>
                  <a:pt x="227617" y="59642"/>
                  <a:pt x="230140" y="61079"/>
                  <a:pt x="231943" y="63953"/>
                </a:cubicBezTo>
                <a:lnTo>
                  <a:pt x="242396" y="82277"/>
                </a:lnTo>
                <a:cubicBezTo>
                  <a:pt x="243838" y="84792"/>
                  <a:pt x="243838" y="88025"/>
                  <a:pt x="243117" y="90900"/>
                </a:cubicBezTo>
                <a:cubicBezTo>
                  <a:pt x="242757" y="94133"/>
                  <a:pt x="240594" y="96648"/>
                  <a:pt x="238431" y="97726"/>
                </a:cubicBezTo>
                <a:lnTo>
                  <a:pt x="224733" y="105630"/>
                </a:lnTo>
                <a:cubicBezTo>
                  <a:pt x="226896" y="111738"/>
                  <a:pt x="228338" y="117846"/>
                  <a:pt x="229780" y="123595"/>
                </a:cubicBezTo>
                <a:lnTo>
                  <a:pt x="245280" y="123595"/>
                </a:lnTo>
                <a:cubicBezTo>
                  <a:pt x="251408" y="123595"/>
                  <a:pt x="256815" y="128984"/>
                  <a:pt x="256815" y="135092"/>
                </a:cubicBezTo>
                <a:lnTo>
                  <a:pt x="256815" y="156290"/>
                </a:lnTo>
                <a:cubicBezTo>
                  <a:pt x="256815" y="162757"/>
                  <a:pt x="251408" y="168146"/>
                  <a:pt x="245280" y="168146"/>
                </a:cubicBezTo>
                <a:lnTo>
                  <a:pt x="229780" y="168146"/>
                </a:lnTo>
                <a:cubicBezTo>
                  <a:pt x="228338" y="174254"/>
                  <a:pt x="226896" y="180362"/>
                  <a:pt x="224733" y="186470"/>
                </a:cubicBezTo>
                <a:lnTo>
                  <a:pt x="238431" y="194015"/>
                </a:lnTo>
                <a:cubicBezTo>
                  <a:pt x="243478" y="196889"/>
                  <a:pt x="245280" y="203716"/>
                  <a:pt x="242396" y="209464"/>
                </a:cubicBezTo>
                <a:lnTo>
                  <a:pt x="231943" y="227788"/>
                </a:lnTo>
                <a:cubicBezTo>
                  <a:pt x="230140" y="230303"/>
                  <a:pt x="227617" y="232458"/>
                  <a:pt x="224733" y="233536"/>
                </a:cubicBezTo>
                <a:cubicBezTo>
                  <a:pt x="221489" y="233896"/>
                  <a:pt x="218245" y="233536"/>
                  <a:pt x="215722" y="232458"/>
                </a:cubicBezTo>
                <a:lnTo>
                  <a:pt x="202745" y="224554"/>
                </a:lnTo>
                <a:cubicBezTo>
                  <a:pt x="198419" y="229584"/>
                  <a:pt x="194094" y="233896"/>
                  <a:pt x="189408" y="237848"/>
                </a:cubicBezTo>
                <a:lnTo>
                  <a:pt x="196977" y="251141"/>
                </a:lnTo>
                <a:cubicBezTo>
                  <a:pt x="199861" y="256531"/>
                  <a:pt x="198419" y="263716"/>
                  <a:pt x="192652" y="266950"/>
                </a:cubicBezTo>
                <a:lnTo>
                  <a:pt x="174268" y="277369"/>
                </a:lnTo>
                <a:cubicBezTo>
                  <a:pt x="171384" y="279166"/>
                  <a:pt x="168501" y="279525"/>
                  <a:pt x="165617" y="278806"/>
                </a:cubicBezTo>
                <a:cubicBezTo>
                  <a:pt x="162373" y="277729"/>
                  <a:pt x="159850" y="275932"/>
                  <a:pt x="158408" y="273417"/>
                </a:cubicBezTo>
                <a:lnTo>
                  <a:pt x="150477" y="260124"/>
                </a:lnTo>
                <a:cubicBezTo>
                  <a:pt x="144710" y="261920"/>
                  <a:pt x="138943" y="263716"/>
                  <a:pt x="132815" y="264794"/>
                </a:cubicBezTo>
                <a:lnTo>
                  <a:pt x="132815" y="280244"/>
                </a:lnTo>
                <a:cubicBezTo>
                  <a:pt x="132815" y="286351"/>
                  <a:pt x="127408" y="291741"/>
                  <a:pt x="121280" y="291741"/>
                </a:cubicBezTo>
                <a:lnTo>
                  <a:pt x="104337" y="291741"/>
                </a:lnTo>
                <a:cubicBezTo>
                  <a:pt x="102175" y="291741"/>
                  <a:pt x="100012" y="289585"/>
                  <a:pt x="100012" y="287070"/>
                </a:cubicBezTo>
                <a:cubicBezTo>
                  <a:pt x="100012" y="284914"/>
                  <a:pt x="102175" y="282759"/>
                  <a:pt x="104337" y="282759"/>
                </a:cubicBezTo>
                <a:lnTo>
                  <a:pt x="121280" y="282759"/>
                </a:lnTo>
                <a:cubicBezTo>
                  <a:pt x="122361" y="282759"/>
                  <a:pt x="123803" y="281681"/>
                  <a:pt x="123803" y="280244"/>
                </a:cubicBezTo>
                <a:lnTo>
                  <a:pt x="123803" y="261201"/>
                </a:lnTo>
                <a:cubicBezTo>
                  <a:pt x="123803" y="258686"/>
                  <a:pt x="125245" y="257249"/>
                  <a:pt x="127408" y="256531"/>
                </a:cubicBezTo>
                <a:cubicBezTo>
                  <a:pt x="135338" y="255453"/>
                  <a:pt x="143629" y="253297"/>
                  <a:pt x="151559" y="250064"/>
                </a:cubicBezTo>
                <a:cubicBezTo>
                  <a:pt x="153001" y="249704"/>
                  <a:pt x="155524" y="250064"/>
                  <a:pt x="156605" y="252219"/>
                </a:cubicBezTo>
                <a:lnTo>
                  <a:pt x="165977" y="268746"/>
                </a:lnTo>
                <a:cubicBezTo>
                  <a:pt x="166338" y="269465"/>
                  <a:pt x="167059" y="270184"/>
                  <a:pt x="167780" y="270184"/>
                </a:cubicBezTo>
                <a:cubicBezTo>
                  <a:pt x="168501" y="270184"/>
                  <a:pt x="168861" y="270184"/>
                  <a:pt x="169943" y="269824"/>
                </a:cubicBezTo>
                <a:lnTo>
                  <a:pt x="188687" y="259046"/>
                </a:lnTo>
                <a:cubicBezTo>
                  <a:pt x="189408" y="258327"/>
                  <a:pt x="190129" y="256531"/>
                  <a:pt x="189408" y="255453"/>
                </a:cubicBezTo>
                <a:lnTo>
                  <a:pt x="179675" y="239285"/>
                </a:lnTo>
                <a:cubicBezTo>
                  <a:pt x="178233" y="237129"/>
                  <a:pt x="179315" y="234614"/>
                  <a:pt x="180757" y="233536"/>
                </a:cubicBezTo>
                <a:cubicBezTo>
                  <a:pt x="187245" y="228147"/>
                  <a:pt x="193012" y="222039"/>
                  <a:pt x="198419" y="215931"/>
                </a:cubicBezTo>
                <a:cubicBezTo>
                  <a:pt x="199501" y="214494"/>
                  <a:pt x="202024" y="213776"/>
                  <a:pt x="204187" y="214853"/>
                </a:cubicBezTo>
                <a:lnTo>
                  <a:pt x="220408" y="224554"/>
                </a:lnTo>
                <a:cubicBezTo>
                  <a:pt x="220768" y="224913"/>
                  <a:pt x="221489" y="224913"/>
                  <a:pt x="222210" y="224913"/>
                </a:cubicBezTo>
                <a:cubicBezTo>
                  <a:pt x="223291" y="224554"/>
                  <a:pt x="223652" y="224195"/>
                  <a:pt x="224012" y="223836"/>
                </a:cubicBezTo>
                <a:lnTo>
                  <a:pt x="234466" y="205153"/>
                </a:lnTo>
                <a:cubicBezTo>
                  <a:pt x="235187" y="204793"/>
                  <a:pt x="235187" y="203716"/>
                  <a:pt x="234466" y="202997"/>
                </a:cubicBezTo>
                <a:cubicBezTo>
                  <a:pt x="234466" y="202638"/>
                  <a:pt x="234105" y="201919"/>
                  <a:pt x="233745" y="201560"/>
                </a:cubicBezTo>
                <a:lnTo>
                  <a:pt x="217164" y="192218"/>
                </a:lnTo>
                <a:cubicBezTo>
                  <a:pt x="215001" y="190781"/>
                  <a:pt x="214280" y="188985"/>
                  <a:pt x="215001" y="186829"/>
                </a:cubicBezTo>
                <a:cubicBezTo>
                  <a:pt x="218245" y="178925"/>
                  <a:pt x="220408" y="171020"/>
                  <a:pt x="221489" y="162757"/>
                </a:cubicBezTo>
                <a:cubicBezTo>
                  <a:pt x="221850" y="160601"/>
                  <a:pt x="223652" y="159164"/>
                  <a:pt x="226175" y="159164"/>
                </a:cubicBezTo>
                <a:lnTo>
                  <a:pt x="245280" y="159164"/>
                </a:lnTo>
                <a:cubicBezTo>
                  <a:pt x="246361" y="159164"/>
                  <a:pt x="247803" y="158086"/>
                  <a:pt x="247803" y="156290"/>
                </a:cubicBezTo>
                <a:lnTo>
                  <a:pt x="247803" y="135092"/>
                </a:lnTo>
                <a:cubicBezTo>
                  <a:pt x="247803" y="134014"/>
                  <a:pt x="246361" y="132577"/>
                  <a:pt x="245280" y="132577"/>
                </a:cubicBezTo>
                <a:lnTo>
                  <a:pt x="226175" y="132577"/>
                </a:lnTo>
                <a:cubicBezTo>
                  <a:pt x="223652" y="132577"/>
                  <a:pt x="221850" y="131140"/>
                  <a:pt x="221489" y="128625"/>
                </a:cubicBezTo>
                <a:cubicBezTo>
                  <a:pt x="220408" y="121080"/>
                  <a:pt x="218245" y="112816"/>
                  <a:pt x="215001" y="104912"/>
                </a:cubicBezTo>
                <a:cubicBezTo>
                  <a:pt x="214280" y="103115"/>
                  <a:pt x="215001" y="100960"/>
                  <a:pt x="217164" y="99882"/>
                </a:cubicBezTo>
                <a:lnTo>
                  <a:pt x="233745" y="90181"/>
                </a:lnTo>
                <a:cubicBezTo>
                  <a:pt x="234105" y="90181"/>
                  <a:pt x="234466" y="89103"/>
                  <a:pt x="234466" y="88744"/>
                </a:cubicBezTo>
                <a:cubicBezTo>
                  <a:pt x="235187" y="88025"/>
                  <a:pt x="235187" y="87307"/>
                  <a:pt x="234466" y="86229"/>
                </a:cubicBezTo>
                <a:lnTo>
                  <a:pt x="224012" y="67905"/>
                </a:lnTo>
                <a:cubicBezTo>
                  <a:pt x="223652" y="67546"/>
                  <a:pt x="223291" y="67187"/>
                  <a:pt x="222210" y="66827"/>
                </a:cubicBezTo>
                <a:cubicBezTo>
                  <a:pt x="221489" y="66827"/>
                  <a:pt x="220768" y="66827"/>
                  <a:pt x="220408" y="67187"/>
                </a:cubicBezTo>
                <a:lnTo>
                  <a:pt x="204187" y="76528"/>
                </a:lnTo>
                <a:cubicBezTo>
                  <a:pt x="202024" y="77965"/>
                  <a:pt x="199501" y="77247"/>
                  <a:pt x="198419" y="75809"/>
                </a:cubicBezTo>
                <a:cubicBezTo>
                  <a:pt x="193012" y="69342"/>
                  <a:pt x="187245" y="63594"/>
                  <a:pt x="180757" y="58204"/>
                </a:cubicBezTo>
                <a:cubicBezTo>
                  <a:pt x="179315" y="57127"/>
                  <a:pt x="178233" y="54612"/>
                  <a:pt x="179675" y="52456"/>
                </a:cubicBezTo>
                <a:lnTo>
                  <a:pt x="189408" y="35929"/>
                </a:lnTo>
                <a:cubicBezTo>
                  <a:pt x="190129" y="35210"/>
                  <a:pt x="189408" y="33054"/>
                  <a:pt x="188687" y="32695"/>
                </a:cubicBezTo>
                <a:lnTo>
                  <a:pt x="169943" y="22276"/>
                </a:lnTo>
                <a:cubicBezTo>
                  <a:pt x="168861" y="21557"/>
                  <a:pt x="168501" y="21557"/>
                  <a:pt x="167780" y="21557"/>
                </a:cubicBezTo>
                <a:cubicBezTo>
                  <a:pt x="167059" y="21557"/>
                  <a:pt x="166338" y="22635"/>
                  <a:pt x="165977" y="22994"/>
                </a:cubicBezTo>
                <a:lnTo>
                  <a:pt x="156605" y="39521"/>
                </a:lnTo>
                <a:cubicBezTo>
                  <a:pt x="155524" y="41318"/>
                  <a:pt x="153001" y="42036"/>
                  <a:pt x="151559" y="41318"/>
                </a:cubicBezTo>
                <a:cubicBezTo>
                  <a:pt x="143629" y="38444"/>
                  <a:pt x="135338" y="35929"/>
                  <a:pt x="127408" y="35210"/>
                </a:cubicBezTo>
                <a:cubicBezTo>
                  <a:pt x="125245" y="34851"/>
                  <a:pt x="123803" y="32695"/>
                  <a:pt x="123803" y="30539"/>
                </a:cubicBezTo>
                <a:lnTo>
                  <a:pt x="123803" y="11497"/>
                </a:lnTo>
                <a:cubicBezTo>
                  <a:pt x="123803" y="10419"/>
                  <a:pt x="122361" y="8623"/>
                  <a:pt x="121280" y="8623"/>
                </a:cubicBezTo>
                <a:lnTo>
                  <a:pt x="104337" y="8623"/>
                </a:lnTo>
                <a:cubicBezTo>
                  <a:pt x="102175" y="8623"/>
                  <a:pt x="100012" y="7186"/>
                  <a:pt x="100012" y="4671"/>
                </a:cubicBezTo>
                <a:cubicBezTo>
                  <a:pt x="100012" y="2156"/>
                  <a:pt x="102175" y="0"/>
                  <a:pt x="104337" y="0"/>
                </a:cubicBezTo>
                <a:close/>
              </a:path>
            </a:pathLst>
          </a:custGeom>
          <a:solidFill>
            <a:schemeClr val="bg1"/>
          </a:solidFill>
          <a:ln>
            <a:noFill/>
          </a:ln>
          <a:effectLst/>
        </xdr:spPr>
        <xdr:txBody>
          <a:bodyPr wrap="square" anchor="ct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marL="0" marR="0" lvl="0" indent="0" algn="l" defTabSz="1828434" rtl="0" eaLnBrk="1" fontAlgn="auto" latinLnBrk="0" hangingPunct="1">
              <a:lnSpc>
                <a:spcPct val="100000"/>
              </a:lnSpc>
              <a:spcBef>
                <a:spcPts val="0"/>
              </a:spcBef>
              <a:spcAft>
                <a:spcPts val="0"/>
              </a:spcAft>
              <a:buClrTx/>
              <a:buSzTx/>
              <a:buFontTx/>
              <a:buNone/>
              <a:tabLst/>
              <a:defRPr/>
            </a:pPr>
            <a:endParaRPr kumimoji="0" lang="en-US" sz="3600" b="0" i="0" u="none" strike="noStrike" kern="1200" cap="none" spc="0" normalizeH="0" baseline="0">
              <a:ln>
                <a:noFill/>
              </a:ln>
              <a:solidFill>
                <a:srgbClr val="AAAAAA"/>
              </a:solidFill>
              <a:effectLst/>
              <a:uLnTx/>
              <a:uFillTx/>
              <a:latin typeface="Calibri" panose="020F0502020204030204"/>
              <a:ea typeface="+mn-ea"/>
              <a:cs typeface="+mn-cs"/>
            </a:endParaRPr>
          </a:p>
        </xdr:txBody>
      </xdr:sp>
    </xdr:grpSp>
    <xdr:clientData fPrintsWithSheet="0"/>
  </xdr:twoCellAnchor>
</xdr:wsDr>
</file>

<file path=xl/drawings/drawing9.xml><?xml version="1.0" encoding="utf-8"?>
<xdr:wsDr xmlns:xdr="http://schemas.openxmlformats.org/drawingml/2006/spreadsheetDrawing" xmlns:a="http://schemas.openxmlformats.org/drawingml/2006/main">
  <xdr:twoCellAnchor editAs="oneCell">
    <xdr:from>
      <xdr:col>3</xdr:col>
      <xdr:colOff>13095</xdr:colOff>
      <xdr:row>49</xdr:row>
      <xdr:rowOff>227867</xdr:rowOff>
    </xdr:from>
    <xdr:to>
      <xdr:col>7</xdr:col>
      <xdr:colOff>125695</xdr:colOff>
      <xdr:row>53</xdr:row>
      <xdr:rowOff>29807</xdr:rowOff>
    </xdr:to>
    <xdr:graphicFrame macro="">
      <xdr:nvGraphicFramePr>
        <xdr:cNvPr id="2" name="Diagramm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8</xdr:col>
      <xdr:colOff>520700</xdr:colOff>
      <xdr:row>8</xdr:row>
      <xdr:rowOff>73025</xdr:rowOff>
    </xdr:from>
    <xdr:to>
      <xdr:col>16</xdr:col>
      <xdr:colOff>101600</xdr:colOff>
      <xdr:row>18</xdr:row>
      <xdr:rowOff>107950</xdr:rowOff>
    </xdr:to>
    <xdr:grpSp>
      <xdr:nvGrpSpPr>
        <xdr:cNvPr id="3" name="Gruppieren 3">
          <a:extLst>
            <a:ext uri="{FF2B5EF4-FFF2-40B4-BE49-F238E27FC236}">
              <a16:creationId xmlns:a16="http://schemas.microsoft.com/office/drawing/2014/main" id="{00000000-0008-0000-0800-000003000000}"/>
            </a:ext>
          </a:extLst>
        </xdr:cNvPr>
        <xdr:cNvGrpSpPr/>
      </xdr:nvGrpSpPr>
      <xdr:grpSpPr>
        <a:xfrm>
          <a:off x="4841240" y="2435225"/>
          <a:ext cx="3665220" cy="1810385"/>
          <a:chOff x="21566" y="2342251"/>
          <a:chExt cx="4398393" cy="2883381"/>
        </a:xfrm>
      </xdr:grpSpPr>
      <xdr:graphicFrame macro="">
        <xdr:nvGraphicFramePr>
          <xdr:cNvPr id="4" name="Diagramm 4">
            <a:extLst>
              <a:ext uri="{FF2B5EF4-FFF2-40B4-BE49-F238E27FC236}">
                <a16:creationId xmlns:a16="http://schemas.microsoft.com/office/drawing/2014/main" id="{00000000-0008-0000-0800-000004000000}"/>
              </a:ext>
            </a:extLst>
          </xdr:cNvPr>
          <xdr:cNvGraphicFramePr/>
        </xdr:nvGraphicFramePr>
        <xdr:xfrm>
          <a:off x="21566" y="2342251"/>
          <a:ext cx="4398393" cy="2883381"/>
        </xdr:xfrm>
        <a:graphic>
          <a:graphicData uri="http://schemas.openxmlformats.org/drawingml/2006/chart">
            <c:chart xmlns:c="http://schemas.openxmlformats.org/drawingml/2006/chart" xmlns:r="http://schemas.openxmlformats.org/officeDocument/2006/relationships" r:id="rId2"/>
          </a:graphicData>
        </a:graphic>
      </xdr:graphicFrame>
      <xdr:graphicFrame macro="">
        <xdr:nvGraphicFramePr>
          <xdr:cNvPr id="5" name="Diagramm 5">
            <a:extLst>
              <a:ext uri="{FF2B5EF4-FFF2-40B4-BE49-F238E27FC236}">
                <a16:creationId xmlns:a16="http://schemas.microsoft.com/office/drawing/2014/main" id="{00000000-0008-0000-0800-000005000000}"/>
              </a:ext>
            </a:extLst>
          </xdr:cNvPr>
          <xdr:cNvGraphicFramePr>
            <a:graphicFrameLocks noChangeAspect="1"/>
          </xdr:cNvGraphicFramePr>
        </xdr:nvGraphicFramePr>
        <xdr:xfrm>
          <a:off x="258795" y="2471648"/>
          <a:ext cx="3932566" cy="2589363"/>
        </xdr:xfrm>
        <a:graphic>
          <a:graphicData uri="http://schemas.openxmlformats.org/drawingml/2006/chart">
            <c:chart xmlns:c="http://schemas.openxmlformats.org/drawingml/2006/chart" xmlns:r="http://schemas.openxmlformats.org/officeDocument/2006/relationships" r:id="rId3"/>
          </a:graphicData>
        </a:graphic>
      </xdr:graphicFrame>
      <xdr:cxnSp macro="">
        <xdr:nvCxnSpPr>
          <xdr:cNvPr id="6" name="Gerader Verbinder 6">
            <a:extLst>
              <a:ext uri="{FF2B5EF4-FFF2-40B4-BE49-F238E27FC236}">
                <a16:creationId xmlns:a16="http://schemas.microsoft.com/office/drawing/2014/main" id="{00000000-0008-0000-0800-000006000000}"/>
              </a:ext>
            </a:extLst>
          </xdr:cNvPr>
          <xdr:cNvCxnSpPr/>
        </xdr:nvCxnSpPr>
        <xdr:spPr>
          <a:xfrm>
            <a:off x="1209470" y="3784281"/>
            <a:ext cx="2034614" cy="0"/>
          </a:xfrm>
          <a:prstGeom prst="line">
            <a:avLst/>
          </a:prstGeom>
          <a:ln w="9525"/>
        </xdr:spPr>
        <xdr:style>
          <a:lnRef idx="3">
            <a:schemeClr val="dk1"/>
          </a:lnRef>
          <a:fillRef idx="0">
            <a:schemeClr val="dk1"/>
          </a:fillRef>
          <a:effectRef idx="2">
            <a:schemeClr val="dk1"/>
          </a:effectRef>
          <a:fontRef idx="minor">
            <a:schemeClr val="tx1"/>
          </a:fontRef>
        </xdr:style>
      </xdr:cxnSp>
      <xdr:sp macro="" textlink="">
        <xdr:nvSpPr>
          <xdr:cNvPr id="7" name="Kreis 13">
            <a:extLst>
              <a:ext uri="{FF2B5EF4-FFF2-40B4-BE49-F238E27FC236}">
                <a16:creationId xmlns:a16="http://schemas.microsoft.com/office/drawing/2014/main" id="{00000000-0008-0000-0800-000007000000}"/>
              </a:ext>
            </a:extLst>
          </xdr:cNvPr>
          <xdr:cNvSpPr/>
        </xdr:nvSpPr>
        <xdr:spPr>
          <a:xfrm rot="10800000">
            <a:off x="2135992" y="3640523"/>
            <a:ext cx="189063" cy="242979"/>
          </a:xfrm>
          <a:prstGeom prst="pie">
            <a:avLst>
              <a:gd name="adj1" fmla="val 0"/>
              <a:gd name="adj2" fmla="val 10763427"/>
            </a:avLst>
          </a:prstGeom>
          <a:solidFill>
            <a:schemeClr val="tx1"/>
          </a:solidFill>
          <a:ln>
            <a:no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solidFill>
                <a:schemeClr val="tx1"/>
              </a:solidFill>
            </a:endParaRPr>
          </a:p>
        </xdr:txBody>
      </xdr:sp>
    </xdr:grpSp>
    <xdr:clientData/>
  </xdr:twoCellAnchor>
  <xdr:twoCellAnchor editAs="oneCell">
    <xdr:from>
      <xdr:col>5</xdr:col>
      <xdr:colOff>133353</xdr:colOff>
      <xdr:row>8</xdr:row>
      <xdr:rowOff>38100</xdr:rowOff>
    </xdr:from>
    <xdr:to>
      <xdr:col>9</xdr:col>
      <xdr:colOff>809625</xdr:colOff>
      <xdr:row>14</xdr:row>
      <xdr:rowOff>38100</xdr:rowOff>
    </xdr:to>
    <xdr:graphicFrame macro="">
      <xdr:nvGraphicFramePr>
        <xdr:cNvPr id="8" name="Diagramm 7">
          <a:extLst>
            <a:ext uri="{FF2B5EF4-FFF2-40B4-BE49-F238E27FC236}">
              <a16:creationId xmlns:a16="http://schemas.microsoft.com/office/drawing/2014/main" id="{00000000-0008-0000-08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3</xdr:col>
      <xdr:colOff>13095</xdr:colOff>
      <xdr:row>51</xdr:row>
      <xdr:rowOff>254244</xdr:rowOff>
    </xdr:from>
    <xdr:to>
      <xdr:col>7</xdr:col>
      <xdr:colOff>125695</xdr:colOff>
      <xdr:row>55</xdr:row>
      <xdr:rowOff>56185</xdr:rowOff>
    </xdr:to>
    <xdr:graphicFrame macro="">
      <xdr:nvGraphicFramePr>
        <xdr:cNvPr id="9" name="Diagramm 8">
          <a:extLst>
            <a:ext uri="{FF2B5EF4-FFF2-40B4-BE49-F238E27FC236}">
              <a16:creationId xmlns:a16="http://schemas.microsoft.com/office/drawing/2014/main" id="{00000000-0008-0000-08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958209</xdr:colOff>
      <xdr:row>47</xdr:row>
      <xdr:rowOff>3406</xdr:rowOff>
    </xdr:from>
    <xdr:to>
      <xdr:col>11</xdr:col>
      <xdr:colOff>1132218</xdr:colOff>
      <xdr:row>47</xdr:row>
      <xdr:rowOff>177155</xdr:rowOff>
    </xdr:to>
    <xdr:grpSp>
      <xdr:nvGrpSpPr>
        <xdr:cNvPr id="40" name="Gruppieren 39">
          <a:hlinkClick xmlns:r="http://schemas.openxmlformats.org/officeDocument/2006/relationships" r:id="rId6" tooltip="GoTo"/>
          <a:extLst>
            <a:ext uri="{FF2B5EF4-FFF2-40B4-BE49-F238E27FC236}">
              <a16:creationId xmlns:a16="http://schemas.microsoft.com/office/drawing/2014/main" id="{00000000-0008-0000-0800-000028000000}"/>
            </a:ext>
          </a:extLst>
        </xdr:cNvPr>
        <xdr:cNvGrpSpPr/>
      </xdr:nvGrpSpPr>
      <xdr:grpSpPr>
        <a:xfrm>
          <a:off x="7374249" y="9185506"/>
          <a:ext cx="174009" cy="173749"/>
          <a:chOff x="7197084" y="9928456"/>
          <a:chExt cx="174009" cy="173749"/>
        </a:xfrm>
      </xdr:grpSpPr>
      <xdr:sp macro="" textlink="">
        <xdr:nvSpPr>
          <xdr:cNvPr id="13" name="Rechteck 12">
            <a:extLst>
              <a:ext uri="{FF2B5EF4-FFF2-40B4-BE49-F238E27FC236}">
                <a16:creationId xmlns:a16="http://schemas.microsoft.com/office/drawing/2014/main" id="{00000000-0008-0000-0800-00000D000000}"/>
              </a:ext>
            </a:extLst>
          </xdr:cNvPr>
          <xdr:cNvSpPr>
            <a:spLocks noChangeAspect="1"/>
          </xdr:cNvSpPr>
        </xdr:nvSpPr>
        <xdr:spPr>
          <a:xfrm>
            <a:off x="7197084" y="9928456"/>
            <a:ext cx="174009" cy="173749"/>
          </a:xfrm>
          <a:prstGeom prst="rect">
            <a:avLst/>
          </a:prstGeom>
          <a:gradFill>
            <a:gsLst>
              <a:gs pos="0">
                <a:srgbClr val="26575B"/>
              </a:gs>
              <a:gs pos="80000">
                <a:srgbClr val="2C666A"/>
              </a:gs>
              <a:gs pos="100000">
                <a:srgbClr val="357A7F"/>
              </a:gs>
            </a:gsLst>
          </a:gradFill>
          <a:ln>
            <a:solidFill>
              <a:srgbClr val="54B1B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 name="Pfeil nach rechts 36">
            <a:extLst>
              <a:ext uri="{FF2B5EF4-FFF2-40B4-BE49-F238E27FC236}">
                <a16:creationId xmlns:a16="http://schemas.microsoft.com/office/drawing/2014/main" id="{00000000-0008-0000-0800-00000E000000}"/>
              </a:ext>
            </a:extLst>
          </xdr:cNvPr>
          <xdr:cNvSpPr/>
        </xdr:nvSpPr>
        <xdr:spPr>
          <a:xfrm>
            <a:off x="7248239" y="9969135"/>
            <a:ext cx="87005" cy="96093"/>
          </a:xfrm>
          <a:prstGeom prst="rightArrow">
            <a:avLst/>
          </a:prstGeom>
          <a:solidFill>
            <a:schemeClr val="bg1"/>
          </a:solidFill>
          <a:ln>
            <a:solidFill>
              <a:schemeClr val="bg1"/>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grpSp>
    <xdr:clientData/>
  </xdr:twoCellAnchor>
  <xdr:twoCellAnchor>
    <xdr:from>
      <xdr:col>11</xdr:col>
      <xdr:colOff>969606</xdr:colOff>
      <xdr:row>1</xdr:row>
      <xdr:rowOff>152410</xdr:rowOff>
    </xdr:from>
    <xdr:to>
      <xdr:col>11</xdr:col>
      <xdr:colOff>1139522</xdr:colOff>
      <xdr:row>1</xdr:row>
      <xdr:rowOff>326159</xdr:rowOff>
    </xdr:to>
    <xdr:grpSp>
      <xdr:nvGrpSpPr>
        <xdr:cNvPr id="38" name="Gruppieren 37">
          <a:hlinkClick xmlns:r="http://schemas.openxmlformats.org/officeDocument/2006/relationships" r:id="rId7"/>
          <a:extLst>
            <a:ext uri="{FF2B5EF4-FFF2-40B4-BE49-F238E27FC236}">
              <a16:creationId xmlns:a16="http://schemas.microsoft.com/office/drawing/2014/main" id="{00000000-0008-0000-0800-000026000000}"/>
            </a:ext>
          </a:extLst>
        </xdr:cNvPr>
        <xdr:cNvGrpSpPr/>
      </xdr:nvGrpSpPr>
      <xdr:grpSpPr>
        <a:xfrm>
          <a:off x="7385646" y="723910"/>
          <a:ext cx="169916" cy="173749"/>
          <a:chOff x="7213495" y="723910"/>
          <a:chExt cx="169916" cy="173749"/>
        </a:xfrm>
      </xdr:grpSpPr>
      <xdr:sp macro="" textlink="">
        <xdr:nvSpPr>
          <xdr:cNvPr id="19" name="Rechteck 48">
            <a:extLst>
              <a:ext uri="{FF2B5EF4-FFF2-40B4-BE49-F238E27FC236}">
                <a16:creationId xmlns:a16="http://schemas.microsoft.com/office/drawing/2014/main" id="{00000000-0008-0000-0800-000013000000}"/>
              </a:ext>
            </a:extLst>
          </xdr:cNvPr>
          <xdr:cNvSpPr>
            <a:spLocks noChangeAspect="1"/>
          </xdr:cNvSpPr>
        </xdr:nvSpPr>
        <xdr:spPr>
          <a:xfrm>
            <a:off x="7213495" y="723910"/>
            <a:ext cx="169916" cy="173749"/>
          </a:xfrm>
          <a:prstGeom prst="rect">
            <a:avLst/>
          </a:prstGeom>
          <a:gradFill>
            <a:gsLst>
              <a:gs pos="0">
                <a:srgbClr val="26575B"/>
              </a:gs>
              <a:gs pos="80000">
                <a:srgbClr val="2C666A"/>
              </a:gs>
              <a:gs pos="100000">
                <a:srgbClr val="357A7F"/>
              </a:gs>
            </a:gsLst>
          </a:gradFill>
          <a:ln>
            <a:solidFill>
              <a:srgbClr val="54B1B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0" name="Textfeld 49">
            <a:extLst>
              <a:ext uri="{FF2B5EF4-FFF2-40B4-BE49-F238E27FC236}">
                <a16:creationId xmlns:a16="http://schemas.microsoft.com/office/drawing/2014/main" id="{00000000-0008-0000-0800-000014000000}"/>
              </a:ext>
            </a:extLst>
          </xdr:cNvPr>
          <xdr:cNvSpPr txBox="1"/>
        </xdr:nvSpPr>
        <xdr:spPr>
          <a:xfrm>
            <a:off x="7259930" y="736642"/>
            <a:ext cx="77047" cy="1482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xdr:twoCellAnchor>
  <xdr:twoCellAnchor>
    <xdr:from>
      <xdr:col>11</xdr:col>
      <xdr:colOff>500068</xdr:colOff>
      <xdr:row>1</xdr:row>
      <xdr:rowOff>152410</xdr:rowOff>
    </xdr:from>
    <xdr:to>
      <xdr:col>11</xdr:col>
      <xdr:colOff>679109</xdr:colOff>
      <xdr:row>1</xdr:row>
      <xdr:rowOff>326159</xdr:rowOff>
    </xdr:to>
    <xdr:sp macro="[0]!Register_ein" textlink="">
      <xdr:nvSpPr>
        <xdr:cNvPr id="17" name="Rechteck 78">
          <a:extLst>
            <a:ext uri="{FF2B5EF4-FFF2-40B4-BE49-F238E27FC236}">
              <a16:creationId xmlns:a16="http://schemas.microsoft.com/office/drawing/2014/main" id="{00000000-0008-0000-0800-000011000000}"/>
            </a:ext>
          </a:extLst>
        </xdr:cNvPr>
        <xdr:cNvSpPr>
          <a:spLocks noChangeAspect="1"/>
        </xdr:cNvSpPr>
      </xdr:nvSpPr>
      <xdr:spPr>
        <a:xfrm>
          <a:off x="6738943" y="723910"/>
          <a:ext cx="179041" cy="173749"/>
        </a:xfrm>
        <a:prstGeom prst="rect">
          <a:avLst/>
        </a:prstGeom>
        <a:gradFill>
          <a:gsLst>
            <a:gs pos="0">
              <a:srgbClr val="26575B"/>
            </a:gs>
            <a:gs pos="80000">
              <a:srgbClr val="2C666A"/>
            </a:gs>
            <a:gs pos="100000">
              <a:srgbClr val="357A7F"/>
            </a:gs>
          </a:gsLst>
        </a:gradFill>
        <a:ln>
          <a:solidFill>
            <a:srgbClr val="54B1B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prstClr val="white"/>
              </a:solidFill>
              <a:effectLst/>
              <a:uLnTx/>
              <a:uFillTx/>
              <a:latin typeface="Calibri"/>
              <a:ea typeface="+mn-ea"/>
              <a:cs typeface="+mn-cs"/>
            </a:rPr>
            <a:t>+</a:t>
          </a:r>
        </a:p>
      </xdr:txBody>
    </xdr:sp>
    <xdr:clientData/>
  </xdr:twoCellAnchor>
  <xdr:twoCellAnchor>
    <xdr:from>
      <xdr:col>11</xdr:col>
      <xdr:colOff>707768</xdr:colOff>
      <xdr:row>1</xdr:row>
      <xdr:rowOff>152410</xdr:rowOff>
    </xdr:from>
    <xdr:to>
      <xdr:col>11</xdr:col>
      <xdr:colOff>876919</xdr:colOff>
      <xdr:row>1</xdr:row>
      <xdr:rowOff>326159</xdr:rowOff>
    </xdr:to>
    <xdr:sp macro="[0]!Register_aus" textlink="">
      <xdr:nvSpPr>
        <xdr:cNvPr id="18" name="Rechteck 84">
          <a:extLst>
            <a:ext uri="{FF2B5EF4-FFF2-40B4-BE49-F238E27FC236}">
              <a16:creationId xmlns:a16="http://schemas.microsoft.com/office/drawing/2014/main" id="{00000000-0008-0000-0800-000012000000}"/>
            </a:ext>
          </a:extLst>
        </xdr:cNvPr>
        <xdr:cNvSpPr>
          <a:spLocks noChangeAspect="1"/>
        </xdr:cNvSpPr>
      </xdr:nvSpPr>
      <xdr:spPr>
        <a:xfrm>
          <a:off x="6946643" y="723910"/>
          <a:ext cx="169151" cy="173749"/>
        </a:xfrm>
        <a:prstGeom prst="rect">
          <a:avLst/>
        </a:prstGeom>
        <a:gradFill>
          <a:gsLst>
            <a:gs pos="0">
              <a:srgbClr val="26575B"/>
            </a:gs>
            <a:gs pos="80000">
              <a:srgbClr val="2C666A"/>
            </a:gs>
            <a:gs pos="100000">
              <a:srgbClr val="357A7F"/>
            </a:gs>
          </a:gsLst>
        </a:gradFill>
        <a:ln>
          <a:solidFill>
            <a:srgbClr val="54B1B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prstClr val="white"/>
              </a:solidFill>
              <a:effectLst/>
              <a:uLnTx/>
              <a:uFillTx/>
              <a:latin typeface="Calibri"/>
              <a:ea typeface="+mn-ea"/>
              <a:cs typeface="+mn-cs"/>
            </a:rPr>
            <a:t>-</a:t>
          </a:r>
        </a:p>
      </xdr:txBody>
    </xdr:sp>
    <xdr:clientData/>
  </xdr:twoCellAnchor>
  <xdr:oneCellAnchor>
    <xdr:from>
      <xdr:col>5</xdr:col>
      <xdr:colOff>323850</xdr:colOff>
      <xdr:row>11</xdr:row>
      <xdr:rowOff>133350</xdr:rowOff>
    </xdr:from>
    <xdr:ext cx="1166812" cy="233205"/>
    <xdr:sp macro="" textlink="Projektmgmt!#REF!">
      <xdr:nvSpPr>
        <xdr:cNvPr id="21" name="TextBox 5">
          <a:hlinkClick xmlns:r="http://schemas.openxmlformats.org/officeDocument/2006/relationships" r:id="rId8"/>
          <a:extLst>
            <a:ext uri="{FF2B5EF4-FFF2-40B4-BE49-F238E27FC236}">
              <a16:creationId xmlns:a16="http://schemas.microsoft.com/office/drawing/2014/main" id="{00000000-0008-0000-0800-000015000000}"/>
            </a:ext>
          </a:extLst>
        </xdr:cNvPr>
        <xdr:cNvSpPr txBox="1"/>
      </xdr:nvSpPr>
      <xdr:spPr>
        <a:xfrm>
          <a:off x="3819525" y="3124200"/>
          <a:ext cx="1166812"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lIns="36000" rtlCol="0" anchor="t">
          <a:noAutofit/>
        </a:bodyPr>
        <a:lstStyle/>
        <a:p>
          <a:pPr algn="l"/>
          <a:fld id="{931DCFC8-787A-483B-B3AF-1F049B793E55}" type="TxLink">
            <a:rPr lang="en-US" sz="1000" b="0" i="0" u="none" strike="noStrike">
              <a:solidFill>
                <a:schemeClr val="accent3">
                  <a:lumMod val="50000"/>
                </a:schemeClr>
              </a:solidFill>
              <a:latin typeface="Calibri"/>
            </a:rPr>
            <a:pPr algn="l"/>
            <a:t> </a:t>
          </a:fld>
          <a:endParaRPr lang="fr-CH" sz="1000">
            <a:solidFill>
              <a:schemeClr val="accent3">
                <a:lumMod val="50000"/>
              </a:schemeClr>
            </a:solidFill>
          </a:endParaRPr>
        </a:p>
      </xdr:txBody>
    </xdr:sp>
    <xdr:clientData/>
  </xdr:oneCellAnchor>
  <xdr:twoCellAnchor>
    <xdr:from>
      <xdr:col>7</xdr:col>
      <xdr:colOff>38100</xdr:colOff>
      <xdr:row>49</xdr:row>
      <xdr:rowOff>19048</xdr:rowOff>
    </xdr:from>
    <xdr:to>
      <xdr:col>8</xdr:col>
      <xdr:colOff>819150</xdr:colOff>
      <xdr:row>54</xdr:row>
      <xdr:rowOff>9523</xdr:rowOff>
    </xdr:to>
    <xdr:sp macro="" textlink="">
      <xdr:nvSpPr>
        <xdr:cNvPr id="23" name="Rechteck 22">
          <a:hlinkClick xmlns:r="http://schemas.openxmlformats.org/officeDocument/2006/relationships" r:id="rId9" tooltip="Goto Team"/>
          <a:extLst>
            <a:ext uri="{FF2B5EF4-FFF2-40B4-BE49-F238E27FC236}">
              <a16:creationId xmlns:a16="http://schemas.microsoft.com/office/drawing/2014/main" id="{00000000-0008-0000-0800-000017000000}"/>
            </a:ext>
          </a:extLst>
        </xdr:cNvPr>
        <xdr:cNvSpPr/>
      </xdr:nvSpPr>
      <xdr:spPr>
        <a:xfrm>
          <a:off x="4000500" y="10325098"/>
          <a:ext cx="1019175" cy="9429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9</xdr:col>
      <xdr:colOff>9525</xdr:colOff>
      <xdr:row>49</xdr:row>
      <xdr:rowOff>0</xdr:rowOff>
    </xdr:from>
    <xdr:to>
      <xdr:col>9</xdr:col>
      <xdr:colOff>1028700</xdr:colOff>
      <xdr:row>54</xdr:row>
      <xdr:rowOff>9524</xdr:rowOff>
    </xdr:to>
    <xdr:sp macro="" textlink="">
      <xdr:nvSpPr>
        <xdr:cNvPr id="24" name="Rechteck 23">
          <a:hlinkClick xmlns:r="http://schemas.openxmlformats.org/officeDocument/2006/relationships" r:id="rId6" tooltip="Goto budget"/>
          <a:extLst>
            <a:ext uri="{FF2B5EF4-FFF2-40B4-BE49-F238E27FC236}">
              <a16:creationId xmlns:a16="http://schemas.microsoft.com/office/drawing/2014/main" id="{00000000-0008-0000-0800-000018000000}"/>
            </a:ext>
          </a:extLst>
        </xdr:cNvPr>
        <xdr:cNvSpPr/>
      </xdr:nvSpPr>
      <xdr:spPr>
        <a:xfrm>
          <a:off x="5038725" y="10306050"/>
          <a:ext cx="1019175"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11</xdr:col>
      <xdr:colOff>9525</xdr:colOff>
      <xdr:row>49</xdr:row>
      <xdr:rowOff>9525</xdr:rowOff>
    </xdr:from>
    <xdr:to>
      <xdr:col>11</xdr:col>
      <xdr:colOff>1143000</xdr:colOff>
      <xdr:row>54</xdr:row>
      <xdr:rowOff>19049</xdr:rowOff>
    </xdr:to>
    <xdr:sp macro="" textlink="">
      <xdr:nvSpPr>
        <xdr:cNvPr id="25" name="Rechteck 24">
          <a:hlinkClick xmlns:r="http://schemas.openxmlformats.org/officeDocument/2006/relationships" r:id="rId6" tooltip="Goto budget"/>
          <a:extLst>
            <a:ext uri="{FF2B5EF4-FFF2-40B4-BE49-F238E27FC236}">
              <a16:creationId xmlns:a16="http://schemas.microsoft.com/office/drawing/2014/main" id="{00000000-0008-0000-0800-000019000000}"/>
            </a:ext>
          </a:extLst>
        </xdr:cNvPr>
        <xdr:cNvSpPr/>
      </xdr:nvSpPr>
      <xdr:spPr>
        <a:xfrm>
          <a:off x="6248400" y="10315575"/>
          <a:ext cx="1133475"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1</xdr:col>
      <xdr:colOff>0</xdr:colOff>
      <xdr:row>49</xdr:row>
      <xdr:rowOff>0</xdr:rowOff>
    </xdr:from>
    <xdr:to>
      <xdr:col>3</xdr:col>
      <xdr:colOff>219075</xdr:colOff>
      <xdr:row>54</xdr:row>
      <xdr:rowOff>9524</xdr:rowOff>
    </xdr:to>
    <xdr:sp macro="" textlink="">
      <xdr:nvSpPr>
        <xdr:cNvPr id="26" name="Rechteck 25">
          <a:hlinkClick xmlns:r="http://schemas.openxmlformats.org/officeDocument/2006/relationships" r:id="rId6" tooltip="Goto budget"/>
          <a:extLst>
            <a:ext uri="{FF2B5EF4-FFF2-40B4-BE49-F238E27FC236}">
              <a16:creationId xmlns:a16="http://schemas.microsoft.com/office/drawing/2014/main" id="{00000000-0008-0000-0800-00001A000000}"/>
            </a:ext>
          </a:extLst>
        </xdr:cNvPr>
        <xdr:cNvSpPr/>
      </xdr:nvSpPr>
      <xdr:spPr>
        <a:xfrm>
          <a:off x="466725" y="10306050"/>
          <a:ext cx="1647825"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editAs="oneCell">
    <xdr:from>
      <xdr:col>11</xdr:col>
      <xdr:colOff>203200</xdr:colOff>
      <xdr:row>1</xdr:row>
      <xdr:rowOff>127000</xdr:rowOff>
    </xdr:from>
    <xdr:to>
      <xdr:col>11</xdr:col>
      <xdr:colOff>419200</xdr:colOff>
      <xdr:row>1</xdr:row>
      <xdr:rowOff>343000</xdr:rowOff>
    </xdr:to>
    <xdr:pic>
      <xdr:nvPicPr>
        <xdr:cNvPr id="27" name="Grafik 26">
          <a:hlinkClick xmlns:r="http://schemas.openxmlformats.org/officeDocument/2006/relationships" r:id="rId10" tooltip="Options"/>
          <a:extLst>
            <a:ext uri="{FF2B5EF4-FFF2-40B4-BE49-F238E27FC236}">
              <a16:creationId xmlns:a16="http://schemas.microsoft.com/office/drawing/2014/main" id="{00000000-0008-0000-0800-00001B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6442075" y="698500"/>
          <a:ext cx="216000" cy="216000"/>
        </a:xfrm>
        <a:prstGeom prst="rect">
          <a:avLst/>
        </a:prstGeom>
      </xdr:spPr>
    </xdr:pic>
    <xdr:clientData fPrintsWithSheet="0"/>
  </xdr:twoCellAnchor>
  <xdr:twoCellAnchor>
    <xdr:from>
      <xdr:col>0</xdr:col>
      <xdr:colOff>57150</xdr:colOff>
      <xdr:row>0</xdr:row>
      <xdr:rowOff>228600</xdr:rowOff>
    </xdr:from>
    <xdr:to>
      <xdr:col>0</xdr:col>
      <xdr:colOff>379878</xdr:colOff>
      <xdr:row>0</xdr:row>
      <xdr:rowOff>554065</xdr:rowOff>
    </xdr:to>
    <xdr:grpSp>
      <xdr:nvGrpSpPr>
        <xdr:cNvPr id="12" name="Gruppieren 11">
          <a:hlinkClick xmlns:r="http://schemas.openxmlformats.org/officeDocument/2006/relationships" r:id="rId12" tooltip="Home"/>
          <a:extLst>
            <a:ext uri="{FF2B5EF4-FFF2-40B4-BE49-F238E27FC236}">
              <a16:creationId xmlns:a16="http://schemas.microsoft.com/office/drawing/2014/main" id="{00000000-0008-0000-0800-00000C000000}"/>
            </a:ext>
          </a:extLst>
        </xdr:cNvPr>
        <xdr:cNvGrpSpPr/>
      </xdr:nvGrpSpPr>
      <xdr:grpSpPr>
        <a:xfrm>
          <a:off x="57150" y="228600"/>
          <a:ext cx="322728" cy="325465"/>
          <a:chOff x="57150" y="228600"/>
          <a:chExt cx="322728" cy="325465"/>
        </a:xfrm>
      </xdr:grpSpPr>
      <xdr:sp macro="" textlink="">
        <xdr:nvSpPr>
          <xdr:cNvPr id="29" name="Rechteck 28">
            <a:extLst>
              <a:ext uri="{FF2B5EF4-FFF2-40B4-BE49-F238E27FC236}">
                <a16:creationId xmlns:a16="http://schemas.microsoft.com/office/drawing/2014/main" id="{00000000-0008-0000-0800-00001D000000}"/>
              </a:ext>
            </a:extLst>
          </xdr:cNvPr>
          <xdr:cNvSpPr>
            <a:spLocks noChangeAspect="1"/>
          </xdr:cNvSpPr>
        </xdr:nvSpPr>
        <xdr:spPr>
          <a:xfrm>
            <a:off x="57150" y="228600"/>
            <a:ext cx="322728" cy="325465"/>
          </a:xfrm>
          <a:prstGeom prst="rect">
            <a:avLst/>
          </a:prstGeom>
          <a:gradFill>
            <a:gsLst>
              <a:gs pos="0">
                <a:srgbClr val="26575B"/>
              </a:gs>
              <a:gs pos="80000">
                <a:srgbClr val="2C666A"/>
              </a:gs>
              <a:gs pos="100000">
                <a:srgbClr val="357A7F"/>
              </a:gs>
            </a:gsLst>
          </a:gradFill>
          <a:ln>
            <a:solidFill>
              <a:srgbClr val="54B1B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30" name="Grafik 29" descr="http://www.clker.com/cliparts/Z/I/5/L/X/x/white-house-md.png">
            <a:extLst>
              <a:ext uri="{FF2B5EF4-FFF2-40B4-BE49-F238E27FC236}">
                <a16:creationId xmlns:a16="http://schemas.microsoft.com/office/drawing/2014/main" id="{00000000-0008-0000-0800-00001E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14077" y="275811"/>
            <a:ext cx="227359" cy="21746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13095</xdr:colOff>
      <xdr:row>48</xdr:row>
      <xdr:rowOff>84992</xdr:rowOff>
    </xdr:from>
    <xdr:to>
      <xdr:col>7</xdr:col>
      <xdr:colOff>125695</xdr:colOff>
      <xdr:row>51</xdr:row>
      <xdr:rowOff>39332</xdr:rowOff>
    </xdr:to>
    <xdr:graphicFrame macro="">
      <xdr:nvGraphicFramePr>
        <xdr:cNvPr id="31" name="Diagramm 30">
          <a:extLst>
            <a:ext uri="{FF2B5EF4-FFF2-40B4-BE49-F238E27FC236}">
              <a16:creationId xmlns:a16="http://schemas.microsoft.com/office/drawing/2014/main" id="{00000000-0008-0000-08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11</xdr:col>
      <xdr:colOff>958209</xdr:colOff>
      <xdr:row>22</xdr:row>
      <xdr:rowOff>3406</xdr:rowOff>
    </xdr:from>
    <xdr:to>
      <xdr:col>11</xdr:col>
      <xdr:colOff>1132218</xdr:colOff>
      <xdr:row>22</xdr:row>
      <xdr:rowOff>177155</xdr:rowOff>
    </xdr:to>
    <xdr:grpSp>
      <xdr:nvGrpSpPr>
        <xdr:cNvPr id="32" name="Gruppieren 31">
          <a:hlinkClick xmlns:r="http://schemas.openxmlformats.org/officeDocument/2006/relationships" r:id="rId15" tooltip="GoTo"/>
          <a:extLst>
            <a:ext uri="{FF2B5EF4-FFF2-40B4-BE49-F238E27FC236}">
              <a16:creationId xmlns:a16="http://schemas.microsoft.com/office/drawing/2014/main" id="{00000000-0008-0000-0800-000020000000}"/>
            </a:ext>
          </a:extLst>
        </xdr:cNvPr>
        <xdr:cNvGrpSpPr/>
      </xdr:nvGrpSpPr>
      <xdr:grpSpPr>
        <a:xfrm>
          <a:off x="7374249" y="4727806"/>
          <a:ext cx="174009" cy="173749"/>
          <a:chOff x="7197084" y="9928456"/>
          <a:chExt cx="174009" cy="173749"/>
        </a:xfrm>
      </xdr:grpSpPr>
      <xdr:sp macro="" textlink="">
        <xdr:nvSpPr>
          <xdr:cNvPr id="33" name="Rechteck 32">
            <a:extLst>
              <a:ext uri="{FF2B5EF4-FFF2-40B4-BE49-F238E27FC236}">
                <a16:creationId xmlns:a16="http://schemas.microsoft.com/office/drawing/2014/main" id="{00000000-0008-0000-0800-000021000000}"/>
              </a:ext>
            </a:extLst>
          </xdr:cNvPr>
          <xdr:cNvSpPr>
            <a:spLocks noChangeAspect="1"/>
          </xdr:cNvSpPr>
        </xdr:nvSpPr>
        <xdr:spPr>
          <a:xfrm>
            <a:off x="7197084" y="9928456"/>
            <a:ext cx="174009" cy="173749"/>
          </a:xfrm>
          <a:prstGeom prst="rect">
            <a:avLst/>
          </a:prstGeom>
          <a:gradFill>
            <a:gsLst>
              <a:gs pos="0">
                <a:srgbClr val="26575B"/>
              </a:gs>
              <a:gs pos="80000">
                <a:srgbClr val="2C666A"/>
              </a:gs>
              <a:gs pos="100000">
                <a:srgbClr val="357A7F"/>
              </a:gs>
            </a:gsLst>
          </a:gradFill>
          <a:ln>
            <a:solidFill>
              <a:srgbClr val="54B1B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4" name="Pfeil nach rechts 36">
            <a:extLst>
              <a:ext uri="{FF2B5EF4-FFF2-40B4-BE49-F238E27FC236}">
                <a16:creationId xmlns:a16="http://schemas.microsoft.com/office/drawing/2014/main" id="{00000000-0008-0000-0800-000022000000}"/>
              </a:ext>
            </a:extLst>
          </xdr:cNvPr>
          <xdr:cNvSpPr/>
        </xdr:nvSpPr>
        <xdr:spPr>
          <a:xfrm>
            <a:off x="7248239" y="9969135"/>
            <a:ext cx="87005" cy="96093"/>
          </a:xfrm>
          <a:prstGeom prst="rightArrow">
            <a:avLst/>
          </a:prstGeom>
          <a:solidFill>
            <a:schemeClr val="bg1"/>
          </a:solidFill>
          <a:ln>
            <a:solidFill>
              <a:schemeClr val="bg1"/>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grpSp>
    <xdr:clientData/>
  </xdr:twoCellAnchor>
  <mc:AlternateContent xmlns:mc="http://schemas.openxmlformats.org/markup-compatibility/2006">
    <mc:Choice xmlns:a14="http://schemas.microsoft.com/office/drawing/2010/main" Requires="a14">
      <xdr:twoCellAnchor>
        <xdr:from>
          <xdr:col>8</xdr:col>
          <xdr:colOff>418432</xdr:colOff>
          <xdr:row>1</xdr:row>
          <xdr:rowOff>19050</xdr:rowOff>
        </xdr:from>
        <xdr:to>
          <xdr:col>10</xdr:col>
          <xdr:colOff>17736</xdr:colOff>
          <xdr:row>2</xdr:row>
          <xdr:rowOff>0</xdr:rowOff>
        </xdr:to>
        <xdr:pic>
          <xdr:nvPicPr>
            <xdr:cNvPr id="35" name="Grafik 34">
              <a:extLst>
                <a:ext uri="{FF2B5EF4-FFF2-40B4-BE49-F238E27FC236}">
                  <a16:creationId xmlns:a16="http://schemas.microsoft.com/office/drawing/2014/main" id="{00000000-0008-0000-0800-000023000000}"/>
                </a:ext>
              </a:extLst>
            </xdr:cNvPr>
            <xdr:cNvPicPr>
              <a:picLocks noChangeAspect="1" noChangeArrowheads="1"/>
              <a:extLst>
                <a:ext uri="{84589F7E-364E-4C9E-8A38-B11213B215E9}">
                  <a14:cameraTool cellRange="Logo!$D$6" spid="_x0000_s517183"/>
                </a:ext>
              </a:extLst>
            </xdr:cNvPicPr>
          </xdr:nvPicPr>
          <xdr:blipFill>
            <a:blip xmlns:r="http://schemas.openxmlformats.org/officeDocument/2006/relationships" r:embed="rId16"/>
            <a:srcRect/>
            <a:stretch>
              <a:fillRect/>
            </a:stretch>
          </xdr:blipFill>
          <xdr:spPr bwMode="auto">
            <a:xfrm>
              <a:off x="4618957" y="590550"/>
              <a:ext cx="1466204" cy="361950"/>
            </a:xfrm>
            <a:prstGeom prst="rect">
              <a:avLst/>
            </a:prstGeom>
            <a:solidFill>
              <a:schemeClr val="bg1"/>
            </a:solidFill>
            <a:ln w="9525">
              <a:noFill/>
              <a:miter lim="800000"/>
              <a:headEnd/>
              <a:tailEnd/>
            </a:ln>
          </xdr:spPr>
        </xdr:pic>
        <xdr:clientData/>
      </xdr:twoCellAnchor>
    </mc:Choice>
    <mc:Fallback/>
  </mc:AlternateContent>
  <xdr:twoCellAnchor>
    <xdr:from>
      <xdr:col>4</xdr:col>
      <xdr:colOff>9329</xdr:colOff>
      <xdr:row>0</xdr:row>
      <xdr:rowOff>190500</xdr:rowOff>
    </xdr:from>
    <xdr:to>
      <xdr:col>12</xdr:col>
      <xdr:colOff>0</xdr:colOff>
      <xdr:row>0</xdr:row>
      <xdr:rowOff>527250</xdr:rowOff>
    </xdr:to>
    <xdr:grpSp>
      <xdr:nvGrpSpPr>
        <xdr:cNvPr id="10" name="Gruppieren 9">
          <a:extLst>
            <a:ext uri="{FF2B5EF4-FFF2-40B4-BE49-F238E27FC236}">
              <a16:creationId xmlns:a16="http://schemas.microsoft.com/office/drawing/2014/main" id="{00000000-0008-0000-0800-00000A000000}"/>
            </a:ext>
          </a:extLst>
        </xdr:cNvPr>
        <xdr:cNvGrpSpPr/>
      </xdr:nvGrpSpPr>
      <xdr:grpSpPr>
        <a:xfrm>
          <a:off x="3255449" y="190500"/>
          <a:ext cx="4334071" cy="336750"/>
          <a:chOff x="10848779" y="1228725"/>
          <a:chExt cx="4426572" cy="432000"/>
        </a:xfrm>
      </xdr:grpSpPr>
      <xdr:sp macro="" textlink="' '!A99">
        <xdr:nvSpPr>
          <xdr:cNvPr id="46" name="Rechteck: obere Ecken abgerundet 15">
            <a:hlinkClick xmlns:r="http://schemas.openxmlformats.org/officeDocument/2006/relationships" r:id="rId17" tooltip="Go to"/>
            <a:extLst>
              <a:ext uri="{FF2B5EF4-FFF2-40B4-BE49-F238E27FC236}">
                <a16:creationId xmlns:a16="http://schemas.microsoft.com/office/drawing/2014/main" id="{00000000-0008-0000-0800-00002E000000}"/>
              </a:ext>
            </a:extLst>
          </xdr:cNvPr>
          <xdr:cNvSpPr/>
        </xdr:nvSpPr>
        <xdr:spPr>
          <a:xfrm>
            <a:off x="10848779" y="1228725"/>
            <a:ext cx="1440000" cy="432000"/>
          </a:xfrm>
          <a:prstGeom prst="round2SameRect">
            <a:avLst/>
          </a:prstGeom>
          <a:gradFill>
            <a:gsLst>
              <a:gs pos="0">
                <a:srgbClr val="3D8D93"/>
              </a:gs>
              <a:gs pos="80000">
                <a:srgbClr val="A1D3D7"/>
              </a:gs>
              <a:gs pos="100000">
                <a:srgbClr val="ADDADD"/>
              </a:gs>
            </a:gsLst>
          </a:gradFill>
          <a:ln>
            <a:solidFill>
              <a:srgbClr val="75BFC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47" name="Rechteck: obere Ecken abgerundet 14">
            <a:hlinkClick xmlns:r="http://schemas.openxmlformats.org/officeDocument/2006/relationships" r:id="rId18" tooltip="Go to"/>
            <a:extLst>
              <a:ext uri="{FF2B5EF4-FFF2-40B4-BE49-F238E27FC236}">
                <a16:creationId xmlns:a16="http://schemas.microsoft.com/office/drawing/2014/main" id="{00000000-0008-0000-0800-00002F000000}"/>
              </a:ext>
            </a:extLst>
          </xdr:cNvPr>
          <xdr:cNvSpPr/>
        </xdr:nvSpPr>
        <xdr:spPr>
          <a:xfrm>
            <a:off x="12342065" y="1228725"/>
            <a:ext cx="1440000" cy="432000"/>
          </a:xfrm>
          <a:prstGeom prst="round2SameRect">
            <a:avLst/>
          </a:prstGeom>
          <a:gradFill>
            <a:gsLst>
              <a:gs pos="0">
                <a:srgbClr val="3D8D93"/>
              </a:gs>
              <a:gs pos="80000">
                <a:srgbClr val="A1D3D7"/>
              </a:gs>
              <a:gs pos="100000">
                <a:srgbClr val="ADDADD"/>
              </a:gs>
            </a:gsLst>
          </a:gradFill>
          <a:ln>
            <a:solidFill>
              <a:srgbClr val="75BFC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02">
        <xdr:nvSpPr>
          <xdr:cNvPr id="50" name="Rechteck: obere Ecken abgerundet 14">
            <a:hlinkClick xmlns:r="http://schemas.openxmlformats.org/officeDocument/2006/relationships" r:id="rId19" tooltip="Go to"/>
            <a:extLst>
              <a:ext uri="{FF2B5EF4-FFF2-40B4-BE49-F238E27FC236}">
                <a16:creationId xmlns:a16="http://schemas.microsoft.com/office/drawing/2014/main" id="{00000000-0008-0000-0800-000032000000}"/>
              </a:ext>
            </a:extLst>
          </xdr:cNvPr>
          <xdr:cNvSpPr/>
        </xdr:nvSpPr>
        <xdr:spPr>
          <a:xfrm>
            <a:off x="13835351" y="1228725"/>
            <a:ext cx="1440000" cy="432000"/>
          </a:xfrm>
          <a:prstGeom prst="round2SameRect">
            <a:avLst/>
          </a:prstGeom>
          <a:gradFill>
            <a:gsLst>
              <a:gs pos="0">
                <a:srgbClr val="3D8D93"/>
              </a:gs>
              <a:gs pos="80000">
                <a:srgbClr val="A1D3D7"/>
              </a:gs>
              <a:gs pos="100000">
                <a:srgbClr val="ADDADD"/>
              </a:gs>
            </a:gsLst>
          </a:gradFill>
          <a:ln>
            <a:solidFill>
              <a:srgbClr val="75BFC5"/>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E3A21285-16A6-4B9D-8378-81F287973AD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Review</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xdr:twoCellAnchor>
  <xdr:twoCellAnchor>
    <xdr:from>
      <xdr:col>0</xdr:col>
      <xdr:colOff>57150</xdr:colOff>
      <xdr:row>2</xdr:row>
      <xdr:rowOff>0</xdr:rowOff>
    </xdr:from>
    <xdr:to>
      <xdr:col>0</xdr:col>
      <xdr:colOff>379878</xdr:colOff>
      <xdr:row>3</xdr:row>
      <xdr:rowOff>134965</xdr:rowOff>
    </xdr:to>
    <xdr:grpSp>
      <xdr:nvGrpSpPr>
        <xdr:cNvPr id="11" name="Gruppieren 10">
          <a:hlinkClick xmlns:r="http://schemas.openxmlformats.org/officeDocument/2006/relationships" r:id="rId20" tooltip="Different Analyses"/>
          <a:extLst>
            <a:ext uri="{FF2B5EF4-FFF2-40B4-BE49-F238E27FC236}">
              <a16:creationId xmlns:a16="http://schemas.microsoft.com/office/drawing/2014/main" id="{00000000-0008-0000-0800-00000B000000}"/>
            </a:ext>
          </a:extLst>
        </xdr:cNvPr>
        <xdr:cNvGrpSpPr/>
      </xdr:nvGrpSpPr>
      <xdr:grpSpPr>
        <a:xfrm>
          <a:off x="57150" y="952500"/>
          <a:ext cx="322728" cy="325465"/>
          <a:chOff x="57150" y="952500"/>
          <a:chExt cx="322728" cy="325465"/>
        </a:xfrm>
      </xdr:grpSpPr>
      <xdr:sp macro="" textlink="">
        <xdr:nvSpPr>
          <xdr:cNvPr id="37" name="Rechteck 36">
            <a:extLst>
              <a:ext uri="{FF2B5EF4-FFF2-40B4-BE49-F238E27FC236}">
                <a16:creationId xmlns:a16="http://schemas.microsoft.com/office/drawing/2014/main" id="{00000000-0008-0000-0800-000025000000}"/>
              </a:ext>
            </a:extLst>
          </xdr:cNvPr>
          <xdr:cNvSpPr>
            <a:spLocks noChangeAspect="1"/>
          </xdr:cNvSpPr>
        </xdr:nvSpPr>
        <xdr:spPr>
          <a:xfrm>
            <a:off x="57150" y="952500"/>
            <a:ext cx="322728" cy="325465"/>
          </a:xfrm>
          <a:prstGeom prst="rect">
            <a:avLst/>
          </a:prstGeom>
          <a:gradFill>
            <a:gsLst>
              <a:gs pos="0">
                <a:srgbClr val="26575B"/>
              </a:gs>
              <a:gs pos="80000">
                <a:srgbClr val="2C666A"/>
              </a:gs>
              <a:gs pos="100000">
                <a:srgbClr val="357A7F"/>
              </a:gs>
            </a:gsLst>
          </a:gradFill>
          <a:ln>
            <a:solidFill>
              <a:srgbClr val="54B1B8"/>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1" name="Freeform 969">
            <a:extLst>
              <a:ext uri="{FF2B5EF4-FFF2-40B4-BE49-F238E27FC236}">
                <a16:creationId xmlns:a16="http://schemas.microsoft.com/office/drawing/2014/main" id="{00000000-0008-0000-0800-000029000000}"/>
              </a:ext>
            </a:extLst>
          </xdr:cNvPr>
          <xdr:cNvSpPr>
            <a:spLocks noChangeAspect="1" noChangeArrowheads="1"/>
          </xdr:cNvSpPr>
        </xdr:nvSpPr>
        <xdr:spPr bwMode="auto">
          <a:xfrm>
            <a:off x="113739" y="995846"/>
            <a:ext cx="209550" cy="238772"/>
          </a:xfrm>
          <a:custGeom>
            <a:avLst/>
            <a:gdLst>
              <a:gd name="T0" fmla="*/ 716677 w 256815"/>
              <a:gd name="T1" fmla="*/ 4947853 h 293327"/>
              <a:gd name="T2" fmla="*/ 1369698 w 256815"/>
              <a:gd name="T3" fmla="*/ 4567981 h 293327"/>
              <a:gd name="T4" fmla="*/ 1085783 w 256815"/>
              <a:gd name="T5" fmla="*/ 4195282 h 293327"/>
              <a:gd name="T6" fmla="*/ 1547187 w 256815"/>
              <a:gd name="T7" fmla="*/ 4998031 h 293327"/>
              <a:gd name="T8" fmla="*/ 1043188 w 256815"/>
              <a:gd name="T9" fmla="*/ 5327736 h 293327"/>
              <a:gd name="T10" fmla="*/ 539234 w 256815"/>
              <a:gd name="T11" fmla="*/ 4998031 h 293327"/>
              <a:gd name="T12" fmla="*/ 1000601 w 256815"/>
              <a:gd name="T13" fmla="*/ 4195282 h 293327"/>
              <a:gd name="T14" fmla="*/ 2212240 w 256815"/>
              <a:gd name="T15" fmla="*/ 4292229 h 293327"/>
              <a:gd name="T16" fmla="*/ 3459299 w 256815"/>
              <a:gd name="T17" fmla="*/ 2906367 h 293327"/>
              <a:gd name="T18" fmla="*/ 2212240 w 256815"/>
              <a:gd name="T19" fmla="*/ 1506311 h 293327"/>
              <a:gd name="T20" fmla="*/ 557289 w 256815"/>
              <a:gd name="T21" fmla="*/ 1661828 h 293327"/>
              <a:gd name="T22" fmla="*/ 557289 w 256815"/>
              <a:gd name="T23" fmla="*/ 4043965 h 293327"/>
              <a:gd name="T24" fmla="*/ 1907743 w 256815"/>
              <a:gd name="T25" fmla="*/ 4757198 h 293327"/>
              <a:gd name="T26" fmla="*/ 1500470 w 256815"/>
              <a:gd name="T27" fmla="*/ 1740250 h 293327"/>
              <a:gd name="T28" fmla="*/ 1557636 w 256815"/>
              <a:gd name="T29" fmla="*/ 249684 h 293327"/>
              <a:gd name="T30" fmla="*/ 1093210 w 256815"/>
              <a:gd name="T31" fmla="*/ 1390795 h 293327"/>
              <a:gd name="T32" fmla="*/ 543000 w 256815"/>
              <a:gd name="T33" fmla="*/ 1069848 h 293327"/>
              <a:gd name="T34" fmla="*/ 678813 w 256815"/>
              <a:gd name="T35" fmla="*/ 28544 h 293327"/>
              <a:gd name="T36" fmla="*/ 1050341 w 256815"/>
              <a:gd name="T37" fmla="*/ 1212485 h 293327"/>
              <a:gd name="T38" fmla="*/ 1414737 w 256815"/>
              <a:gd name="T39" fmla="*/ 28544 h 293327"/>
              <a:gd name="T40" fmla="*/ 1664802 w 256815"/>
              <a:gd name="T41" fmla="*/ 1775929 h 293327"/>
              <a:gd name="T42" fmla="*/ 1050341 w 256815"/>
              <a:gd name="T43" fmla="*/ 5798487 h 293327"/>
              <a:gd name="T44" fmla="*/ 421598 w 256815"/>
              <a:gd name="T45" fmla="*/ 1775929 h 293327"/>
              <a:gd name="T46" fmla="*/ 2084769 w 256815"/>
              <a:gd name="T47" fmla="*/ 0 h 293327"/>
              <a:gd name="T48" fmla="*/ 2653782 w 256815"/>
              <a:gd name="T49" fmla="*/ 532641 h 293327"/>
              <a:gd name="T50" fmla="*/ 3309210 w 256815"/>
              <a:gd name="T51" fmla="*/ 262747 h 293327"/>
              <a:gd name="T52" fmla="*/ 3935843 w 256815"/>
              <a:gd name="T53" fmla="*/ 809690 h 293327"/>
              <a:gd name="T54" fmla="*/ 4310386 w 256815"/>
              <a:gd name="T55" fmla="*/ 1179009 h 293327"/>
              <a:gd name="T56" fmla="*/ 4843358 w 256815"/>
              <a:gd name="T57" fmla="*/ 1626464 h 293327"/>
              <a:gd name="T58" fmla="*/ 4490414 w 256815"/>
              <a:gd name="T59" fmla="*/ 2088086 h 293327"/>
              <a:gd name="T60" fmla="*/ 5131496 w 256815"/>
              <a:gd name="T61" fmla="*/ 2670486 h 293327"/>
              <a:gd name="T62" fmla="*/ 4591266 w 256815"/>
              <a:gd name="T63" fmla="*/ 3323903 h 293327"/>
              <a:gd name="T64" fmla="*/ 4843358 w 256815"/>
              <a:gd name="T65" fmla="*/ 4140674 h 293327"/>
              <a:gd name="T66" fmla="*/ 4310386 w 256815"/>
              <a:gd name="T67" fmla="*/ 4595220 h 293327"/>
              <a:gd name="T68" fmla="*/ 3935843 w 256815"/>
              <a:gd name="T69" fmla="*/ 4964558 h 293327"/>
              <a:gd name="T70" fmla="*/ 3309210 w 256815"/>
              <a:gd name="T71" fmla="*/ 5511442 h 293327"/>
              <a:gd name="T72" fmla="*/ 2653782 w 256815"/>
              <a:gd name="T73" fmla="*/ 5234445 h 293327"/>
              <a:gd name="T74" fmla="*/ 2084769 w 256815"/>
              <a:gd name="T75" fmla="*/ 5767122 h 293327"/>
              <a:gd name="T76" fmla="*/ 2423295 w 256815"/>
              <a:gd name="T77" fmla="*/ 5589582 h 293327"/>
              <a:gd name="T78" fmla="*/ 2545769 w 256815"/>
              <a:gd name="T79" fmla="*/ 5071109 h 293327"/>
              <a:gd name="T80" fmla="*/ 3316416 w 256815"/>
              <a:gd name="T81" fmla="*/ 5312585 h 293327"/>
              <a:gd name="T82" fmla="*/ 3770178 w 256815"/>
              <a:gd name="T83" fmla="*/ 5120829 h 293327"/>
              <a:gd name="T84" fmla="*/ 3611723 w 256815"/>
              <a:gd name="T85" fmla="*/ 4616526 h 293327"/>
              <a:gd name="T86" fmla="*/ 4403996 w 256815"/>
              <a:gd name="T87" fmla="*/ 4438985 h 293327"/>
              <a:gd name="T88" fmla="*/ 4684926 w 256815"/>
              <a:gd name="T89" fmla="*/ 4055459 h 293327"/>
              <a:gd name="T90" fmla="*/ 4339189 w 256815"/>
              <a:gd name="T91" fmla="*/ 3799780 h 293327"/>
              <a:gd name="T92" fmla="*/ 4519224 w 256815"/>
              <a:gd name="T93" fmla="*/ 3146360 h 293327"/>
              <a:gd name="T94" fmla="*/ 4951381 w 256815"/>
              <a:gd name="T95" fmla="*/ 2670486 h 293327"/>
              <a:gd name="T96" fmla="*/ 4425601 w 256815"/>
              <a:gd name="T97" fmla="*/ 2542652 h 293327"/>
              <a:gd name="T98" fmla="*/ 4670527 w 256815"/>
              <a:gd name="T99" fmla="*/ 1782706 h 293327"/>
              <a:gd name="T100" fmla="*/ 4476008 w 256815"/>
              <a:gd name="T101" fmla="*/ 1342367 h 293327"/>
              <a:gd name="T102" fmla="*/ 4079887 w 256815"/>
              <a:gd name="T103" fmla="*/ 1512807 h 293327"/>
              <a:gd name="T104" fmla="*/ 3590120 w 256815"/>
              <a:gd name="T105" fmla="*/ 1036980 h 293327"/>
              <a:gd name="T106" fmla="*/ 3395668 w 256815"/>
              <a:gd name="T107" fmla="*/ 440355 h 293327"/>
              <a:gd name="T108" fmla="*/ 3129148 w 256815"/>
              <a:gd name="T109" fmla="*/ 781276 h 293327"/>
              <a:gd name="T110" fmla="*/ 2473752 w 256815"/>
              <a:gd name="T111" fmla="*/ 603728 h 293327"/>
              <a:gd name="T112" fmla="*/ 2084769 w 256815"/>
              <a:gd name="T113" fmla="*/ 170505 h 293327"/>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Lst>
            <a:ahLst/>
            <a:cxnLst>
              <a:cxn ang="T114">
                <a:pos x="T0" y="T1"/>
              </a:cxn>
              <a:cxn ang="T115">
                <a:pos x="T2" y="T3"/>
              </a:cxn>
              <a:cxn ang="T116">
                <a:pos x="T4" y="T5"/>
              </a:cxn>
              <a:cxn ang="T117">
                <a:pos x="T6" y="T7"/>
              </a:cxn>
              <a:cxn ang="T118">
                <a:pos x="T8" y="T9"/>
              </a:cxn>
              <a:cxn ang="T119">
                <a:pos x="T10" y="T11"/>
              </a:cxn>
              <a:cxn ang="T120">
                <a:pos x="T12" y="T13"/>
              </a:cxn>
              <a:cxn ang="T121">
                <a:pos x="T14" y="T15"/>
              </a:cxn>
              <a:cxn ang="T122">
                <a:pos x="T16" y="T17"/>
              </a:cxn>
              <a:cxn ang="T123">
                <a:pos x="T18" y="T19"/>
              </a:cxn>
              <a:cxn ang="T124">
                <a:pos x="T20" y="T21"/>
              </a:cxn>
              <a:cxn ang="T125">
                <a:pos x="T22" y="T23"/>
              </a:cxn>
              <a:cxn ang="T126">
                <a:pos x="T24" y="T25"/>
              </a:cxn>
              <a:cxn ang="T127">
                <a:pos x="T26" y="T27"/>
              </a:cxn>
              <a:cxn ang="T128">
                <a:pos x="T28" y="T29"/>
              </a:cxn>
              <a:cxn ang="T129">
                <a:pos x="T30" y="T31"/>
              </a:cxn>
              <a:cxn ang="T130">
                <a:pos x="T32" y="T33"/>
              </a:cxn>
              <a:cxn ang="T131">
                <a:pos x="T34" y="T35"/>
              </a:cxn>
              <a:cxn ang="T132">
                <a:pos x="T36" y="T37"/>
              </a:cxn>
              <a:cxn ang="T133">
                <a:pos x="T38" y="T39"/>
              </a:cxn>
              <a:cxn ang="T134">
                <a:pos x="T40" y="T41"/>
              </a:cxn>
              <a:cxn ang="T135">
                <a:pos x="T42" y="T43"/>
              </a:cxn>
              <a:cxn ang="T136">
                <a:pos x="T44" y="T45"/>
              </a:cxn>
              <a:cxn ang="T137">
                <a:pos x="T46" y="T47"/>
              </a:cxn>
              <a:cxn ang="T138">
                <a:pos x="T48" y="T49"/>
              </a:cxn>
              <a:cxn ang="T139">
                <a:pos x="T50" y="T51"/>
              </a:cxn>
              <a:cxn ang="T140">
                <a:pos x="T52" y="T53"/>
              </a:cxn>
              <a:cxn ang="T141">
                <a:pos x="T54" y="T55"/>
              </a:cxn>
              <a:cxn ang="T142">
                <a:pos x="T56" y="T57"/>
              </a:cxn>
              <a:cxn ang="T143">
                <a:pos x="T58" y="T59"/>
              </a:cxn>
              <a:cxn ang="T144">
                <a:pos x="T60" y="T61"/>
              </a:cxn>
              <a:cxn ang="T145">
                <a:pos x="T62" y="T63"/>
              </a:cxn>
              <a:cxn ang="T146">
                <a:pos x="T64" y="T65"/>
              </a:cxn>
              <a:cxn ang="T147">
                <a:pos x="T66" y="T67"/>
              </a:cxn>
              <a:cxn ang="T148">
                <a:pos x="T68" y="T69"/>
              </a:cxn>
              <a:cxn ang="T149">
                <a:pos x="T70" y="T71"/>
              </a:cxn>
              <a:cxn ang="T150">
                <a:pos x="T72" y="T73"/>
              </a:cxn>
              <a:cxn ang="T151">
                <a:pos x="T74" y="T75"/>
              </a:cxn>
              <a:cxn ang="T152">
                <a:pos x="T76" y="T77"/>
              </a:cxn>
              <a:cxn ang="T153">
                <a:pos x="T78" y="T79"/>
              </a:cxn>
              <a:cxn ang="T154">
                <a:pos x="T80" y="T81"/>
              </a:cxn>
              <a:cxn ang="T155">
                <a:pos x="T82" y="T83"/>
              </a:cxn>
              <a:cxn ang="T156">
                <a:pos x="T84" y="T85"/>
              </a:cxn>
              <a:cxn ang="T157">
                <a:pos x="T86" y="T87"/>
              </a:cxn>
              <a:cxn ang="T158">
                <a:pos x="T88" y="T89"/>
              </a:cxn>
              <a:cxn ang="T159">
                <a:pos x="T90" y="T91"/>
              </a:cxn>
              <a:cxn ang="T160">
                <a:pos x="T92" y="T93"/>
              </a:cxn>
              <a:cxn ang="T161">
                <a:pos x="T94" y="T95"/>
              </a:cxn>
              <a:cxn ang="T162">
                <a:pos x="T96" y="T97"/>
              </a:cxn>
              <a:cxn ang="T163">
                <a:pos x="T98" y="T99"/>
              </a:cxn>
              <a:cxn ang="T164">
                <a:pos x="T100" y="T101"/>
              </a:cxn>
              <a:cxn ang="T165">
                <a:pos x="T102" y="T103"/>
              </a:cxn>
              <a:cxn ang="T166">
                <a:pos x="T104" y="T105"/>
              </a:cxn>
              <a:cxn ang="T167">
                <a:pos x="T106" y="T107"/>
              </a:cxn>
              <a:cxn ang="T168">
                <a:pos x="T108" y="T109"/>
              </a:cxn>
              <a:cxn ang="T169">
                <a:pos x="T110" y="T111"/>
              </a:cxn>
              <a:cxn ang="T170">
                <a:pos x="T112" y="T113"/>
              </a:cxn>
            </a:cxnLst>
            <a:rect l="0" t="0" r="r" b="b"/>
            <a:pathLst>
              <a:path w="256815" h="293327">
                <a:moveTo>
                  <a:pt x="52209" y="221290"/>
                </a:moveTo>
                <a:lnTo>
                  <a:pt x="35868" y="231080"/>
                </a:lnTo>
                <a:lnTo>
                  <a:pt x="35868" y="250296"/>
                </a:lnTo>
                <a:lnTo>
                  <a:pt x="52209" y="259723"/>
                </a:lnTo>
                <a:lnTo>
                  <a:pt x="68550" y="250296"/>
                </a:lnTo>
                <a:lnTo>
                  <a:pt x="68550" y="231080"/>
                </a:lnTo>
                <a:lnTo>
                  <a:pt x="52209" y="221290"/>
                </a:lnTo>
                <a:close/>
                <a:moveTo>
                  <a:pt x="50078" y="212226"/>
                </a:moveTo>
                <a:cubicBezTo>
                  <a:pt x="51143" y="211138"/>
                  <a:pt x="52564" y="211138"/>
                  <a:pt x="54341" y="212226"/>
                </a:cubicBezTo>
                <a:lnTo>
                  <a:pt x="74945" y="224553"/>
                </a:lnTo>
                <a:cubicBezTo>
                  <a:pt x="76366" y="225278"/>
                  <a:pt x="77432" y="226366"/>
                  <a:pt x="77432" y="228179"/>
                </a:cubicBezTo>
                <a:lnTo>
                  <a:pt x="77432" y="252834"/>
                </a:lnTo>
                <a:cubicBezTo>
                  <a:pt x="77432" y="254284"/>
                  <a:pt x="76366" y="255735"/>
                  <a:pt x="74945" y="256460"/>
                </a:cubicBezTo>
                <a:lnTo>
                  <a:pt x="54341" y="268787"/>
                </a:lnTo>
                <a:cubicBezTo>
                  <a:pt x="53630" y="269150"/>
                  <a:pt x="52564" y="269512"/>
                  <a:pt x="52209" y="269512"/>
                </a:cubicBezTo>
                <a:cubicBezTo>
                  <a:pt x="51143" y="269512"/>
                  <a:pt x="50433" y="269150"/>
                  <a:pt x="50078" y="268787"/>
                </a:cubicBezTo>
                <a:lnTo>
                  <a:pt x="29473" y="256460"/>
                </a:lnTo>
                <a:cubicBezTo>
                  <a:pt x="27697" y="255735"/>
                  <a:pt x="26987" y="254284"/>
                  <a:pt x="26987" y="252834"/>
                </a:cubicBezTo>
                <a:lnTo>
                  <a:pt x="26987" y="228179"/>
                </a:lnTo>
                <a:cubicBezTo>
                  <a:pt x="26987" y="226366"/>
                  <a:pt x="27697" y="225278"/>
                  <a:pt x="29473" y="224553"/>
                </a:cubicBezTo>
                <a:lnTo>
                  <a:pt x="50078" y="212226"/>
                </a:lnTo>
                <a:close/>
                <a:moveTo>
                  <a:pt x="110717" y="76200"/>
                </a:moveTo>
                <a:cubicBezTo>
                  <a:pt x="150268" y="76200"/>
                  <a:pt x="182199" y="107478"/>
                  <a:pt x="182199" y="147024"/>
                </a:cubicBezTo>
                <a:cubicBezTo>
                  <a:pt x="182199" y="185492"/>
                  <a:pt x="150268" y="217129"/>
                  <a:pt x="110717" y="217129"/>
                </a:cubicBezTo>
                <a:cubicBezTo>
                  <a:pt x="108539" y="217129"/>
                  <a:pt x="106362" y="215331"/>
                  <a:pt x="106362" y="212814"/>
                </a:cubicBezTo>
                <a:cubicBezTo>
                  <a:pt x="106362" y="210298"/>
                  <a:pt x="108539" y="208500"/>
                  <a:pt x="110717" y="208500"/>
                </a:cubicBezTo>
                <a:cubicBezTo>
                  <a:pt x="145188" y="208500"/>
                  <a:pt x="173128" y="180818"/>
                  <a:pt x="173128" y="147024"/>
                </a:cubicBezTo>
                <a:cubicBezTo>
                  <a:pt x="173128" y="112870"/>
                  <a:pt x="145188" y="85188"/>
                  <a:pt x="110717" y="85188"/>
                </a:cubicBezTo>
                <a:cubicBezTo>
                  <a:pt x="108539" y="85188"/>
                  <a:pt x="106362" y="82671"/>
                  <a:pt x="106362" y="80155"/>
                </a:cubicBezTo>
                <a:cubicBezTo>
                  <a:pt x="106362" y="77638"/>
                  <a:pt x="108539" y="76200"/>
                  <a:pt x="110717" y="76200"/>
                </a:cubicBezTo>
                <a:close/>
                <a:moveTo>
                  <a:pt x="27177" y="12628"/>
                </a:moveTo>
                <a:cubicBezTo>
                  <a:pt x="15734" y="20926"/>
                  <a:pt x="8940" y="33554"/>
                  <a:pt x="8940" y="48347"/>
                </a:cubicBezTo>
                <a:cubicBezTo>
                  <a:pt x="8940" y="62418"/>
                  <a:pt x="16449" y="76128"/>
                  <a:pt x="27892" y="84066"/>
                </a:cubicBezTo>
                <a:cubicBezTo>
                  <a:pt x="29322" y="85148"/>
                  <a:pt x="30038" y="86591"/>
                  <a:pt x="30038" y="88034"/>
                </a:cubicBezTo>
                <a:lnTo>
                  <a:pt x="30038" y="200963"/>
                </a:lnTo>
                <a:cubicBezTo>
                  <a:pt x="30038" y="202046"/>
                  <a:pt x="29322" y="203850"/>
                  <a:pt x="27892" y="204571"/>
                </a:cubicBezTo>
                <a:cubicBezTo>
                  <a:pt x="16449" y="212870"/>
                  <a:pt x="8940" y="226219"/>
                  <a:pt x="8940" y="240651"/>
                </a:cubicBezTo>
                <a:cubicBezTo>
                  <a:pt x="8940" y="264824"/>
                  <a:pt x="28250" y="284307"/>
                  <a:pt x="52566" y="284307"/>
                </a:cubicBezTo>
                <a:cubicBezTo>
                  <a:pt x="76167" y="284307"/>
                  <a:pt x="95477" y="264824"/>
                  <a:pt x="95477" y="240651"/>
                </a:cubicBezTo>
                <a:cubicBezTo>
                  <a:pt x="95477" y="226219"/>
                  <a:pt x="88683" y="212870"/>
                  <a:pt x="76882" y="204571"/>
                </a:cubicBezTo>
                <a:cubicBezTo>
                  <a:pt x="75452" y="203850"/>
                  <a:pt x="75094" y="202046"/>
                  <a:pt x="75094" y="200963"/>
                </a:cubicBezTo>
                <a:lnTo>
                  <a:pt x="75094" y="88034"/>
                </a:lnTo>
                <a:cubicBezTo>
                  <a:pt x="75094" y="86591"/>
                  <a:pt x="75452" y="85148"/>
                  <a:pt x="76882" y="84066"/>
                </a:cubicBezTo>
                <a:cubicBezTo>
                  <a:pt x="88683" y="76128"/>
                  <a:pt x="95477" y="62418"/>
                  <a:pt x="95477" y="48347"/>
                </a:cubicBezTo>
                <a:cubicBezTo>
                  <a:pt x="95477" y="33554"/>
                  <a:pt x="89041" y="20926"/>
                  <a:pt x="77955" y="12628"/>
                </a:cubicBezTo>
                <a:lnTo>
                  <a:pt x="77955" y="54119"/>
                </a:lnTo>
                <a:cubicBezTo>
                  <a:pt x="77955" y="55923"/>
                  <a:pt x="76882" y="57367"/>
                  <a:pt x="75452" y="58088"/>
                </a:cubicBezTo>
                <a:lnTo>
                  <a:pt x="54712" y="70355"/>
                </a:lnTo>
                <a:cubicBezTo>
                  <a:pt x="52924" y="71077"/>
                  <a:pt x="51493" y="71077"/>
                  <a:pt x="50420" y="70355"/>
                </a:cubicBezTo>
                <a:lnTo>
                  <a:pt x="29680" y="58088"/>
                </a:lnTo>
                <a:cubicBezTo>
                  <a:pt x="27892" y="57367"/>
                  <a:pt x="27177" y="55923"/>
                  <a:pt x="27177" y="54119"/>
                </a:cubicBezTo>
                <a:lnTo>
                  <a:pt x="27177" y="12628"/>
                </a:lnTo>
                <a:close/>
                <a:moveTo>
                  <a:pt x="29680" y="1082"/>
                </a:moveTo>
                <a:cubicBezTo>
                  <a:pt x="30753" y="0"/>
                  <a:pt x="32541" y="0"/>
                  <a:pt x="33971" y="1443"/>
                </a:cubicBezTo>
                <a:cubicBezTo>
                  <a:pt x="35402" y="1804"/>
                  <a:pt x="36117" y="3247"/>
                  <a:pt x="36117" y="4690"/>
                </a:cubicBezTo>
                <a:lnTo>
                  <a:pt x="36117" y="51955"/>
                </a:lnTo>
                <a:lnTo>
                  <a:pt x="52566" y="61335"/>
                </a:lnTo>
                <a:lnTo>
                  <a:pt x="69015" y="51955"/>
                </a:lnTo>
                <a:lnTo>
                  <a:pt x="69015" y="4690"/>
                </a:lnTo>
                <a:cubicBezTo>
                  <a:pt x="69015" y="3247"/>
                  <a:pt x="69731" y="1804"/>
                  <a:pt x="70803" y="1443"/>
                </a:cubicBezTo>
                <a:cubicBezTo>
                  <a:pt x="72234" y="0"/>
                  <a:pt x="73664" y="0"/>
                  <a:pt x="75452" y="1082"/>
                </a:cubicBezTo>
                <a:cubicBezTo>
                  <a:pt x="93689" y="10102"/>
                  <a:pt x="104417" y="27781"/>
                  <a:pt x="104417" y="48347"/>
                </a:cubicBezTo>
                <a:cubicBezTo>
                  <a:pt x="104417" y="64582"/>
                  <a:pt x="96908" y="80097"/>
                  <a:pt x="83319" y="89838"/>
                </a:cubicBezTo>
                <a:lnTo>
                  <a:pt x="83319" y="198438"/>
                </a:lnTo>
                <a:cubicBezTo>
                  <a:pt x="96908" y="208901"/>
                  <a:pt x="104417" y="223694"/>
                  <a:pt x="104417" y="240651"/>
                </a:cubicBezTo>
                <a:cubicBezTo>
                  <a:pt x="104417" y="269515"/>
                  <a:pt x="81531" y="293327"/>
                  <a:pt x="52566" y="293327"/>
                </a:cubicBezTo>
                <a:cubicBezTo>
                  <a:pt x="23959" y="293327"/>
                  <a:pt x="0" y="269515"/>
                  <a:pt x="0" y="240651"/>
                </a:cubicBezTo>
                <a:cubicBezTo>
                  <a:pt x="0" y="223694"/>
                  <a:pt x="8224" y="208901"/>
                  <a:pt x="21098" y="198438"/>
                </a:cubicBezTo>
                <a:lnTo>
                  <a:pt x="21098" y="89838"/>
                </a:lnTo>
                <a:cubicBezTo>
                  <a:pt x="8224" y="80097"/>
                  <a:pt x="0" y="64582"/>
                  <a:pt x="0" y="48347"/>
                </a:cubicBezTo>
                <a:cubicBezTo>
                  <a:pt x="0" y="27781"/>
                  <a:pt x="11800" y="10102"/>
                  <a:pt x="29680" y="1082"/>
                </a:cubicBezTo>
                <a:close/>
                <a:moveTo>
                  <a:pt x="104337" y="0"/>
                </a:moveTo>
                <a:lnTo>
                  <a:pt x="121280" y="0"/>
                </a:lnTo>
                <a:cubicBezTo>
                  <a:pt x="127408" y="0"/>
                  <a:pt x="132815" y="5389"/>
                  <a:pt x="132815" y="11497"/>
                </a:cubicBezTo>
                <a:lnTo>
                  <a:pt x="132815" y="26946"/>
                </a:lnTo>
                <a:cubicBezTo>
                  <a:pt x="138943" y="27665"/>
                  <a:pt x="144710" y="29821"/>
                  <a:pt x="150477" y="31976"/>
                </a:cubicBezTo>
                <a:lnTo>
                  <a:pt x="158408" y="18324"/>
                </a:lnTo>
                <a:cubicBezTo>
                  <a:pt x="159850" y="15449"/>
                  <a:pt x="162373" y="14012"/>
                  <a:pt x="165617" y="13294"/>
                </a:cubicBezTo>
                <a:cubicBezTo>
                  <a:pt x="168501" y="12216"/>
                  <a:pt x="171384" y="12934"/>
                  <a:pt x="174268" y="14371"/>
                </a:cubicBezTo>
                <a:lnTo>
                  <a:pt x="192652" y="25150"/>
                </a:lnTo>
                <a:cubicBezTo>
                  <a:pt x="198419" y="27665"/>
                  <a:pt x="199861" y="35210"/>
                  <a:pt x="196977" y="40959"/>
                </a:cubicBezTo>
                <a:lnTo>
                  <a:pt x="189408" y="53893"/>
                </a:lnTo>
                <a:cubicBezTo>
                  <a:pt x="194094" y="57845"/>
                  <a:pt x="198419" y="62516"/>
                  <a:pt x="202745" y="67187"/>
                </a:cubicBezTo>
                <a:lnTo>
                  <a:pt x="215722" y="59642"/>
                </a:lnTo>
                <a:cubicBezTo>
                  <a:pt x="218245" y="57845"/>
                  <a:pt x="221489" y="57486"/>
                  <a:pt x="224733" y="58204"/>
                </a:cubicBezTo>
                <a:cubicBezTo>
                  <a:pt x="227617" y="59642"/>
                  <a:pt x="230140" y="61079"/>
                  <a:pt x="231943" y="63953"/>
                </a:cubicBezTo>
                <a:lnTo>
                  <a:pt x="242396" y="82277"/>
                </a:lnTo>
                <a:cubicBezTo>
                  <a:pt x="243838" y="84792"/>
                  <a:pt x="243838" y="88025"/>
                  <a:pt x="243117" y="90900"/>
                </a:cubicBezTo>
                <a:cubicBezTo>
                  <a:pt x="242757" y="94133"/>
                  <a:pt x="240594" y="96648"/>
                  <a:pt x="238431" y="97726"/>
                </a:cubicBezTo>
                <a:lnTo>
                  <a:pt x="224733" y="105630"/>
                </a:lnTo>
                <a:cubicBezTo>
                  <a:pt x="226896" y="111738"/>
                  <a:pt x="228338" y="117846"/>
                  <a:pt x="229780" y="123595"/>
                </a:cubicBezTo>
                <a:lnTo>
                  <a:pt x="245280" y="123595"/>
                </a:lnTo>
                <a:cubicBezTo>
                  <a:pt x="251408" y="123595"/>
                  <a:pt x="256815" y="128984"/>
                  <a:pt x="256815" y="135092"/>
                </a:cubicBezTo>
                <a:lnTo>
                  <a:pt x="256815" y="156290"/>
                </a:lnTo>
                <a:cubicBezTo>
                  <a:pt x="256815" y="162757"/>
                  <a:pt x="251408" y="168146"/>
                  <a:pt x="245280" y="168146"/>
                </a:cubicBezTo>
                <a:lnTo>
                  <a:pt x="229780" y="168146"/>
                </a:lnTo>
                <a:cubicBezTo>
                  <a:pt x="228338" y="174254"/>
                  <a:pt x="226896" y="180362"/>
                  <a:pt x="224733" y="186470"/>
                </a:cubicBezTo>
                <a:lnTo>
                  <a:pt x="238431" y="194015"/>
                </a:lnTo>
                <a:cubicBezTo>
                  <a:pt x="243478" y="196889"/>
                  <a:pt x="245280" y="203716"/>
                  <a:pt x="242396" y="209464"/>
                </a:cubicBezTo>
                <a:lnTo>
                  <a:pt x="231943" y="227788"/>
                </a:lnTo>
                <a:cubicBezTo>
                  <a:pt x="230140" y="230303"/>
                  <a:pt x="227617" y="232458"/>
                  <a:pt x="224733" y="233536"/>
                </a:cubicBezTo>
                <a:cubicBezTo>
                  <a:pt x="221489" y="233896"/>
                  <a:pt x="218245" y="233536"/>
                  <a:pt x="215722" y="232458"/>
                </a:cubicBezTo>
                <a:lnTo>
                  <a:pt x="202745" y="224554"/>
                </a:lnTo>
                <a:cubicBezTo>
                  <a:pt x="198419" y="229584"/>
                  <a:pt x="194094" y="233896"/>
                  <a:pt x="189408" y="237848"/>
                </a:cubicBezTo>
                <a:lnTo>
                  <a:pt x="196977" y="251141"/>
                </a:lnTo>
                <a:cubicBezTo>
                  <a:pt x="199861" y="256531"/>
                  <a:pt x="198419" y="263716"/>
                  <a:pt x="192652" y="266950"/>
                </a:cubicBezTo>
                <a:lnTo>
                  <a:pt x="174268" y="277369"/>
                </a:lnTo>
                <a:cubicBezTo>
                  <a:pt x="171384" y="279166"/>
                  <a:pt x="168501" y="279525"/>
                  <a:pt x="165617" y="278806"/>
                </a:cubicBezTo>
                <a:cubicBezTo>
                  <a:pt x="162373" y="277729"/>
                  <a:pt x="159850" y="275932"/>
                  <a:pt x="158408" y="273417"/>
                </a:cubicBezTo>
                <a:lnTo>
                  <a:pt x="150477" y="260124"/>
                </a:lnTo>
                <a:cubicBezTo>
                  <a:pt x="144710" y="261920"/>
                  <a:pt x="138943" y="263716"/>
                  <a:pt x="132815" y="264794"/>
                </a:cubicBezTo>
                <a:lnTo>
                  <a:pt x="132815" y="280244"/>
                </a:lnTo>
                <a:cubicBezTo>
                  <a:pt x="132815" y="286351"/>
                  <a:pt x="127408" y="291741"/>
                  <a:pt x="121280" y="291741"/>
                </a:cubicBezTo>
                <a:lnTo>
                  <a:pt x="104337" y="291741"/>
                </a:lnTo>
                <a:cubicBezTo>
                  <a:pt x="102175" y="291741"/>
                  <a:pt x="100012" y="289585"/>
                  <a:pt x="100012" y="287070"/>
                </a:cubicBezTo>
                <a:cubicBezTo>
                  <a:pt x="100012" y="284914"/>
                  <a:pt x="102175" y="282759"/>
                  <a:pt x="104337" y="282759"/>
                </a:cubicBezTo>
                <a:lnTo>
                  <a:pt x="121280" y="282759"/>
                </a:lnTo>
                <a:cubicBezTo>
                  <a:pt x="122361" y="282759"/>
                  <a:pt x="123803" y="281681"/>
                  <a:pt x="123803" y="280244"/>
                </a:cubicBezTo>
                <a:lnTo>
                  <a:pt x="123803" y="261201"/>
                </a:lnTo>
                <a:cubicBezTo>
                  <a:pt x="123803" y="258686"/>
                  <a:pt x="125245" y="257249"/>
                  <a:pt x="127408" y="256531"/>
                </a:cubicBezTo>
                <a:cubicBezTo>
                  <a:pt x="135338" y="255453"/>
                  <a:pt x="143629" y="253297"/>
                  <a:pt x="151559" y="250064"/>
                </a:cubicBezTo>
                <a:cubicBezTo>
                  <a:pt x="153001" y="249704"/>
                  <a:pt x="155524" y="250064"/>
                  <a:pt x="156605" y="252219"/>
                </a:cubicBezTo>
                <a:lnTo>
                  <a:pt x="165977" y="268746"/>
                </a:lnTo>
                <a:cubicBezTo>
                  <a:pt x="166338" y="269465"/>
                  <a:pt x="167059" y="270184"/>
                  <a:pt x="167780" y="270184"/>
                </a:cubicBezTo>
                <a:cubicBezTo>
                  <a:pt x="168501" y="270184"/>
                  <a:pt x="168861" y="270184"/>
                  <a:pt x="169943" y="269824"/>
                </a:cubicBezTo>
                <a:lnTo>
                  <a:pt x="188687" y="259046"/>
                </a:lnTo>
                <a:cubicBezTo>
                  <a:pt x="189408" y="258327"/>
                  <a:pt x="190129" y="256531"/>
                  <a:pt x="189408" y="255453"/>
                </a:cubicBezTo>
                <a:lnTo>
                  <a:pt x="179675" y="239285"/>
                </a:lnTo>
                <a:cubicBezTo>
                  <a:pt x="178233" y="237129"/>
                  <a:pt x="179315" y="234614"/>
                  <a:pt x="180757" y="233536"/>
                </a:cubicBezTo>
                <a:cubicBezTo>
                  <a:pt x="187245" y="228147"/>
                  <a:pt x="193012" y="222039"/>
                  <a:pt x="198419" y="215931"/>
                </a:cubicBezTo>
                <a:cubicBezTo>
                  <a:pt x="199501" y="214494"/>
                  <a:pt x="202024" y="213776"/>
                  <a:pt x="204187" y="214853"/>
                </a:cubicBezTo>
                <a:lnTo>
                  <a:pt x="220408" y="224554"/>
                </a:lnTo>
                <a:cubicBezTo>
                  <a:pt x="220768" y="224913"/>
                  <a:pt x="221489" y="224913"/>
                  <a:pt x="222210" y="224913"/>
                </a:cubicBezTo>
                <a:cubicBezTo>
                  <a:pt x="223291" y="224554"/>
                  <a:pt x="223652" y="224195"/>
                  <a:pt x="224012" y="223836"/>
                </a:cubicBezTo>
                <a:lnTo>
                  <a:pt x="234466" y="205153"/>
                </a:lnTo>
                <a:cubicBezTo>
                  <a:pt x="235187" y="204793"/>
                  <a:pt x="235187" y="203716"/>
                  <a:pt x="234466" y="202997"/>
                </a:cubicBezTo>
                <a:cubicBezTo>
                  <a:pt x="234466" y="202638"/>
                  <a:pt x="234105" y="201919"/>
                  <a:pt x="233745" y="201560"/>
                </a:cubicBezTo>
                <a:lnTo>
                  <a:pt x="217164" y="192218"/>
                </a:lnTo>
                <a:cubicBezTo>
                  <a:pt x="215001" y="190781"/>
                  <a:pt x="214280" y="188985"/>
                  <a:pt x="215001" y="186829"/>
                </a:cubicBezTo>
                <a:cubicBezTo>
                  <a:pt x="218245" y="178925"/>
                  <a:pt x="220408" y="171020"/>
                  <a:pt x="221489" y="162757"/>
                </a:cubicBezTo>
                <a:cubicBezTo>
                  <a:pt x="221850" y="160601"/>
                  <a:pt x="223652" y="159164"/>
                  <a:pt x="226175" y="159164"/>
                </a:cubicBezTo>
                <a:lnTo>
                  <a:pt x="245280" y="159164"/>
                </a:lnTo>
                <a:cubicBezTo>
                  <a:pt x="246361" y="159164"/>
                  <a:pt x="247803" y="158086"/>
                  <a:pt x="247803" y="156290"/>
                </a:cubicBezTo>
                <a:lnTo>
                  <a:pt x="247803" y="135092"/>
                </a:lnTo>
                <a:cubicBezTo>
                  <a:pt x="247803" y="134014"/>
                  <a:pt x="246361" y="132577"/>
                  <a:pt x="245280" y="132577"/>
                </a:cubicBezTo>
                <a:lnTo>
                  <a:pt x="226175" y="132577"/>
                </a:lnTo>
                <a:cubicBezTo>
                  <a:pt x="223652" y="132577"/>
                  <a:pt x="221850" y="131140"/>
                  <a:pt x="221489" y="128625"/>
                </a:cubicBezTo>
                <a:cubicBezTo>
                  <a:pt x="220408" y="121080"/>
                  <a:pt x="218245" y="112816"/>
                  <a:pt x="215001" y="104912"/>
                </a:cubicBezTo>
                <a:cubicBezTo>
                  <a:pt x="214280" y="103115"/>
                  <a:pt x="215001" y="100960"/>
                  <a:pt x="217164" y="99882"/>
                </a:cubicBezTo>
                <a:lnTo>
                  <a:pt x="233745" y="90181"/>
                </a:lnTo>
                <a:cubicBezTo>
                  <a:pt x="234105" y="90181"/>
                  <a:pt x="234466" y="89103"/>
                  <a:pt x="234466" y="88744"/>
                </a:cubicBezTo>
                <a:cubicBezTo>
                  <a:pt x="235187" y="88025"/>
                  <a:pt x="235187" y="87307"/>
                  <a:pt x="234466" y="86229"/>
                </a:cubicBezTo>
                <a:lnTo>
                  <a:pt x="224012" y="67905"/>
                </a:lnTo>
                <a:cubicBezTo>
                  <a:pt x="223652" y="67546"/>
                  <a:pt x="223291" y="67187"/>
                  <a:pt x="222210" y="66827"/>
                </a:cubicBezTo>
                <a:cubicBezTo>
                  <a:pt x="221489" y="66827"/>
                  <a:pt x="220768" y="66827"/>
                  <a:pt x="220408" y="67187"/>
                </a:cubicBezTo>
                <a:lnTo>
                  <a:pt x="204187" y="76528"/>
                </a:lnTo>
                <a:cubicBezTo>
                  <a:pt x="202024" y="77965"/>
                  <a:pt x="199501" y="77247"/>
                  <a:pt x="198419" y="75809"/>
                </a:cubicBezTo>
                <a:cubicBezTo>
                  <a:pt x="193012" y="69342"/>
                  <a:pt x="187245" y="63594"/>
                  <a:pt x="180757" y="58204"/>
                </a:cubicBezTo>
                <a:cubicBezTo>
                  <a:pt x="179315" y="57127"/>
                  <a:pt x="178233" y="54612"/>
                  <a:pt x="179675" y="52456"/>
                </a:cubicBezTo>
                <a:lnTo>
                  <a:pt x="189408" y="35929"/>
                </a:lnTo>
                <a:cubicBezTo>
                  <a:pt x="190129" y="35210"/>
                  <a:pt x="189408" y="33054"/>
                  <a:pt x="188687" y="32695"/>
                </a:cubicBezTo>
                <a:lnTo>
                  <a:pt x="169943" y="22276"/>
                </a:lnTo>
                <a:cubicBezTo>
                  <a:pt x="168861" y="21557"/>
                  <a:pt x="168501" y="21557"/>
                  <a:pt x="167780" y="21557"/>
                </a:cubicBezTo>
                <a:cubicBezTo>
                  <a:pt x="167059" y="21557"/>
                  <a:pt x="166338" y="22635"/>
                  <a:pt x="165977" y="22994"/>
                </a:cubicBezTo>
                <a:lnTo>
                  <a:pt x="156605" y="39521"/>
                </a:lnTo>
                <a:cubicBezTo>
                  <a:pt x="155524" y="41318"/>
                  <a:pt x="153001" y="42036"/>
                  <a:pt x="151559" y="41318"/>
                </a:cubicBezTo>
                <a:cubicBezTo>
                  <a:pt x="143629" y="38444"/>
                  <a:pt x="135338" y="35929"/>
                  <a:pt x="127408" y="35210"/>
                </a:cubicBezTo>
                <a:cubicBezTo>
                  <a:pt x="125245" y="34851"/>
                  <a:pt x="123803" y="32695"/>
                  <a:pt x="123803" y="30539"/>
                </a:cubicBezTo>
                <a:lnTo>
                  <a:pt x="123803" y="11497"/>
                </a:lnTo>
                <a:cubicBezTo>
                  <a:pt x="123803" y="10419"/>
                  <a:pt x="122361" y="8623"/>
                  <a:pt x="121280" y="8623"/>
                </a:cubicBezTo>
                <a:lnTo>
                  <a:pt x="104337" y="8623"/>
                </a:lnTo>
                <a:cubicBezTo>
                  <a:pt x="102175" y="8623"/>
                  <a:pt x="100012" y="7186"/>
                  <a:pt x="100012" y="4671"/>
                </a:cubicBezTo>
                <a:cubicBezTo>
                  <a:pt x="100012" y="2156"/>
                  <a:pt x="102175" y="0"/>
                  <a:pt x="104337" y="0"/>
                </a:cubicBezTo>
                <a:close/>
              </a:path>
            </a:pathLst>
          </a:custGeom>
          <a:solidFill>
            <a:schemeClr val="bg1"/>
          </a:solidFill>
          <a:ln>
            <a:noFill/>
          </a:ln>
          <a:effectLst/>
        </xdr:spPr>
        <xdr:txBody>
          <a:bodyPr wrap="square" anchor="ct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marL="0" marR="0" lvl="0" indent="0" algn="l" defTabSz="1828434" rtl="0" eaLnBrk="1" fontAlgn="auto" latinLnBrk="0" hangingPunct="1">
              <a:lnSpc>
                <a:spcPct val="100000"/>
              </a:lnSpc>
              <a:spcBef>
                <a:spcPts val="0"/>
              </a:spcBef>
              <a:spcAft>
                <a:spcPts val="0"/>
              </a:spcAft>
              <a:buClrTx/>
              <a:buSzTx/>
              <a:buFontTx/>
              <a:buNone/>
              <a:tabLst/>
              <a:defRPr/>
            </a:pPr>
            <a:endParaRPr kumimoji="0" lang="en-US" sz="3600" b="0" i="0" u="none" strike="noStrike" kern="1200" cap="none" spc="0" normalizeH="0" baseline="0">
              <a:ln>
                <a:noFill/>
              </a:ln>
              <a:solidFill>
                <a:srgbClr val="AAAAAA"/>
              </a:solidFill>
              <a:effectLst/>
              <a:uLnTx/>
              <a:uFillTx/>
              <a:latin typeface="Calibri" panose="020F0502020204030204"/>
              <a:ea typeface="+mn-ea"/>
              <a:cs typeface="+mn-cs"/>
            </a:endParaRPr>
          </a:p>
        </xdr:txBody>
      </xdr:sp>
    </xdr:grpSp>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3571</xdr:colOff>
      <xdr:row>24</xdr:row>
      <xdr:rowOff>85724</xdr:rowOff>
    </xdr:from>
    <xdr:to>
      <xdr:col>6</xdr:col>
      <xdr:colOff>5146</xdr:colOff>
      <xdr:row>27</xdr:row>
      <xdr:rowOff>38324</xdr:rowOff>
    </xdr:to>
    <xdr:graphicFrame macro="">
      <xdr:nvGraphicFramePr>
        <xdr:cNvPr id="11" name="Diagramm 10">
          <a:extLst>
            <a:ext uri="{FF2B5EF4-FFF2-40B4-BE49-F238E27FC236}">
              <a16:creationId xmlns:a16="http://schemas.microsoft.com/office/drawing/2014/main" id="{00000000-0008-0000-09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3</xdr:col>
      <xdr:colOff>3571</xdr:colOff>
      <xdr:row>25</xdr:row>
      <xdr:rowOff>257174</xdr:rowOff>
    </xdr:from>
    <xdr:to>
      <xdr:col>6</xdr:col>
      <xdr:colOff>5146</xdr:colOff>
      <xdr:row>29</xdr:row>
      <xdr:rowOff>57374</xdr:rowOff>
    </xdr:to>
    <xdr:graphicFrame macro="">
      <xdr:nvGraphicFramePr>
        <xdr:cNvPr id="14" name="Diagramm 13">
          <a:extLst>
            <a:ext uri="{FF2B5EF4-FFF2-40B4-BE49-F238E27FC236}">
              <a16:creationId xmlns:a16="http://schemas.microsoft.com/office/drawing/2014/main" id="{00000000-0008-0000-09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xdr:col>
      <xdr:colOff>3571</xdr:colOff>
      <xdr:row>27</xdr:row>
      <xdr:rowOff>257174</xdr:rowOff>
    </xdr:from>
    <xdr:to>
      <xdr:col>6</xdr:col>
      <xdr:colOff>5146</xdr:colOff>
      <xdr:row>31</xdr:row>
      <xdr:rowOff>57374</xdr:rowOff>
    </xdr:to>
    <xdr:graphicFrame macro="">
      <xdr:nvGraphicFramePr>
        <xdr:cNvPr id="15" name="Diagramm 14">
          <a:extLst>
            <a:ext uri="{FF2B5EF4-FFF2-40B4-BE49-F238E27FC236}">
              <a16:creationId xmlns:a16="http://schemas.microsoft.com/office/drawing/2014/main" id="{00000000-0008-0000-09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66675</xdr:colOff>
      <xdr:row>0</xdr:row>
      <xdr:rowOff>180975</xdr:rowOff>
    </xdr:from>
    <xdr:to>
      <xdr:col>0</xdr:col>
      <xdr:colOff>390675</xdr:colOff>
      <xdr:row>0</xdr:row>
      <xdr:rowOff>506440</xdr:rowOff>
    </xdr:to>
    <xdr:grpSp>
      <xdr:nvGrpSpPr>
        <xdr:cNvPr id="5" name="Gruppieren 4">
          <a:hlinkClick xmlns:r="http://schemas.openxmlformats.org/officeDocument/2006/relationships" r:id="rId4" tooltip="Home"/>
          <a:extLst>
            <a:ext uri="{FF2B5EF4-FFF2-40B4-BE49-F238E27FC236}">
              <a16:creationId xmlns:a16="http://schemas.microsoft.com/office/drawing/2014/main" id="{00000000-0008-0000-0900-000005000000}"/>
            </a:ext>
          </a:extLst>
        </xdr:cNvPr>
        <xdr:cNvGrpSpPr/>
      </xdr:nvGrpSpPr>
      <xdr:grpSpPr>
        <a:xfrm>
          <a:off x="66675" y="180975"/>
          <a:ext cx="324000" cy="325465"/>
          <a:chOff x="66675" y="180975"/>
          <a:chExt cx="324000" cy="325465"/>
        </a:xfrm>
      </xdr:grpSpPr>
      <xdr:sp macro="" textlink="">
        <xdr:nvSpPr>
          <xdr:cNvPr id="27" name="Rechteck 26">
            <a:extLst>
              <a:ext uri="{FF2B5EF4-FFF2-40B4-BE49-F238E27FC236}">
                <a16:creationId xmlns:a16="http://schemas.microsoft.com/office/drawing/2014/main" id="{00000000-0008-0000-0900-00001B000000}"/>
              </a:ext>
            </a:extLst>
          </xdr:cNvPr>
          <xdr:cNvSpPr>
            <a:spLocks noChangeAspect="1"/>
          </xdr:cNvSpPr>
        </xdr:nvSpPr>
        <xdr:spPr>
          <a:xfrm>
            <a:off x="66675" y="180975"/>
            <a:ext cx="324000" cy="325465"/>
          </a:xfrm>
          <a:prstGeom prst="rect">
            <a:avLst/>
          </a:prstGeom>
          <a:gradFill>
            <a:gsLst>
              <a:gs pos="0">
                <a:srgbClr val="4C5974"/>
              </a:gs>
              <a:gs pos="80000">
                <a:srgbClr val="566584"/>
              </a:gs>
              <a:gs pos="100000">
                <a:srgbClr val="5C6D8E"/>
              </a:gs>
            </a:gsLst>
          </a:gradFill>
          <a:ln>
            <a:solidFill>
              <a:srgbClr val="5C6D8E"/>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8" name="Grafik 27" descr="http://www.clker.com/cliparts/Z/I/5/L/X/x/white-house-md.png">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23826" y="228186"/>
            <a:ext cx="228255" cy="217469"/>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mc:AlternateContent xmlns:mc="http://schemas.openxmlformats.org/markup-compatibility/2006">
    <mc:Choice xmlns:a14="http://schemas.microsoft.com/office/drawing/2010/main" Requires="a14">
      <xdr:twoCellAnchor>
        <xdr:from>
          <xdr:col>8</xdr:col>
          <xdr:colOff>457199</xdr:colOff>
          <xdr:row>0</xdr:row>
          <xdr:rowOff>552450</xdr:rowOff>
        </xdr:from>
        <xdr:to>
          <xdr:col>10</xdr:col>
          <xdr:colOff>142874</xdr:colOff>
          <xdr:row>1</xdr:row>
          <xdr:rowOff>362284</xdr:rowOff>
        </xdr:to>
        <xdr:pic>
          <xdr:nvPicPr>
            <xdr:cNvPr id="19" name="Grafik 18">
              <a:extLst>
                <a:ext uri="{FF2B5EF4-FFF2-40B4-BE49-F238E27FC236}">
                  <a16:creationId xmlns:a16="http://schemas.microsoft.com/office/drawing/2014/main" id="{00000000-0008-0000-0900-000013000000}"/>
                </a:ext>
              </a:extLst>
            </xdr:cNvPr>
            <xdr:cNvPicPr>
              <a:picLocks noChangeAspect="1" noChangeArrowheads="1"/>
              <a:extLst>
                <a:ext uri="{84589F7E-364E-4C9E-8A38-B11213B215E9}">
                  <a14:cameraTool cellRange="Logo!$D$6" spid="_x0000_s207045"/>
                </a:ext>
              </a:extLst>
            </xdr:cNvPicPr>
          </xdr:nvPicPr>
          <xdr:blipFill>
            <a:blip xmlns:r="http://schemas.openxmlformats.org/officeDocument/2006/relationships" r:embed="rId6"/>
            <a:srcRect/>
            <a:stretch>
              <a:fillRect/>
            </a:stretch>
          </xdr:blipFill>
          <xdr:spPr bwMode="auto">
            <a:xfrm>
              <a:off x="4819649" y="552450"/>
              <a:ext cx="1552575" cy="381334"/>
            </a:xfrm>
            <a:prstGeom prst="rect">
              <a:avLst/>
            </a:prstGeom>
            <a:solidFill>
              <a:schemeClr val="bg1"/>
            </a:solidFill>
            <a:ln w="9525">
              <a:noFill/>
              <a:miter lim="800000"/>
              <a:headEnd/>
              <a:tailEnd/>
            </a:ln>
          </xdr:spPr>
        </xdr:pic>
        <xdr:clientData/>
      </xdr:twoCellAnchor>
    </mc:Choice>
    <mc:Fallback/>
  </mc:AlternateContent>
  <xdr:twoCellAnchor>
    <xdr:from>
      <xdr:col>11</xdr:col>
      <xdr:colOff>897952</xdr:colOff>
      <xdr:row>22</xdr:row>
      <xdr:rowOff>188473</xdr:rowOff>
    </xdr:from>
    <xdr:to>
      <xdr:col>11</xdr:col>
      <xdr:colOff>1077952</xdr:colOff>
      <xdr:row>23</xdr:row>
      <xdr:rowOff>170921</xdr:rowOff>
    </xdr:to>
    <xdr:grpSp>
      <xdr:nvGrpSpPr>
        <xdr:cNvPr id="2" name="Gruppieren 1">
          <a:hlinkClick xmlns:r="http://schemas.openxmlformats.org/officeDocument/2006/relationships" r:id="rId7" tooltip="Budget"/>
          <a:extLst>
            <a:ext uri="{FF2B5EF4-FFF2-40B4-BE49-F238E27FC236}">
              <a16:creationId xmlns:a16="http://schemas.microsoft.com/office/drawing/2014/main" id="{00000000-0008-0000-0900-000002000000}"/>
            </a:ext>
          </a:extLst>
        </xdr:cNvPr>
        <xdr:cNvGrpSpPr/>
      </xdr:nvGrpSpPr>
      <xdr:grpSpPr>
        <a:xfrm>
          <a:off x="7481632" y="5156713"/>
          <a:ext cx="180000" cy="172948"/>
          <a:chOff x="7316583" y="5347176"/>
          <a:chExt cx="180000" cy="172948"/>
        </a:xfrm>
      </xdr:grpSpPr>
      <xdr:sp macro="" textlink="">
        <xdr:nvSpPr>
          <xdr:cNvPr id="39" name="Rechteck 38">
            <a:extLst>
              <a:ext uri="{FF2B5EF4-FFF2-40B4-BE49-F238E27FC236}">
                <a16:creationId xmlns:a16="http://schemas.microsoft.com/office/drawing/2014/main" id="{00000000-0008-0000-0900-000027000000}"/>
              </a:ext>
            </a:extLst>
          </xdr:cNvPr>
          <xdr:cNvSpPr>
            <a:spLocks noChangeAspect="1"/>
          </xdr:cNvSpPr>
        </xdr:nvSpPr>
        <xdr:spPr>
          <a:xfrm>
            <a:off x="7316583" y="5347176"/>
            <a:ext cx="180000" cy="172948"/>
          </a:xfrm>
          <a:prstGeom prst="rect">
            <a:avLst/>
          </a:prstGeom>
          <a:gradFill>
            <a:gsLst>
              <a:gs pos="0">
                <a:srgbClr val="4C5974"/>
              </a:gs>
              <a:gs pos="80000">
                <a:srgbClr val="566584"/>
              </a:gs>
              <a:gs pos="100000">
                <a:srgbClr val="5C6D8E"/>
              </a:gs>
            </a:gsLst>
          </a:gradFill>
          <a:ln>
            <a:solidFill>
              <a:srgbClr val="5C6D8E"/>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Pfeil nach rechts 39">
            <a:extLst>
              <a:ext uri="{FF2B5EF4-FFF2-40B4-BE49-F238E27FC236}">
                <a16:creationId xmlns:a16="http://schemas.microsoft.com/office/drawing/2014/main" id="{00000000-0008-0000-0900-000028000000}"/>
              </a:ext>
            </a:extLst>
          </xdr:cNvPr>
          <xdr:cNvSpPr/>
        </xdr:nvSpPr>
        <xdr:spPr>
          <a:xfrm>
            <a:off x="7369500" y="5387668"/>
            <a:ext cx="90000" cy="956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11</xdr:col>
      <xdr:colOff>390526</xdr:colOff>
      <xdr:row>1</xdr:row>
      <xdr:rowOff>47625</xdr:rowOff>
    </xdr:from>
    <xdr:to>
      <xdr:col>11</xdr:col>
      <xdr:colOff>1070588</xdr:colOff>
      <xdr:row>1</xdr:row>
      <xdr:rowOff>220573</xdr:rowOff>
    </xdr:to>
    <xdr:grpSp>
      <xdr:nvGrpSpPr>
        <xdr:cNvPr id="3" name="Gruppieren 2">
          <a:extLst>
            <a:ext uri="{FF2B5EF4-FFF2-40B4-BE49-F238E27FC236}">
              <a16:creationId xmlns:a16="http://schemas.microsoft.com/office/drawing/2014/main" id="{00000000-0008-0000-0900-000003000000}"/>
            </a:ext>
          </a:extLst>
        </xdr:cNvPr>
        <xdr:cNvGrpSpPr/>
      </xdr:nvGrpSpPr>
      <xdr:grpSpPr>
        <a:xfrm>
          <a:off x="6974206" y="619125"/>
          <a:ext cx="680062" cy="172948"/>
          <a:chOff x="6791326" y="619125"/>
          <a:chExt cx="680062" cy="180000"/>
        </a:xfrm>
      </xdr:grpSpPr>
      <xdr:grpSp>
        <xdr:nvGrpSpPr>
          <xdr:cNvPr id="21" name="Gruppieren 47">
            <a:hlinkClick xmlns:r="http://schemas.openxmlformats.org/officeDocument/2006/relationships" r:id="rId8" tooltip="Help"/>
            <a:extLst>
              <a:ext uri="{FF2B5EF4-FFF2-40B4-BE49-F238E27FC236}">
                <a16:creationId xmlns:a16="http://schemas.microsoft.com/office/drawing/2014/main" id="{00000000-0008-0000-0900-000015000000}"/>
              </a:ext>
            </a:extLst>
          </xdr:cNvPr>
          <xdr:cNvGrpSpPr>
            <a:grpSpLocks/>
          </xdr:cNvGrpSpPr>
        </xdr:nvGrpSpPr>
        <xdr:grpSpPr>
          <a:xfrm>
            <a:off x="7291388" y="619125"/>
            <a:ext cx="180000" cy="180000"/>
            <a:chOff x="8105775" y="571500"/>
            <a:chExt cx="172800" cy="172800"/>
          </a:xfrm>
        </xdr:grpSpPr>
        <xdr:sp macro="" textlink="">
          <xdr:nvSpPr>
            <xdr:cNvPr id="22" name="Rechteck 48">
              <a:extLst>
                <a:ext uri="{FF2B5EF4-FFF2-40B4-BE49-F238E27FC236}">
                  <a16:creationId xmlns:a16="http://schemas.microsoft.com/office/drawing/2014/main" id="{00000000-0008-0000-0900-000016000000}"/>
                </a:ext>
              </a:extLst>
            </xdr:cNvPr>
            <xdr:cNvSpPr>
              <a:spLocks noChangeAspect="1"/>
            </xdr:cNvSpPr>
          </xdr:nvSpPr>
          <xdr:spPr>
            <a:xfrm>
              <a:off x="8105775" y="571500"/>
              <a:ext cx="172800" cy="172800"/>
            </a:xfrm>
            <a:prstGeom prst="rect">
              <a:avLst/>
            </a:prstGeom>
            <a:gradFill>
              <a:gsLst>
                <a:gs pos="0">
                  <a:srgbClr val="4C5974"/>
                </a:gs>
                <a:gs pos="80000">
                  <a:srgbClr val="566584"/>
                </a:gs>
                <a:gs pos="100000">
                  <a:srgbClr val="5C6D8E"/>
                </a:gs>
              </a:gsLst>
            </a:gradFill>
            <a:ln>
              <a:solidFill>
                <a:srgbClr val="5C6D8E"/>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2" name="Textfeld 49">
              <a:extLst>
                <a:ext uri="{FF2B5EF4-FFF2-40B4-BE49-F238E27FC236}">
                  <a16:creationId xmlns:a16="http://schemas.microsoft.com/office/drawing/2014/main" id="{00000000-0008-0000-0900-000020000000}"/>
                </a:ext>
              </a:extLst>
            </xdr:cNvPr>
            <xdr:cNvSpPr txBox="1"/>
          </xdr:nvSpPr>
          <xdr:spPr>
            <a:xfrm>
              <a:off x="8152998" y="584162"/>
              <a:ext cx="78355" cy="147476"/>
            </a:xfrm>
            <a:prstGeom prst="rect">
              <a:avLst/>
            </a:prstGeom>
            <a:gradFill>
              <a:gsLst>
                <a:gs pos="0">
                  <a:srgbClr val="4C5974"/>
                </a:gs>
                <a:gs pos="80000">
                  <a:srgbClr val="566584"/>
                </a:gs>
                <a:gs pos="100000">
                  <a:srgbClr val="5C6D8E"/>
                </a:gs>
              </a:gsLst>
            </a:gradFill>
            <a:ln>
              <a:solidFill>
                <a:srgbClr val="5C6D8E"/>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prstClr val="white"/>
                  </a:solidFill>
                  <a:effectLst/>
                  <a:uLnTx/>
                  <a:uFillTx/>
                  <a:latin typeface="Calibri"/>
                  <a:ea typeface="+mn-ea"/>
                  <a:cs typeface="+mn-cs"/>
                </a:rPr>
                <a:t>?</a:t>
              </a:r>
            </a:p>
          </xdr:txBody>
        </xdr:sp>
      </xdr:grpSp>
      <xdr:sp macro="[0]!Register_ein" textlink="">
        <xdr:nvSpPr>
          <xdr:cNvPr id="33" name="Rechteck 78">
            <a:extLst>
              <a:ext uri="{FF2B5EF4-FFF2-40B4-BE49-F238E27FC236}">
                <a16:creationId xmlns:a16="http://schemas.microsoft.com/office/drawing/2014/main" id="{00000000-0008-0000-0900-000021000000}"/>
              </a:ext>
            </a:extLst>
          </xdr:cNvPr>
          <xdr:cNvSpPr>
            <a:spLocks noChangeAspect="1"/>
          </xdr:cNvSpPr>
        </xdr:nvSpPr>
        <xdr:spPr>
          <a:xfrm>
            <a:off x="6791326" y="619125"/>
            <a:ext cx="189667" cy="180000"/>
          </a:xfrm>
          <a:prstGeom prst="rect">
            <a:avLst/>
          </a:prstGeom>
          <a:gradFill>
            <a:gsLst>
              <a:gs pos="0">
                <a:srgbClr val="4C5974"/>
              </a:gs>
              <a:gs pos="80000">
                <a:srgbClr val="566584"/>
              </a:gs>
              <a:gs pos="100000">
                <a:srgbClr val="5C6D8E"/>
              </a:gs>
            </a:gsLst>
          </a:gradFill>
          <a:ln>
            <a:solidFill>
              <a:srgbClr val="5C6D8E"/>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4" name="Rechteck 84">
            <a:extLst>
              <a:ext uri="{FF2B5EF4-FFF2-40B4-BE49-F238E27FC236}">
                <a16:creationId xmlns:a16="http://schemas.microsoft.com/office/drawing/2014/main" id="{00000000-0008-0000-0900-000022000000}"/>
              </a:ext>
            </a:extLst>
          </xdr:cNvPr>
          <xdr:cNvSpPr>
            <a:spLocks noChangeAspect="1"/>
          </xdr:cNvSpPr>
        </xdr:nvSpPr>
        <xdr:spPr>
          <a:xfrm>
            <a:off x="7011353" y="619125"/>
            <a:ext cx="179190" cy="180000"/>
          </a:xfrm>
          <a:prstGeom prst="rect">
            <a:avLst/>
          </a:prstGeom>
          <a:gradFill>
            <a:gsLst>
              <a:gs pos="0">
                <a:srgbClr val="4C5974"/>
              </a:gs>
              <a:gs pos="80000">
                <a:srgbClr val="566584"/>
              </a:gs>
              <a:gs pos="100000">
                <a:srgbClr val="5C6D8E"/>
              </a:gs>
            </a:gsLst>
          </a:gradFill>
          <a:ln>
            <a:solidFill>
              <a:srgbClr val="5C6D8E"/>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xdr:from>
      <xdr:col>7</xdr:col>
      <xdr:colOff>28575</xdr:colOff>
      <xdr:row>25</xdr:row>
      <xdr:rowOff>19048</xdr:rowOff>
    </xdr:from>
    <xdr:to>
      <xdr:col>8</xdr:col>
      <xdr:colOff>800100</xdr:colOff>
      <xdr:row>30</xdr:row>
      <xdr:rowOff>9523</xdr:rowOff>
    </xdr:to>
    <xdr:sp macro="" textlink="">
      <xdr:nvSpPr>
        <xdr:cNvPr id="51" name="Rechteck 50">
          <a:hlinkClick xmlns:r="http://schemas.openxmlformats.org/officeDocument/2006/relationships" r:id="rId9" tooltip="Goto Team"/>
          <a:extLst>
            <a:ext uri="{FF2B5EF4-FFF2-40B4-BE49-F238E27FC236}">
              <a16:creationId xmlns:a16="http://schemas.microsoft.com/office/drawing/2014/main" id="{00000000-0008-0000-0900-000033000000}"/>
            </a:ext>
          </a:extLst>
        </xdr:cNvPr>
        <xdr:cNvSpPr/>
      </xdr:nvSpPr>
      <xdr:spPr>
        <a:xfrm>
          <a:off x="4133850" y="5705473"/>
          <a:ext cx="1028700" cy="9429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8</xdr:col>
      <xdr:colOff>809625</xdr:colOff>
      <xdr:row>25</xdr:row>
      <xdr:rowOff>0</xdr:rowOff>
    </xdr:from>
    <xdr:to>
      <xdr:col>9</xdr:col>
      <xdr:colOff>1000125</xdr:colOff>
      <xdr:row>30</xdr:row>
      <xdr:rowOff>9524</xdr:rowOff>
    </xdr:to>
    <xdr:sp macro="" textlink="">
      <xdr:nvSpPr>
        <xdr:cNvPr id="52" name="Rechteck 51">
          <a:hlinkClick xmlns:r="http://schemas.openxmlformats.org/officeDocument/2006/relationships" r:id="rId10" tooltip="Goto budget"/>
          <a:extLst>
            <a:ext uri="{FF2B5EF4-FFF2-40B4-BE49-F238E27FC236}">
              <a16:creationId xmlns:a16="http://schemas.microsoft.com/office/drawing/2014/main" id="{00000000-0008-0000-0900-000034000000}"/>
            </a:ext>
          </a:extLst>
        </xdr:cNvPr>
        <xdr:cNvSpPr/>
      </xdr:nvSpPr>
      <xdr:spPr>
        <a:xfrm>
          <a:off x="5172075" y="5505450"/>
          <a:ext cx="1019175"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10</xdr:col>
      <xdr:colOff>152400</xdr:colOff>
      <xdr:row>25</xdr:row>
      <xdr:rowOff>9525</xdr:rowOff>
    </xdr:from>
    <xdr:to>
      <xdr:col>12</xdr:col>
      <xdr:colOff>19050</xdr:colOff>
      <xdr:row>30</xdr:row>
      <xdr:rowOff>19049</xdr:rowOff>
    </xdr:to>
    <xdr:sp macro="" textlink="">
      <xdr:nvSpPr>
        <xdr:cNvPr id="53" name="Rechteck 52">
          <a:hlinkClick xmlns:r="http://schemas.openxmlformats.org/officeDocument/2006/relationships" r:id="rId10" tooltip="Goto budget"/>
          <a:extLst>
            <a:ext uri="{FF2B5EF4-FFF2-40B4-BE49-F238E27FC236}">
              <a16:creationId xmlns:a16="http://schemas.microsoft.com/office/drawing/2014/main" id="{00000000-0008-0000-0900-000035000000}"/>
            </a:ext>
          </a:extLst>
        </xdr:cNvPr>
        <xdr:cNvSpPr/>
      </xdr:nvSpPr>
      <xdr:spPr>
        <a:xfrm>
          <a:off x="6381750" y="5514975"/>
          <a:ext cx="1133475"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1</xdr:col>
      <xdr:colOff>0</xdr:colOff>
      <xdr:row>25</xdr:row>
      <xdr:rowOff>0</xdr:rowOff>
    </xdr:from>
    <xdr:to>
      <xdr:col>3</xdr:col>
      <xdr:colOff>304800</xdr:colOff>
      <xdr:row>30</xdr:row>
      <xdr:rowOff>9524</xdr:rowOff>
    </xdr:to>
    <xdr:sp macro="" textlink="">
      <xdr:nvSpPr>
        <xdr:cNvPr id="54" name="Rechteck 53">
          <a:hlinkClick xmlns:r="http://schemas.openxmlformats.org/officeDocument/2006/relationships" r:id="rId10" tooltip="Goto budget"/>
          <a:extLst>
            <a:ext uri="{FF2B5EF4-FFF2-40B4-BE49-F238E27FC236}">
              <a16:creationId xmlns:a16="http://schemas.microsoft.com/office/drawing/2014/main" id="{00000000-0008-0000-0900-000036000000}"/>
            </a:ext>
          </a:extLst>
        </xdr:cNvPr>
        <xdr:cNvSpPr/>
      </xdr:nvSpPr>
      <xdr:spPr>
        <a:xfrm>
          <a:off x="466725" y="5505450"/>
          <a:ext cx="1485900" cy="96202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xdr:twoCellAnchor>
    <xdr:from>
      <xdr:col>4</xdr:col>
      <xdr:colOff>333375</xdr:colOff>
      <xdr:row>0</xdr:row>
      <xdr:rowOff>190500</xdr:rowOff>
    </xdr:from>
    <xdr:to>
      <xdr:col>11</xdr:col>
      <xdr:colOff>1077882</xdr:colOff>
      <xdr:row>0</xdr:row>
      <xdr:rowOff>527250</xdr:rowOff>
    </xdr:to>
    <xdr:grpSp>
      <xdr:nvGrpSpPr>
        <xdr:cNvPr id="4" name="Gruppieren 3">
          <a:extLst>
            <a:ext uri="{FF2B5EF4-FFF2-40B4-BE49-F238E27FC236}">
              <a16:creationId xmlns:a16="http://schemas.microsoft.com/office/drawing/2014/main" id="{00000000-0008-0000-0900-000004000000}"/>
            </a:ext>
          </a:extLst>
        </xdr:cNvPr>
        <xdr:cNvGrpSpPr/>
      </xdr:nvGrpSpPr>
      <xdr:grpSpPr>
        <a:xfrm>
          <a:off x="3343275" y="190500"/>
          <a:ext cx="4318287" cy="336750"/>
          <a:chOff x="3257550" y="209550"/>
          <a:chExt cx="4219771" cy="336750"/>
        </a:xfrm>
      </xdr:grpSpPr>
      <xdr:sp macro="" textlink="' '!A99">
        <xdr:nvSpPr>
          <xdr:cNvPr id="29" name="Rechteck: obere Ecken abgerundet 15">
            <a:hlinkClick xmlns:r="http://schemas.openxmlformats.org/officeDocument/2006/relationships" r:id="rId11" tooltip="Go to"/>
            <a:extLst>
              <a:ext uri="{FF2B5EF4-FFF2-40B4-BE49-F238E27FC236}">
                <a16:creationId xmlns:a16="http://schemas.microsoft.com/office/drawing/2014/main" id="{00000000-0008-0000-0900-00001D000000}"/>
              </a:ext>
            </a:extLst>
          </xdr:cNvPr>
          <xdr:cNvSpPr/>
        </xdr:nvSpPr>
        <xdr:spPr>
          <a:xfrm>
            <a:off x="3257550" y="209550"/>
            <a:ext cx="1374530" cy="336750"/>
          </a:xfrm>
          <a:prstGeom prst="round2SameRect">
            <a:avLst/>
          </a:prstGeom>
          <a:gradFill>
            <a:gsLst>
              <a:gs pos="0">
                <a:srgbClr val="4C5974"/>
              </a:gs>
              <a:gs pos="80000">
                <a:srgbClr val="8B98B3"/>
              </a:gs>
              <a:gs pos="100000">
                <a:srgbClr val="C5CCD9"/>
              </a:gs>
            </a:gsLst>
          </a:gradFill>
          <a:ln>
            <a:solidFill>
              <a:srgbClr val="8B98B3"/>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30" name="Rechteck: obere Ecken abgerundet 14">
            <a:hlinkClick xmlns:r="http://schemas.openxmlformats.org/officeDocument/2006/relationships" r:id="rId12" tooltip="Go to"/>
            <a:extLst>
              <a:ext uri="{FF2B5EF4-FFF2-40B4-BE49-F238E27FC236}">
                <a16:creationId xmlns:a16="http://schemas.microsoft.com/office/drawing/2014/main" id="{00000000-0008-0000-0900-00001E000000}"/>
              </a:ext>
            </a:extLst>
          </xdr:cNvPr>
          <xdr:cNvSpPr/>
        </xdr:nvSpPr>
        <xdr:spPr>
          <a:xfrm>
            <a:off x="4682893" y="209550"/>
            <a:ext cx="1374529" cy="336750"/>
          </a:xfrm>
          <a:prstGeom prst="round2SameRect">
            <a:avLst/>
          </a:prstGeom>
          <a:gradFill>
            <a:gsLst>
              <a:gs pos="0">
                <a:srgbClr val="4C5974"/>
              </a:gs>
              <a:gs pos="80000">
                <a:srgbClr val="8B98B3"/>
              </a:gs>
              <a:gs pos="100000">
                <a:srgbClr val="C5CCD9"/>
              </a:gs>
            </a:gsLst>
          </a:gradFill>
          <a:ln>
            <a:solidFill>
              <a:srgbClr val="8B98B3"/>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02">
        <xdr:nvSpPr>
          <xdr:cNvPr id="31" name="Rechteck: obere Ecken abgerundet 14">
            <a:hlinkClick xmlns:r="http://schemas.openxmlformats.org/officeDocument/2006/relationships" r:id="rId13" tooltip="Go to"/>
            <a:extLst>
              <a:ext uri="{FF2B5EF4-FFF2-40B4-BE49-F238E27FC236}">
                <a16:creationId xmlns:a16="http://schemas.microsoft.com/office/drawing/2014/main" id="{00000000-0008-0000-0900-00001F000000}"/>
              </a:ext>
            </a:extLst>
          </xdr:cNvPr>
          <xdr:cNvSpPr/>
        </xdr:nvSpPr>
        <xdr:spPr>
          <a:xfrm>
            <a:off x="6108234" y="209550"/>
            <a:ext cx="1369087" cy="336750"/>
          </a:xfrm>
          <a:prstGeom prst="round2SameRect">
            <a:avLst/>
          </a:prstGeom>
          <a:gradFill>
            <a:gsLst>
              <a:gs pos="0">
                <a:srgbClr val="4C5974"/>
              </a:gs>
              <a:gs pos="80000">
                <a:srgbClr val="8B98B3"/>
              </a:gs>
              <a:gs pos="100000">
                <a:srgbClr val="C5CCD9"/>
              </a:gs>
            </a:gsLst>
          </a:gradFill>
          <a:ln>
            <a:solidFill>
              <a:srgbClr val="8B98B3"/>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E3A21285-16A6-4B9D-8378-81F287973AD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Review</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18</xdr:col>
      <xdr:colOff>66675</xdr:colOff>
      <xdr:row>3</xdr:row>
      <xdr:rowOff>47626</xdr:rowOff>
    </xdr:from>
    <xdr:to>
      <xdr:col>43</xdr:col>
      <xdr:colOff>47625</xdr:colOff>
      <xdr:row>5</xdr:row>
      <xdr:rowOff>85726</xdr:rowOff>
    </xdr:to>
    <xdr:graphicFrame macro="">
      <xdr:nvGraphicFramePr>
        <xdr:cNvPr id="13" name="Diagramm 12">
          <a:extLst>
            <a:ext uri="{FF2B5EF4-FFF2-40B4-BE49-F238E27FC236}">
              <a16:creationId xmlns:a16="http://schemas.microsoft.com/office/drawing/2014/main" id="{00000000-0008-0000-0A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18</xdr:col>
      <xdr:colOff>57150</xdr:colOff>
      <xdr:row>26</xdr:row>
      <xdr:rowOff>76201</xdr:rowOff>
    </xdr:from>
    <xdr:to>
      <xdr:col>43</xdr:col>
      <xdr:colOff>38100</xdr:colOff>
      <xdr:row>29</xdr:row>
      <xdr:rowOff>19051</xdr:rowOff>
    </xdr:to>
    <xdr:graphicFrame macro="">
      <xdr:nvGraphicFramePr>
        <xdr:cNvPr id="25" name="Diagramm 24">
          <a:extLst>
            <a:ext uri="{FF2B5EF4-FFF2-40B4-BE49-F238E27FC236}">
              <a16:creationId xmlns:a16="http://schemas.microsoft.com/office/drawing/2014/main" id="{00000000-0008-0000-0A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9525</xdr:colOff>
      <xdr:row>0</xdr:row>
      <xdr:rowOff>171450</xdr:rowOff>
    </xdr:from>
    <xdr:to>
      <xdr:col>4</xdr:col>
      <xdr:colOff>9675</xdr:colOff>
      <xdr:row>0</xdr:row>
      <xdr:rowOff>496915</xdr:rowOff>
    </xdr:to>
    <xdr:grpSp>
      <xdr:nvGrpSpPr>
        <xdr:cNvPr id="24" name="Gruppieren 23">
          <a:hlinkClick xmlns:r="http://schemas.openxmlformats.org/officeDocument/2006/relationships" r:id="rId3" tooltip="Home"/>
          <a:extLst>
            <a:ext uri="{FF2B5EF4-FFF2-40B4-BE49-F238E27FC236}">
              <a16:creationId xmlns:a16="http://schemas.microsoft.com/office/drawing/2014/main" id="{00000000-0008-0000-0A00-000018000000}"/>
            </a:ext>
          </a:extLst>
        </xdr:cNvPr>
        <xdr:cNvGrpSpPr/>
      </xdr:nvGrpSpPr>
      <xdr:grpSpPr>
        <a:xfrm>
          <a:off x="70485" y="171450"/>
          <a:ext cx="358290" cy="325465"/>
          <a:chOff x="12729063" y="1298331"/>
          <a:chExt cx="324000" cy="323267"/>
        </a:xfrm>
      </xdr:grpSpPr>
      <xdr:sp macro="" textlink="">
        <xdr:nvSpPr>
          <xdr:cNvPr id="29" name="Rechteck 28">
            <a:extLst>
              <a:ext uri="{FF2B5EF4-FFF2-40B4-BE49-F238E27FC236}">
                <a16:creationId xmlns:a16="http://schemas.microsoft.com/office/drawing/2014/main" id="{00000000-0008-0000-0A00-00001D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30" name="Grafik 29" descr="http://www.clker.com/cliparts/Z/I/5/L/X/x/white-house-md.png">
            <a:extLst>
              <a:ext uri="{FF2B5EF4-FFF2-40B4-BE49-F238E27FC236}">
                <a16:creationId xmlns:a16="http://schemas.microsoft.com/office/drawing/2014/main" id="{00000000-0008-0000-0A00-00001E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39</xdr:col>
      <xdr:colOff>66675</xdr:colOff>
      <xdr:row>6</xdr:row>
      <xdr:rowOff>32385</xdr:rowOff>
    </xdr:from>
    <xdr:to>
      <xdr:col>41</xdr:col>
      <xdr:colOff>48555</xdr:colOff>
      <xdr:row>6</xdr:row>
      <xdr:rowOff>212385</xdr:rowOff>
    </xdr:to>
    <xdr:grpSp>
      <xdr:nvGrpSpPr>
        <xdr:cNvPr id="31" name="Gruppieren 30">
          <a:hlinkClick xmlns:r="http://schemas.openxmlformats.org/officeDocument/2006/relationships" r:id="rId5" tooltip="Team"/>
          <a:extLst>
            <a:ext uri="{FF2B5EF4-FFF2-40B4-BE49-F238E27FC236}">
              <a16:creationId xmlns:a16="http://schemas.microsoft.com/office/drawing/2014/main" id="{00000000-0008-0000-0A00-00001F000000}"/>
            </a:ext>
          </a:extLst>
        </xdr:cNvPr>
        <xdr:cNvGrpSpPr>
          <a:grpSpLocks/>
        </xdr:cNvGrpSpPr>
      </xdr:nvGrpSpPr>
      <xdr:grpSpPr>
        <a:xfrm>
          <a:off x="3861435" y="1746885"/>
          <a:ext cx="180000" cy="180000"/>
          <a:chOff x="12020550" y="2171700"/>
          <a:chExt cx="324000" cy="325465"/>
        </a:xfrm>
      </xdr:grpSpPr>
      <xdr:sp macro="" textlink="">
        <xdr:nvSpPr>
          <xdr:cNvPr id="32" name="Rechteck 31">
            <a:extLst>
              <a:ext uri="{FF2B5EF4-FFF2-40B4-BE49-F238E27FC236}">
                <a16:creationId xmlns:a16="http://schemas.microsoft.com/office/drawing/2014/main" id="{00000000-0008-0000-0A00-000020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3" name="Pfeil nach rechts 32">
            <a:extLst>
              <a:ext uri="{FF2B5EF4-FFF2-40B4-BE49-F238E27FC236}">
                <a16:creationId xmlns:a16="http://schemas.microsoft.com/office/drawing/2014/main" id="{00000000-0008-0000-0A00-000021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18</xdr:col>
      <xdr:colOff>66675</xdr:colOff>
      <xdr:row>59</xdr:row>
      <xdr:rowOff>28575</xdr:rowOff>
    </xdr:from>
    <xdr:to>
      <xdr:col>43</xdr:col>
      <xdr:colOff>47625</xdr:colOff>
      <xdr:row>61</xdr:row>
      <xdr:rowOff>85725</xdr:rowOff>
    </xdr:to>
    <xdr:graphicFrame macro="">
      <xdr:nvGraphicFramePr>
        <xdr:cNvPr id="17" name="Diagramm 16">
          <a:extLst>
            <a:ext uri="{FF2B5EF4-FFF2-40B4-BE49-F238E27FC236}">
              <a16:creationId xmlns:a16="http://schemas.microsoft.com/office/drawing/2014/main" id="{00000000-0008-0000-0A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39</xdr:col>
      <xdr:colOff>66675</xdr:colOff>
      <xdr:row>29</xdr:row>
      <xdr:rowOff>32385</xdr:rowOff>
    </xdr:from>
    <xdr:to>
      <xdr:col>41</xdr:col>
      <xdr:colOff>48555</xdr:colOff>
      <xdr:row>29</xdr:row>
      <xdr:rowOff>212385</xdr:rowOff>
    </xdr:to>
    <xdr:grpSp>
      <xdr:nvGrpSpPr>
        <xdr:cNvPr id="18" name="Gruppieren 17">
          <a:hlinkClick xmlns:r="http://schemas.openxmlformats.org/officeDocument/2006/relationships" r:id="rId7" tooltip="Team"/>
          <a:extLst>
            <a:ext uri="{FF2B5EF4-FFF2-40B4-BE49-F238E27FC236}">
              <a16:creationId xmlns:a16="http://schemas.microsoft.com/office/drawing/2014/main" id="{00000000-0008-0000-0A00-000012000000}"/>
            </a:ext>
          </a:extLst>
        </xdr:cNvPr>
        <xdr:cNvGrpSpPr>
          <a:grpSpLocks/>
        </xdr:cNvGrpSpPr>
      </xdr:nvGrpSpPr>
      <xdr:grpSpPr>
        <a:xfrm>
          <a:off x="3861435" y="6837045"/>
          <a:ext cx="180000" cy="180000"/>
          <a:chOff x="12020550" y="2171700"/>
          <a:chExt cx="324000" cy="325465"/>
        </a:xfrm>
      </xdr:grpSpPr>
      <xdr:sp macro="" textlink="">
        <xdr:nvSpPr>
          <xdr:cNvPr id="19" name="Rechteck 18">
            <a:extLst>
              <a:ext uri="{FF2B5EF4-FFF2-40B4-BE49-F238E27FC236}">
                <a16:creationId xmlns:a16="http://schemas.microsoft.com/office/drawing/2014/main" id="{00000000-0008-0000-0A00-000013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0" name="Pfeil nach rechts 19">
            <a:extLst>
              <a:ext uri="{FF2B5EF4-FFF2-40B4-BE49-F238E27FC236}">
                <a16:creationId xmlns:a16="http://schemas.microsoft.com/office/drawing/2014/main" id="{00000000-0008-0000-0A00-000014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xdr:from>
          <xdr:col>90</xdr:col>
          <xdr:colOff>76200</xdr:colOff>
          <xdr:row>0</xdr:row>
          <xdr:rowOff>19050</xdr:rowOff>
        </xdr:from>
        <xdr:to>
          <xdr:col>113</xdr:col>
          <xdr:colOff>9525</xdr:colOff>
          <xdr:row>0</xdr:row>
          <xdr:rowOff>552450</xdr:rowOff>
        </xdr:to>
        <xdr:pic>
          <xdr:nvPicPr>
            <xdr:cNvPr id="28" name="Grafik 27">
              <a:extLst>
                <a:ext uri="{FF2B5EF4-FFF2-40B4-BE49-F238E27FC236}">
                  <a16:creationId xmlns:a16="http://schemas.microsoft.com/office/drawing/2014/main" id="{00000000-0008-0000-0A00-00001C000000}"/>
                </a:ext>
              </a:extLst>
            </xdr:cNvPr>
            <xdr:cNvPicPr>
              <a:picLocks noChangeAspect="1" noChangeArrowheads="1"/>
              <a:extLst>
                <a:ext uri="{84589F7E-364E-4C9E-8A38-B11213B215E9}">
                  <a14:cameraTool cellRange="Logo!$D$6" spid="_x0000_s212160"/>
                </a:ext>
              </a:extLst>
            </xdr:cNvPicPr>
          </xdr:nvPicPr>
          <xdr:blipFill>
            <a:blip xmlns:r="http://schemas.openxmlformats.org/officeDocument/2006/relationships" r:embed="rId8"/>
            <a:srcRect/>
            <a:stretch>
              <a:fillRect/>
            </a:stretch>
          </xdr:blipFill>
          <xdr:spPr bwMode="auto">
            <a:xfrm>
              <a:off x="8305800" y="19050"/>
              <a:ext cx="2171700" cy="533400"/>
            </a:xfrm>
            <a:prstGeom prst="rect">
              <a:avLst/>
            </a:prstGeom>
            <a:solidFill>
              <a:schemeClr val="bg1"/>
            </a:solidFill>
            <a:ln w="9525">
              <a:noFill/>
              <a:miter lim="800000"/>
              <a:headEnd/>
              <a:tailEnd/>
            </a:ln>
          </xdr:spPr>
        </xdr:pic>
        <xdr:clientData/>
      </xdr:twoCellAnchor>
    </mc:Choice>
    <mc:Fallback/>
  </mc:AlternateContent>
  <xdr:twoCellAnchor>
    <xdr:from>
      <xdr:col>106</xdr:col>
      <xdr:colOff>71437</xdr:colOff>
      <xdr:row>1</xdr:row>
      <xdr:rowOff>61912</xdr:rowOff>
    </xdr:from>
    <xdr:to>
      <xdr:col>112</xdr:col>
      <xdr:colOff>141899</xdr:colOff>
      <xdr:row>2</xdr:row>
      <xdr:rowOff>60937</xdr:rowOff>
    </xdr:to>
    <xdr:grpSp>
      <xdr:nvGrpSpPr>
        <xdr:cNvPr id="3" name="Gruppieren 2">
          <a:extLst>
            <a:ext uri="{FF2B5EF4-FFF2-40B4-BE49-F238E27FC236}">
              <a16:creationId xmlns:a16="http://schemas.microsoft.com/office/drawing/2014/main" id="{00000000-0008-0000-0A00-000003000000}"/>
            </a:ext>
          </a:extLst>
        </xdr:cNvPr>
        <xdr:cNvGrpSpPr/>
      </xdr:nvGrpSpPr>
      <xdr:grpSpPr>
        <a:xfrm>
          <a:off x="10274617" y="633412"/>
          <a:ext cx="664822" cy="174285"/>
          <a:chOff x="9825037" y="633412"/>
          <a:chExt cx="641962" cy="180000"/>
        </a:xfrm>
      </xdr:grpSpPr>
      <xdr:grpSp>
        <xdr:nvGrpSpPr>
          <xdr:cNvPr id="34" name="Gruppieren 47">
            <a:hlinkClick xmlns:r="http://schemas.openxmlformats.org/officeDocument/2006/relationships" r:id="rId9" tooltip="Help"/>
            <a:extLst>
              <a:ext uri="{FF2B5EF4-FFF2-40B4-BE49-F238E27FC236}">
                <a16:creationId xmlns:a16="http://schemas.microsoft.com/office/drawing/2014/main" id="{00000000-0008-0000-0A00-000022000000}"/>
              </a:ext>
            </a:extLst>
          </xdr:cNvPr>
          <xdr:cNvGrpSpPr>
            <a:grpSpLocks noChangeAspect="1"/>
          </xdr:cNvGrpSpPr>
        </xdr:nvGrpSpPr>
        <xdr:grpSpPr>
          <a:xfrm>
            <a:off x="10301286" y="633412"/>
            <a:ext cx="165713" cy="180000"/>
            <a:chOff x="8105775" y="571500"/>
            <a:chExt cx="172800" cy="172800"/>
          </a:xfrm>
        </xdr:grpSpPr>
        <xdr:sp macro="" textlink="">
          <xdr:nvSpPr>
            <xdr:cNvPr id="35" name="Rechteck 48">
              <a:extLst>
                <a:ext uri="{FF2B5EF4-FFF2-40B4-BE49-F238E27FC236}">
                  <a16:creationId xmlns:a16="http://schemas.microsoft.com/office/drawing/2014/main" id="{00000000-0008-0000-0A00-00002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6" name="Textfeld 49">
              <a:extLst>
                <a:ext uri="{FF2B5EF4-FFF2-40B4-BE49-F238E27FC236}">
                  <a16:creationId xmlns:a16="http://schemas.microsoft.com/office/drawing/2014/main" id="{00000000-0008-0000-0A00-00002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40" name="Rechteck 78">
            <a:extLst>
              <a:ext uri="{FF2B5EF4-FFF2-40B4-BE49-F238E27FC236}">
                <a16:creationId xmlns:a16="http://schemas.microsoft.com/office/drawing/2014/main" id="{00000000-0008-0000-0A00-000028000000}"/>
              </a:ext>
            </a:extLst>
          </xdr:cNvPr>
          <xdr:cNvSpPr>
            <a:spLocks noChangeAspect="1"/>
          </xdr:cNvSpPr>
        </xdr:nvSpPr>
        <xdr:spPr>
          <a:xfrm>
            <a:off x="9825037" y="633412"/>
            <a:ext cx="180142"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41" name="Rechteck 84">
            <a:extLst>
              <a:ext uri="{FF2B5EF4-FFF2-40B4-BE49-F238E27FC236}">
                <a16:creationId xmlns:a16="http://schemas.microsoft.com/office/drawing/2014/main" id="{00000000-0008-0000-0A00-000029000000}"/>
              </a:ext>
            </a:extLst>
          </xdr:cNvPr>
          <xdr:cNvSpPr>
            <a:spLocks/>
          </xdr:cNvSpPr>
        </xdr:nvSpPr>
        <xdr:spPr>
          <a:xfrm>
            <a:off x="10035538" y="633412"/>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18</xdr:col>
      <xdr:colOff>61913</xdr:colOff>
      <xdr:row>63</xdr:row>
      <xdr:rowOff>57150</xdr:rowOff>
    </xdr:from>
    <xdr:to>
      <xdr:col>43</xdr:col>
      <xdr:colOff>42863</xdr:colOff>
      <xdr:row>66</xdr:row>
      <xdr:rowOff>0</xdr:rowOff>
    </xdr:to>
    <xdr:graphicFrame macro="">
      <xdr:nvGraphicFramePr>
        <xdr:cNvPr id="22" name="Diagramm 24">
          <a:extLst>
            <a:ext uri="{FF2B5EF4-FFF2-40B4-BE49-F238E27FC236}">
              <a16:creationId xmlns:a16="http://schemas.microsoft.com/office/drawing/2014/main" id="{00000000-0008-0000-0A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editAs="oneCell">
    <xdr:from>
      <xdr:col>45</xdr:col>
      <xdr:colOff>50800</xdr:colOff>
      <xdr:row>4</xdr:row>
      <xdr:rowOff>43542</xdr:rowOff>
    </xdr:from>
    <xdr:to>
      <xdr:col>47</xdr:col>
      <xdr:colOff>63600</xdr:colOff>
      <xdr:row>4</xdr:row>
      <xdr:rowOff>259542</xdr:rowOff>
    </xdr:to>
    <xdr:pic>
      <xdr:nvPicPr>
        <xdr:cNvPr id="5" name="Grafik 4">
          <a:hlinkClick xmlns:r="http://schemas.openxmlformats.org/officeDocument/2006/relationships" r:id="rId11" tooltip="Options"/>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455886" y="1164771"/>
          <a:ext cx="216000" cy="216000"/>
        </a:xfrm>
        <a:prstGeom prst="rect">
          <a:avLst/>
        </a:prstGeom>
      </xdr:spPr>
    </xdr:pic>
    <xdr:clientData/>
  </xdr:twoCellAnchor>
  <xdr:twoCellAnchor editAs="absolute">
    <xdr:from>
      <xdr:col>1</xdr:col>
      <xdr:colOff>47625</xdr:colOff>
      <xdr:row>1</xdr:row>
      <xdr:rowOff>104775</xdr:rowOff>
    </xdr:from>
    <xdr:to>
      <xdr:col>97</xdr:col>
      <xdr:colOff>52841</xdr:colOff>
      <xdr:row>2</xdr:row>
      <xdr:rowOff>355800</xdr:rowOff>
    </xdr:to>
    <xdr:grpSp>
      <xdr:nvGrpSpPr>
        <xdr:cNvPr id="2" name="Gruppieren 1">
          <a:extLst>
            <a:ext uri="{FF2B5EF4-FFF2-40B4-BE49-F238E27FC236}">
              <a16:creationId xmlns:a16="http://schemas.microsoft.com/office/drawing/2014/main" id="{00000000-0008-0000-0A00-000002000000}"/>
            </a:ext>
          </a:extLst>
        </xdr:cNvPr>
        <xdr:cNvGrpSpPr/>
      </xdr:nvGrpSpPr>
      <xdr:grpSpPr>
        <a:xfrm>
          <a:off x="108585" y="676275"/>
          <a:ext cx="9255896" cy="426285"/>
          <a:chOff x="104775" y="676275"/>
          <a:chExt cx="10387466" cy="432000"/>
        </a:xfrm>
      </xdr:grpSpPr>
      <xdr:sp macro="" textlink="">
        <xdr:nvSpPr>
          <xdr:cNvPr id="44" name="Rechteck: obere Ecken abgerundet 13">
            <a:hlinkClick xmlns:r="http://schemas.openxmlformats.org/officeDocument/2006/relationships" r:id="rId13" tooltip="Go to"/>
            <a:extLst>
              <a:ext uri="{FF2B5EF4-FFF2-40B4-BE49-F238E27FC236}">
                <a16:creationId xmlns:a16="http://schemas.microsoft.com/office/drawing/2014/main" id="{00000000-0008-0000-0A00-00002C000000}"/>
              </a:ext>
            </a:extLst>
          </xdr:cNvPr>
          <xdr:cNvSpPr/>
        </xdr:nvSpPr>
        <xdr:spPr>
          <a:xfrm>
            <a:off x="104775" y="676275"/>
            <a:ext cx="1434557" cy="4320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sp macro="" textlink="' '!A42">
        <xdr:nvSpPr>
          <xdr:cNvPr id="45" name="Rechteck: obere Ecken abgerundet 14">
            <a:hlinkClick xmlns:r="http://schemas.openxmlformats.org/officeDocument/2006/relationships" r:id="rId14" tooltip="Go to"/>
            <a:extLst>
              <a:ext uri="{FF2B5EF4-FFF2-40B4-BE49-F238E27FC236}">
                <a16:creationId xmlns:a16="http://schemas.microsoft.com/office/drawing/2014/main" id="{00000000-0008-0000-0A00-00002D000000}"/>
              </a:ext>
            </a:extLst>
          </xdr:cNvPr>
          <xdr:cNvSpPr/>
        </xdr:nvSpPr>
        <xdr:spPr>
          <a:xfrm>
            <a:off x="1596000" y="676275"/>
            <a:ext cx="1440000" cy="4320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99">
        <xdr:nvSpPr>
          <xdr:cNvPr id="46" name="Rechteck: obere Ecken abgerundet 15">
            <a:hlinkClick xmlns:r="http://schemas.openxmlformats.org/officeDocument/2006/relationships" r:id="rId15" tooltip="Go to"/>
            <a:extLst>
              <a:ext uri="{FF2B5EF4-FFF2-40B4-BE49-F238E27FC236}">
                <a16:creationId xmlns:a16="http://schemas.microsoft.com/office/drawing/2014/main" id="{00000000-0008-0000-0A00-00002E000000}"/>
              </a:ext>
            </a:extLst>
          </xdr:cNvPr>
          <xdr:cNvSpPr/>
        </xdr:nvSpPr>
        <xdr:spPr>
          <a:xfrm>
            <a:off x="3092668" y="676275"/>
            <a:ext cx="1440000" cy="4320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47" name="Rechteck: obere Ecken abgerundet 14">
            <a:hlinkClick xmlns:r="http://schemas.openxmlformats.org/officeDocument/2006/relationships" r:id="rId16" tooltip="Go to"/>
            <a:extLst>
              <a:ext uri="{FF2B5EF4-FFF2-40B4-BE49-F238E27FC236}">
                <a16:creationId xmlns:a16="http://schemas.microsoft.com/office/drawing/2014/main" id="{00000000-0008-0000-0A00-00002F000000}"/>
              </a:ext>
            </a:extLst>
          </xdr:cNvPr>
          <xdr:cNvSpPr/>
        </xdr:nvSpPr>
        <xdr:spPr>
          <a:xfrm>
            <a:off x="4589336" y="676275"/>
            <a:ext cx="1440000" cy="4320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05">
        <xdr:nvSpPr>
          <xdr:cNvPr id="48" name="Rechteck: obere Ecken abgerundet 14">
            <a:hlinkClick xmlns:r="http://schemas.openxmlformats.org/officeDocument/2006/relationships" r:id="rId17" tooltip="Go to"/>
            <a:extLst>
              <a:ext uri="{FF2B5EF4-FFF2-40B4-BE49-F238E27FC236}">
                <a16:creationId xmlns:a16="http://schemas.microsoft.com/office/drawing/2014/main" id="{00000000-0008-0000-0A00-000030000000}"/>
              </a:ext>
            </a:extLst>
          </xdr:cNvPr>
          <xdr:cNvSpPr/>
        </xdr:nvSpPr>
        <xdr:spPr>
          <a:xfrm>
            <a:off x="6086004" y="676275"/>
            <a:ext cx="1440000" cy="4320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7DC177B-452E-472F-9108-CE32008F6BD2}"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Retrospective</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06">
        <xdr:nvSpPr>
          <xdr:cNvPr id="49" name="Rechteck: obere Ecken abgerundet 14">
            <a:hlinkClick xmlns:r="http://schemas.openxmlformats.org/officeDocument/2006/relationships" r:id="rId18" tooltip="Go to"/>
            <a:extLst>
              <a:ext uri="{FF2B5EF4-FFF2-40B4-BE49-F238E27FC236}">
                <a16:creationId xmlns:a16="http://schemas.microsoft.com/office/drawing/2014/main" id="{00000000-0008-0000-0A00-000031000000}"/>
              </a:ext>
            </a:extLst>
          </xdr:cNvPr>
          <xdr:cNvSpPr/>
        </xdr:nvSpPr>
        <xdr:spPr>
          <a:xfrm>
            <a:off x="7582670" y="676275"/>
            <a:ext cx="1433196" cy="4320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8E698A1C-FD08-49E8-8BA5-DB8A7F92BAF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Increment</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fPrintsWithSheet="0"/>
  </xdr:twoCellAnchor>
</xdr:wsDr>
</file>

<file path=xl/drawings/drawing12.xml><?xml version="1.0" encoding="utf-8"?>
<xdr:wsDr xmlns:xdr="http://schemas.openxmlformats.org/drawingml/2006/spreadsheetDrawing" xmlns:a="http://schemas.openxmlformats.org/drawingml/2006/main">
  <xdr:twoCellAnchor editAs="oneCell">
    <xdr:from>
      <xdr:col>0</xdr:col>
      <xdr:colOff>66675</xdr:colOff>
      <xdr:row>3</xdr:row>
      <xdr:rowOff>9525</xdr:rowOff>
    </xdr:from>
    <xdr:to>
      <xdr:col>0</xdr:col>
      <xdr:colOff>390675</xdr:colOff>
      <xdr:row>3</xdr:row>
      <xdr:rowOff>334990</xdr:rowOff>
    </xdr:to>
    <xdr:grpSp>
      <xdr:nvGrpSpPr>
        <xdr:cNvPr id="2" name="Gruppieren 1">
          <a:hlinkClick xmlns:r="http://schemas.openxmlformats.org/officeDocument/2006/relationships" r:id="rId1" tooltip="Graphic"/>
          <a:extLst>
            <a:ext uri="{FF2B5EF4-FFF2-40B4-BE49-F238E27FC236}">
              <a16:creationId xmlns:a16="http://schemas.microsoft.com/office/drawing/2014/main" id="{00000000-0008-0000-0B00-000002000000}"/>
            </a:ext>
          </a:extLst>
        </xdr:cNvPr>
        <xdr:cNvGrpSpPr/>
      </xdr:nvGrpSpPr>
      <xdr:grpSpPr>
        <a:xfrm>
          <a:off x="66675" y="847725"/>
          <a:ext cx="324000" cy="325465"/>
          <a:chOff x="12382500" y="2152650"/>
          <a:chExt cx="324000" cy="325465"/>
        </a:xfrm>
      </xdr:grpSpPr>
      <xdr:sp macro="" textlink="">
        <xdr:nvSpPr>
          <xdr:cNvPr id="3" name="Rechteck 2">
            <a:extLst>
              <a:ext uri="{FF2B5EF4-FFF2-40B4-BE49-F238E27FC236}">
                <a16:creationId xmlns:a16="http://schemas.microsoft.com/office/drawing/2014/main" id="{00000000-0008-0000-0B00-000003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2</xdr:col>
      <xdr:colOff>378283</xdr:colOff>
      <xdr:row>27</xdr:row>
      <xdr:rowOff>37657</xdr:rowOff>
    </xdr:from>
    <xdr:to>
      <xdr:col>4</xdr:col>
      <xdr:colOff>682857</xdr:colOff>
      <xdr:row>37</xdr:row>
      <xdr:rowOff>132157</xdr:rowOff>
    </xdr:to>
    <xdr:sp macro="" textlink="">
      <xdr:nvSpPr>
        <xdr:cNvPr id="11" name="Rechteck 10">
          <a:extLst>
            <a:ext uri="{FF2B5EF4-FFF2-40B4-BE49-F238E27FC236}">
              <a16:creationId xmlns:a16="http://schemas.microsoft.com/office/drawing/2014/main" id="{00000000-0008-0000-0B00-00000B000000}"/>
            </a:ext>
          </a:extLst>
        </xdr:cNvPr>
        <xdr:cNvSpPr>
          <a:spLocks noChangeAspect="1"/>
        </xdr:cNvSpPr>
      </xdr:nvSpPr>
      <xdr:spPr>
        <a:xfrm>
          <a:off x="1149808" y="7695757"/>
          <a:ext cx="2952524" cy="2952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378283</xdr:colOff>
      <xdr:row>37</xdr:row>
      <xdr:rowOff>179307</xdr:rowOff>
    </xdr:from>
    <xdr:to>
      <xdr:col>4</xdr:col>
      <xdr:colOff>682857</xdr:colOff>
      <xdr:row>47</xdr:row>
      <xdr:rowOff>273807</xdr:rowOff>
    </xdr:to>
    <xdr:sp macro="" textlink="">
      <xdr:nvSpPr>
        <xdr:cNvPr id="12" name="Rechteck 11">
          <a:extLst>
            <a:ext uri="{FF2B5EF4-FFF2-40B4-BE49-F238E27FC236}">
              <a16:creationId xmlns:a16="http://schemas.microsoft.com/office/drawing/2014/main" id="{00000000-0008-0000-0B00-00000C000000}"/>
            </a:ext>
          </a:extLst>
        </xdr:cNvPr>
        <xdr:cNvSpPr>
          <a:spLocks noChangeAspect="1"/>
        </xdr:cNvSpPr>
      </xdr:nvSpPr>
      <xdr:spPr>
        <a:xfrm>
          <a:off x="1149808" y="10694907"/>
          <a:ext cx="2952524" cy="2952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715488</xdr:colOff>
      <xdr:row>27</xdr:row>
      <xdr:rowOff>37657</xdr:rowOff>
    </xdr:from>
    <xdr:to>
      <xdr:col>7</xdr:col>
      <xdr:colOff>23298</xdr:colOff>
      <xdr:row>37</xdr:row>
      <xdr:rowOff>132157</xdr:rowOff>
    </xdr:to>
    <xdr:sp macro="" textlink="">
      <xdr:nvSpPr>
        <xdr:cNvPr id="13" name="Rechteck 12">
          <a:extLst>
            <a:ext uri="{FF2B5EF4-FFF2-40B4-BE49-F238E27FC236}">
              <a16:creationId xmlns:a16="http://schemas.microsoft.com/office/drawing/2014/main" id="{00000000-0008-0000-0B00-00000D000000}"/>
            </a:ext>
          </a:extLst>
        </xdr:cNvPr>
        <xdr:cNvSpPr>
          <a:spLocks noChangeAspect="1"/>
        </xdr:cNvSpPr>
      </xdr:nvSpPr>
      <xdr:spPr>
        <a:xfrm>
          <a:off x="4134963" y="7695757"/>
          <a:ext cx="2955885" cy="2952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715488</xdr:colOff>
      <xdr:row>37</xdr:row>
      <xdr:rowOff>179307</xdr:rowOff>
    </xdr:from>
    <xdr:to>
      <xdr:col>7</xdr:col>
      <xdr:colOff>23298</xdr:colOff>
      <xdr:row>47</xdr:row>
      <xdr:rowOff>273807</xdr:rowOff>
    </xdr:to>
    <xdr:sp macro="" textlink="">
      <xdr:nvSpPr>
        <xdr:cNvPr id="14" name="Rechteck 13">
          <a:extLst>
            <a:ext uri="{FF2B5EF4-FFF2-40B4-BE49-F238E27FC236}">
              <a16:creationId xmlns:a16="http://schemas.microsoft.com/office/drawing/2014/main" id="{00000000-0008-0000-0B00-00000E000000}"/>
            </a:ext>
          </a:extLst>
        </xdr:cNvPr>
        <xdr:cNvSpPr>
          <a:spLocks noChangeAspect="1"/>
        </xdr:cNvSpPr>
      </xdr:nvSpPr>
      <xdr:spPr>
        <a:xfrm>
          <a:off x="4134963" y="10694907"/>
          <a:ext cx="2955885" cy="2952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1</xdr:col>
      <xdr:colOff>29420</xdr:colOff>
      <xdr:row>32</xdr:row>
      <xdr:rowOff>152398</xdr:rowOff>
    </xdr:from>
    <xdr:to>
      <xdr:col>2</xdr:col>
      <xdr:colOff>67406</xdr:colOff>
      <xdr:row>42</xdr:row>
      <xdr:rowOff>178117</xdr:rowOff>
    </xdr:to>
    <xdr:sp macro="" textlink="' '!A349">
      <xdr:nvSpPr>
        <xdr:cNvPr id="15" name="Textfeld 14">
          <a:extLst>
            <a:ext uri="{FF2B5EF4-FFF2-40B4-BE49-F238E27FC236}">
              <a16:creationId xmlns:a16="http://schemas.microsoft.com/office/drawing/2014/main" id="{00000000-0008-0000-0B00-00000F000000}"/>
            </a:ext>
          </a:extLst>
        </xdr:cNvPr>
        <xdr:cNvSpPr txBox="1"/>
      </xdr:nvSpPr>
      <xdr:spPr>
        <a:xfrm rot="16200000">
          <a:off x="-774072" y="10509465"/>
          <a:ext cx="2883219"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2DA9C743-30BD-413F-AE64-74D4B887D6C9}" type="TxLink">
            <a:rPr lang="en-US" sz="1600" b="1">
              <a:solidFill>
                <a:schemeClr val="tx1"/>
              </a:solidFill>
              <a:latin typeface="Calibri Light" panose="020F0302020204030204" pitchFamily="34" charset="0"/>
              <a:ea typeface="+mn-ea"/>
              <a:cs typeface="Calibri Light" panose="020F0302020204030204" pitchFamily="34" charset="0"/>
            </a:rPr>
            <a:pPr marL="0" indent="0" algn="ctr"/>
            <a:t>Stakeholder influence</a:t>
          </a:fld>
          <a:endParaRPr lang="de-CH" sz="1600" b="1">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43027</xdr:colOff>
      <xdr:row>49</xdr:row>
      <xdr:rowOff>28178</xdr:rowOff>
    </xdr:from>
    <xdr:to>
      <xdr:col>5</xdr:col>
      <xdr:colOff>1285875</xdr:colOff>
      <xdr:row>51</xdr:row>
      <xdr:rowOff>75689</xdr:rowOff>
    </xdr:to>
    <xdr:sp macro="" textlink="' '!A352">
      <xdr:nvSpPr>
        <xdr:cNvPr id="16" name="Textfeld 15">
          <a:extLst>
            <a:ext uri="{FF2B5EF4-FFF2-40B4-BE49-F238E27FC236}">
              <a16:creationId xmlns:a16="http://schemas.microsoft.com/office/drawing/2014/main" id="{00000000-0008-0000-0B00-000010000000}"/>
            </a:ext>
          </a:extLst>
        </xdr:cNvPr>
        <xdr:cNvSpPr txBox="1"/>
      </xdr:nvSpPr>
      <xdr:spPr>
        <a:xfrm>
          <a:off x="2748127" y="13972778"/>
          <a:ext cx="2747798"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A9BA0FD0-6046-44F4-AE26-541F283D18F6}" type="TxLink">
            <a:rPr lang="en-US" sz="1600" b="1">
              <a:solidFill>
                <a:schemeClr val="tx1"/>
              </a:solidFill>
              <a:latin typeface="Calibri Light" panose="020F0302020204030204" pitchFamily="34" charset="0"/>
              <a:ea typeface="+mn-ea"/>
              <a:cs typeface="Calibri Light" panose="020F0302020204030204" pitchFamily="34" charset="0"/>
            </a:rPr>
            <a:pPr marL="0" indent="0" algn="ctr"/>
            <a:t>Stakeholder interest</a:t>
          </a:fld>
          <a:endParaRPr lang="de-CH" sz="1600" b="1">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1</xdr:col>
      <xdr:colOff>121017</xdr:colOff>
      <xdr:row>27</xdr:row>
      <xdr:rowOff>56349</xdr:rowOff>
    </xdr:from>
    <xdr:to>
      <xdr:col>2</xdr:col>
      <xdr:colOff>127713</xdr:colOff>
      <xdr:row>29</xdr:row>
      <xdr:rowOff>200024</xdr:rowOff>
    </xdr:to>
    <xdr:sp macro="" textlink="' '!A347">
      <xdr:nvSpPr>
        <xdr:cNvPr id="17" name="Textfeld 16">
          <a:extLst>
            <a:ext uri="{FF2B5EF4-FFF2-40B4-BE49-F238E27FC236}">
              <a16:creationId xmlns:a16="http://schemas.microsoft.com/office/drawing/2014/main" id="{00000000-0008-0000-0B00-000011000000}"/>
            </a:ext>
          </a:extLst>
        </xdr:cNvPr>
        <xdr:cNvSpPr txBox="1"/>
      </xdr:nvSpPr>
      <xdr:spPr>
        <a:xfrm rot="16200000">
          <a:off x="385902" y="7916289"/>
          <a:ext cx="7151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28D2090C-DC23-4102-84F9-7287D5A1F63B}"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High</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1</xdr:col>
      <xdr:colOff>130542</xdr:colOff>
      <xdr:row>46</xdr:row>
      <xdr:rowOff>25396</xdr:rowOff>
    </xdr:from>
    <xdr:to>
      <xdr:col>2</xdr:col>
      <xdr:colOff>137238</xdr:colOff>
      <xdr:row>48</xdr:row>
      <xdr:rowOff>95034</xdr:rowOff>
    </xdr:to>
    <xdr:sp macro="" textlink="' '!A350">
      <xdr:nvSpPr>
        <xdr:cNvPr id="18" name="Textfeld 17">
          <a:extLst>
            <a:ext uri="{FF2B5EF4-FFF2-40B4-BE49-F238E27FC236}">
              <a16:creationId xmlns:a16="http://schemas.microsoft.com/office/drawing/2014/main" id="{00000000-0008-0000-0B00-000012000000}"/>
            </a:ext>
          </a:extLst>
        </xdr:cNvPr>
        <xdr:cNvSpPr txBox="1"/>
      </xdr:nvSpPr>
      <xdr:spPr>
        <a:xfrm rot="16200000">
          <a:off x="432446" y="13277567"/>
          <a:ext cx="6411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fld id="{A5AFF449-719F-457A-AD0F-0FFF746AAD4E}" type="TxLink">
            <a:rPr lang="en-US" sz="1400" b="0">
              <a:solidFill>
                <a:schemeClr val="tx1"/>
              </a:solidFill>
              <a:latin typeface="Calibri Light" panose="020F0302020204030204" pitchFamily="34" charset="0"/>
              <a:ea typeface="+mn-ea"/>
              <a:cs typeface="Calibri Light" panose="020F0302020204030204" pitchFamily="34" charset="0"/>
            </a:rPr>
            <a:pPr marL="0" indent="0"/>
            <a:t>Low</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6</xdr:col>
      <xdr:colOff>60883</xdr:colOff>
      <xdr:row>48</xdr:row>
      <xdr:rowOff>225032</xdr:rowOff>
    </xdr:from>
    <xdr:to>
      <xdr:col>7</xdr:col>
      <xdr:colOff>9525</xdr:colOff>
      <xdr:row>49</xdr:row>
      <xdr:rowOff>250778</xdr:rowOff>
    </xdr:to>
    <xdr:sp macro="" textlink="' '!A348">
      <xdr:nvSpPr>
        <xdr:cNvPr id="19" name="Textfeld 18">
          <a:extLst>
            <a:ext uri="{FF2B5EF4-FFF2-40B4-BE49-F238E27FC236}">
              <a16:creationId xmlns:a16="http://schemas.microsoft.com/office/drawing/2014/main" id="{00000000-0008-0000-0B00-000013000000}"/>
            </a:ext>
          </a:extLst>
        </xdr:cNvPr>
        <xdr:cNvSpPr txBox="1"/>
      </xdr:nvSpPr>
      <xdr:spPr>
        <a:xfrm>
          <a:off x="6385483" y="13883882"/>
          <a:ext cx="691592"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D00CBA45-252C-43C5-A54D-1A32B5937DDB}"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Big</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334985</xdr:colOff>
      <xdr:row>48</xdr:row>
      <xdr:rowOff>225032</xdr:rowOff>
    </xdr:from>
    <xdr:to>
      <xdr:col>2</xdr:col>
      <xdr:colOff>976123</xdr:colOff>
      <xdr:row>49</xdr:row>
      <xdr:rowOff>250778</xdr:rowOff>
    </xdr:to>
    <xdr:sp macro="" textlink="' '!A351">
      <xdr:nvSpPr>
        <xdr:cNvPr id="20" name="Textfeld 19">
          <a:extLst>
            <a:ext uri="{FF2B5EF4-FFF2-40B4-BE49-F238E27FC236}">
              <a16:creationId xmlns:a16="http://schemas.microsoft.com/office/drawing/2014/main" id="{00000000-0008-0000-0B00-000014000000}"/>
            </a:ext>
          </a:extLst>
        </xdr:cNvPr>
        <xdr:cNvSpPr txBox="1"/>
      </xdr:nvSpPr>
      <xdr:spPr>
        <a:xfrm>
          <a:off x="1106510" y="13883882"/>
          <a:ext cx="6411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75A562E3-1C90-49A1-A039-F6425A2CB95E}"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Small</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228600</xdr:colOff>
      <xdr:row>53</xdr:row>
      <xdr:rowOff>247649</xdr:rowOff>
    </xdr:from>
    <xdr:to>
      <xdr:col>7</xdr:col>
      <xdr:colOff>95250</xdr:colOff>
      <xdr:row>75</xdr:row>
      <xdr:rowOff>220124</xdr:rowOff>
    </xdr:to>
    <xdr:sp macro="" textlink="">
      <xdr:nvSpPr>
        <xdr:cNvPr id="21" name="Ellipse 20">
          <a:extLst>
            <a:ext uri="{FF2B5EF4-FFF2-40B4-BE49-F238E27FC236}">
              <a16:creationId xmlns:a16="http://schemas.microsoft.com/office/drawing/2014/main" id="{00000000-0008-0000-0B00-000015000000}"/>
            </a:ext>
          </a:extLst>
        </xdr:cNvPr>
        <xdr:cNvSpPr>
          <a:spLocks/>
        </xdr:cNvSpPr>
      </xdr:nvSpPr>
      <xdr:spPr>
        <a:xfrm>
          <a:off x="1000125" y="15059024"/>
          <a:ext cx="6162675" cy="6258975"/>
        </a:xfrm>
        <a:prstGeom prst="ellipse">
          <a:avLst/>
        </a:prstGeom>
        <a:ln w="3175">
          <a:noFill/>
          <a:prstDash val="sysDot"/>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1149937</xdr:colOff>
      <xdr:row>57</xdr:row>
      <xdr:rowOff>74136</xdr:rowOff>
    </xdr:from>
    <xdr:to>
      <xdr:col>5</xdr:col>
      <xdr:colOff>2031412</xdr:colOff>
      <xdr:row>72</xdr:row>
      <xdr:rowOff>107886</xdr:rowOff>
    </xdr:to>
    <xdr:sp macro="" textlink="">
      <xdr:nvSpPr>
        <xdr:cNvPr id="22" name="Ellipse 21">
          <a:extLst>
            <a:ext uri="{FF2B5EF4-FFF2-40B4-BE49-F238E27FC236}">
              <a16:creationId xmlns:a16="http://schemas.microsoft.com/office/drawing/2014/main" id="{00000000-0008-0000-0B00-000016000000}"/>
            </a:ext>
          </a:extLst>
        </xdr:cNvPr>
        <xdr:cNvSpPr>
          <a:spLocks/>
        </xdr:cNvSpPr>
      </xdr:nvSpPr>
      <xdr:spPr>
        <a:xfrm>
          <a:off x="1921462" y="16028511"/>
          <a:ext cx="4320000" cy="4320000"/>
        </a:xfrm>
        <a:prstGeom prst="ellipse">
          <a:avLst/>
        </a:prstGeom>
        <a:solidFill>
          <a:schemeClr val="bg1">
            <a:lumMod val="75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3</xdr:col>
      <xdr:colOff>116362</xdr:colOff>
      <xdr:row>60</xdr:row>
      <xdr:rowOff>116886</xdr:rowOff>
    </xdr:from>
    <xdr:to>
      <xdr:col>5</xdr:col>
      <xdr:colOff>1131412</xdr:colOff>
      <xdr:row>69</xdr:row>
      <xdr:rowOff>65136</xdr:rowOff>
    </xdr:to>
    <xdr:sp macro="" textlink="">
      <xdr:nvSpPr>
        <xdr:cNvPr id="23" name="Ellipse 22">
          <a:extLst>
            <a:ext uri="{FF2B5EF4-FFF2-40B4-BE49-F238E27FC236}">
              <a16:creationId xmlns:a16="http://schemas.microsoft.com/office/drawing/2014/main" id="{00000000-0008-0000-0B00-000017000000}"/>
            </a:ext>
          </a:extLst>
        </xdr:cNvPr>
        <xdr:cNvSpPr>
          <a:spLocks/>
        </xdr:cNvSpPr>
      </xdr:nvSpPr>
      <xdr:spPr>
        <a:xfrm>
          <a:off x="2821462" y="16928511"/>
          <a:ext cx="2520000" cy="2520000"/>
        </a:xfrm>
        <a:prstGeom prst="ellipse">
          <a:avLst/>
        </a:prstGeom>
        <a:solidFill>
          <a:schemeClr val="bg1">
            <a:lumMod val="65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3</xdr:col>
      <xdr:colOff>358588</xdr:colOff>
      <xdr:row>58</xdr:row>
      <xdr:rowOff>7542</xdr:rowOff>
    </xdr:from>
    <xdr:ext cx="2095500" cy="311496"/>
    <xdr:sp macro="" textlink="' '!A341">
      <xdr:nvSpPr>
        <xdr:cNvPr id="24" name="Textfeld 23">
          <a:extLst>
            <a:ext uri="{FF2B5EF4-FFF2-40B4-BE49-F238E27FC236}">
              <a16:creationId xmlns:a16="http://schemas.microsoft.com/office/drawing/2014/main" id="{00000000-0008-0000-0B00-000018000000}"/>
            </a:ext>
          </a:extLst>
        </xdr:cNvPr>
        <xdr:cNvSpPr txBox="1"/>
      </xdr:nvSpPr>
      <xdr:spPr>
        <a:xfrm>
          <a:off x="3063688" y="16247667"/>
          <a:ext cx="2095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93C19A5F-5B9A-458A-8718-D151F7AFECF2}" type="TxLink">
            <a:rPr lang="en-US" sz="1400" b="1">
              <a:solidFill>
                <a:schemeClr val="tx1">
                  <a:lumMod val="65000"/>
                  <a:lumOff val="35000"/>
                </a:schemeClr>
              </a:solidFill>
              <a:latin typeface="Calibri Light" panose="020F0302020204030204" pitchFamily="34" charset="0"/>
              <a:ea typeface="+mn-ea"/>
              <a:cs typeface="Calibri Light" panose="020F0302020204030204" pitchFamily="34" charset="0"/>
            </a:rPr>
            <a:pPr marL="0" indent="0" algn="ctr"/>
            <a:t>Immediate environment</a:t>
          </a:fld>
          <a:endParaRPr lang="de-CH" sz="1400" b="1">
            <a:solidFill>
              <a:schemeClr val="tx1">
                <a:lumMod val="65000"/>
                <a:lumOff val="35000"/>
              </a:schemeClr>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2</xdr:col>
      <xdr:colOff>1664374</xdr:colOff>
      <xdr:row>58</xdr:row>
      <xdr:rowOff>226046</xdr:rowOff>
    </xdr:from>
    <xdr:to>
      <xdr:col>4</xdr:col>
      <xdr:colOff>686641</xdr:colOff>
      <xdr:row>63</xdr:row>
      <xdr:rowOff>213636</xdr:rowOff>
    </xdr:to>
    <xdr:cxnSp macro="">
      <xdr:nvCxnSpPr>
        <xdr:cNvPr id="25" name="Gekrümmte Verbindung 24">
          <a:extLst>
            <a:ext uri="{FF2B5EF4-FFF2-40B4-BE49-F238E27FC236}">
              <a16:creationId xmlns:a16="http://schemas.microsoft.com/office/drawing/2014/main" id="{00000000-0008-0000-0B00-000019000000}"/>
            </a:ext>
          </a:extLst>
        </xdr:cNvPr>
        <xdr:cNvCxnSpPr>
          <a:stCxn id="69" idx="0"/>
          <a:endCxn id="37" idx="2"/>
        </xdr:cNvCxnSpPr>
      </xdr:nvCxnSpPr>
      <xdr:spPr>
        <a:xfrm rot="16200000" flipV="1">
          <a:off x="2562838" y="16339232"/>
          <a:ext cx="1416340" cy="1670217"/>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738181</xdr:colOff>
      <xdr:row>65</xdr:row>
      <xdr:rowOff>162869</xdr:rowOff>
    </xdr:from>
    <xdr:to>
      <xdr:col>5</xdr:col>
      <xdr:colOff>111703</xdr:colOff>
      <xdr:row>71</xdr:row>
      <xdr:rowOff>172818</xdr:rowOff>
    </xdr:to>
    <xdr:cxnSp macro="">
      <xdr:nvCxnSpPr>
        <xdr:cNvPr id="26" name="Gekrümmte Verbindung 25">
          <a:extLst>
            <a:ext uri="{FF2B5EF4-FFF2-40B4-BE49-F238E27FC236}">
              <a16:creationId xmlns:a16="http://schemas.microsoft.com/office/drawing/2014/main" id="{00000000-0008-0000-0B00-00001A000000}"/>
            </a:ext>
          </a:extLst>
        </xdr:cNvPr>
        <xdr:cNvCxnSpPr>
          <a:stCxn id="69" idx="5"/>
          <a:endCxn id="40" idx="0"/>
        </xdr:cNvCxnSpPr>
      </xdr:nvCxnSpPr>
      <xdr:spPr>
        <a:xfrm rot="5400000">
          <a:off x="3377480" y="19183420"/>
          <a:ext cx="1724449" cy="164097"/>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1139153</xdr:colOff>
      <xdr:row>64</xdr:row>
      <xdr:rowOff>233886</xdr:rowOff>
    </xdr:from>
    <xdr:to>
      <xdr:col>4</xdr:col>
      <xdr:colOff>380642</xdr:colOff>
      <xdr:row>65</xdr:row>
      <xdr:rowOff>271199</xdr:rowOff>
    </xdr:to>
    <xdr:cxnSp macro="">
      <xdr:nvCxnSpPr>
        <xdr:cNvPr id="27" name="Gekrümmte Verbindung 26">
          <a:extLst>
            <a:ext uri="{FF2B5EF4-FFF2-40B4-BE49-F238E27FC236}">
              <a16:creationId xmlns:a16="http://schemas.microsoft.com/office/drawing/2014/main" id="{00000000-0008-0000-0B00-00001B000000}"/>
            </a:ext>
          </a:extLst>
        </xdr:cNvPr>
        <xdr:cNvCxnSpPr>
          <a:stCxn id="69" idx="2"/>
          <a:endCxn id="42" idx="3"/>
        </xdr:cNvCxnSpPr>
      </xdr:nvCxnSpPr>
      <xdr:spPr>
        <a:xfrm rot="10800000" flipV="1">
          <a:off x="1910678" y="18188511"/>
          <a:ext cx="1889439" cy="323063"/>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1494787</xdr:colOff>
      <xdr:row>62</xdr:row>
      <xdr:rowOff>290248</xdr:rowOff>
    </xdr:from>
    <xdr:to>
      <xdr:col>4</xdr:col>
      <xdr:colOff>689163</xdr:colOff>
      <xdr:row>63</xdr:row>
      <xdr:rowOff>213636</xdr:rowOff>
    </xdr:to>
    <xdr:cxnSp macro="">
      <xdr:nvCxnSpPr>
        <xdr:cNvPr id="28" name="Gekrümmte Verbindung 27">
          <a:extLst>
            <a:ext uri="{FF2B5EF4-FFF2-40B4-BE49-F238E27FC236}">
              <a16:creationId xmlns:a16="http://schemas.microsoft.com/office/drawing/2014/main" id="{00000000-0008-0000-0B00-00001C000000}"/>
            </a:ext>
          </a:extLst>
        </xdr:cNvPr>
        <xdr:cNvCxnSpPr>
          <a:stCxn id="43" idx="3"/>
          <a:endCxn id="69" idx="0"/>
        </xdr:cNvCxnSpPr>
      </xdr:nvCxnSpPr>
      <xdr:spPr>
        <a:xfrm>
          <a:off x="2266312" y="17673373"/>
          <a:ext cx="1842326" cy="209138"/>
        </a:xfrm>
        <a:prstGeom prst="curvedConnector2">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5</xdr:col>
      <xdr:colOff>202066</xdr:colOff>
      <xdr:row>64</xdr:row>
      <xdr:rowOff>233886</xdr:rowOff>
    </xdr:from>
    <xdr:to>
      <xdr:col>5</xdr:col>
      <xdr:colOff>2027296</xdr:colOff>
      <xdr:row>64</xdr:row>
      <xdr:rowOff>266437</xdr:rowOff>
    </xdr:to>
    <xdr:cxnSp macro="">
      <xdr:nvCxnSpPr>
        <xdr:cNvPr id="29" name="Gekrümmte Verbindung 28">
          <a:extLst>
            <a:ext uri="{FF2B5EF4-FFF2-40B4-BE49-F238E27FC236}">
              <a16:creationId xmlns:a16="http://schemas.microsoft.com/office/drawing/2014/main" id="{00000000-0008-0000-0B00-00001D000000}"/>
            </a:ext>
          </a:extLst>
        </xdr:cNvPr>
        <xdr:cNvCxnSpPr>
          <a:stCxn id="69" idx="6"/>
          <a:endCxn id="45" idx="1"/>
        </xdr:cNvCxnSpPr>
      </xdr:nvCxnSpPr>
      <xdr:spPr>
        <a:xfrm>
          <a:off x="4412116" y="18188511"/>
          <a:ext cx="1825230" cy="32551"/>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536082</xdr:colOff>
      <xdr:row>65</xdr:row>
      <xdr:rowOff>254137</xdr:rowOff>
    </xdr:from>
    <xdr:to>
      <xdr:col>4</xdr:col>
      <xdr:colOff>689163</xdr:colOff>
      <xdr:row>73</xdr:row>
      <xdr:rowOff>239748</xdr:rowOff>
    </xdr:to>
    <xdr:cxnSp macro="">
      <xdr:nvCxnSpPr>
        <xdr:cNvPr id="30" name="Gekrümmte Verbindung 29">
          <a:extLst>
            <a:ext uri="{FF2B5EF4-FFF2-40B4-BE49-F238E27FC236}">
              <a16:creationId xmlns:a16="http://schemas.microsoft.com/office/drawing/2014/main" id="{00000000-0008-0000-0B00-00001E000000}"/>
            </a:ext>
          </a:extLst>
        </xdr:cNvPr>
        <xdr:cNvCxnSpPr>
          <a:stCxn id="69" idx="4"/>
          <a:endCxn id="51" idx="0"/>
        </xdr:cNvCxnSpPr>
      </xdr:nvCxnSpPr>
      <xdr:spPr>
        <a:xfrm rot="5400000">
          <a:off x="2539104" y="19196590"/>
          <a:ext cx="2271611" cy="867456"/>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5</xdr:col>
      <xdr:colOff>111703</xdr:colOff>
      <xdr:row>65</xdr:row>
      <xdr:rowOff>162869</xdr:rowOff>
    </xdr:from>
    <xdr:to>
      <xdr:col>5</xdr:col>
      <xdr:colOff>1245505</xdr:colOff>
      <xdr:row>70</xdr:row>
      <xdr:rowOff>58771</xdr:rowOff>
    </xdr:to>
    <xdr:cxnSp macro="">
      <xdr:nvCxnSpPr>
        <xdr:cNvPr id="31" name="Gekrümmte Verbindung 30">
          <a:extLst>
            <a:ext uri="{FF2B5EF4-FFF2-40B4-BE49-F238E27FC236}">
              <a16:creationId xmlns:a16="http://schemas.microsoft.com/office/drawing/2014/main" id="{00000000-0008-0000-0B00-00001F000000}"/>
            </a:ext>
          </a:extLst>
        </xdr:cNvPr>
        <xdr:cNvCxnSpPr>
          <a:stCxn id="69" idx="5"/>
          <a:endCxn id="50" idx="0"/>
        </xdr:cNvCxnSpPr>
      </xdr:nvCxnSpPr>
      <xdr:spPr>
        <a:xfrm rot="16200000" flipH="1">
          <a:off x="4226328" y="18498669"/>
          <a:ext cx="1324652" cy="1133802"/>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206327</xdr:colOff>
      <xdr:row>63</xdr:row>
      <xdr:rowOff>259828</xdr:rowOff>
    </xdr:from>
    <xdr:to>
      <xdr:col>4</xdr:col>
      <xdr:colOff>380641</xdr:colOff>
      <xdr:row>64</xdr:row>
      <xdr:rowOff>233886</xdr:rowOff>
    </xdr:to>
    <xdr:cxnSp macro="">
      <xdr:nvCxnSpPr>
        <xdr:cNvPr id="32" name="Gekrümmte Verbindung 31">
          <a:extLst>
            <a:ext uri="{FF2B5EF4-FFF2-40B4-BE49-F238E27FC236}">
              <a16:creationId xmlns:a16="http://schemas.microsoft.com/office/drawing/2014/main" id="{00000000-0008-0000-0B00-000020000000}"/>
            </a:ext>
          </a:extLst>
        </xdr:cNvPr>
        <xdr:cNvCxnSpPr>
          <a:stCxn id="46" idx="3"/>
          <a:endCxn id="69" idx="2"/>
        </xdr:cNvCxnSpPr>
      </xdr:nvCxnSpPr>
      <xdr:spPr>
        <a:xfrm>
          <a:off x="3625802" y="17928703"/>
          <a:ext cx="174314" cy="259808"/>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686641</xdr:colOff>
      <xdr:row>65</xdr:row>
      <xdr:rowOff>254135</xdr:rowOff>
    </xdr:from>
    <xdr:to>
      <xdr:col>6</xdr:col>
      <xdr:colOff>223341</xdr:colOff>
      <xdr:row>67</xdr:row>
      <xdr:rowOff>38302</xdr:rowOff>
    </xdr:to>
    <xdr:cxnSp macro="">
      <xdr:nvCxnSpPr>
        <xdr:cNvPr id="33" name="Gekrümmte Verbindung 32">
          <a:extLst>
            <a:ext uri="{FF2B5EF4-FFF2-40B4-BE49-F238E27FC236}">
              <a16:creationId xmlns:a16="http://schemas.microsoft.com/office/drawing/2014/main" id="{00000000-0008-0000-0B00-000021000000}"/>
            </a:ext>
          </a:extLst>
        </xdr:cNvPr>
        <xdr:cNvCxnSpPr>
          <a:stCxn id="69" idx="4"/>
          <a:endCxn id="44" idx="0"/>
        </xdr:cNvCxnSpPr>
      </xdr:nvCxnSpPr>
      <xdr:spPr>
        <a:xfrm rot="16200000" flipH="1">
          <a:off x="5149195" y="17451431"/>
          <a:ext cx="355667" cy="2441825"/>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681970</xdr:colOff>
      <xdr:row>64</xdr:row>
      <xdr:rowOff>233886</xdr:rowOff>
    </xdr:from>
    <xdr:to>
      <xdr:col>4</xdr:col>
      <xdr:colOff>380642</xdr:colOff>
      <xdr:row>66</xdr:row>
      <xdr:rowOff>61515</xdr:rowOff>
    </xdr:to>
    <xdr:cxnSp macro="">
      <xdr:nvCxnSpPr>
        <xdr:cNvPr id="34" name="Gekrümmte Verbindung 33">
          <a:extLst>
            <a:ext uri="{FF2B5EF4-FFF2-40B4-BE49-F238E27FC236}">
              <a16:creationId xmlns:a16="http://schemas.microsoft.com/office/drawing/2014/main" id="{00000000-0008-0000-0B00-000022000000}"/>
            </a:ext>
          </a:extLst>
        </xdr:cNvPr>
        <xdr:cNvCxnSpPr>
          <a:stCxn id="38" idx="0"/>
          <a:endCxn id="69" idx="2"/>
        </xdr:cNvCxnSpPr>
      </xdr:nvCxnSpPr>
      <xdr:spPr>
        <a:xfrm rot="5400000" flipH="1" flipV="1">
          <a:off x="3394029" y="18181552"/>
          <a:ext cx="399129" cy="413047"/>
        </a:xfrm>
        <a:prstGeom prst="curvedConnector2">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3</xdr:col>
      <xdr:colOff>39477</xdr:colOff>
      <xdr:row>65</xdr:row>
      <xdr:rowOff>254136</xdr:rowOff>
    </xdr:from>
    <xdr:to>
      <xdr:col>4</xdr:col>
      <xdr:colOff>689163</xdr:colOff>
      <xdr:row>71</xdr:row>
      <xdr:rowOff>168270</xdr:rowOff>
    </xdr:to>
    <xdr:cxnSp macro="">
      <xdr:nvCxnSpPr>
        <xdr:cNvPr id="35" name="Gekrümmte Verbindung 34">
          <a:extLst>
            <a:ext uri="{FF2B5EF4-FFF2-40B4-BE49-F238E27FC236}">
              <a16:creationId xmlns:a16="http://schemas.microsoft.com/office/drawing/2014/main" id="{00000000-0008-0000-0B00-000023000000}"/>
            </a:ext>
          </a:extLst>
        </xdr:cNvPr>
        <xdr:cNvCxnSpPr>
          <a:stCxn id="69" idx="4"/>
          <a:endCxn id="49" idx="3"/>
        </xdr:cNvCxnSpPr>
      </xdr:nvCxnSpPr>
      <xdr:spPr>
        <a:xfrm rot="5400000">
          <a:off x="2612291" y="18626797"/>
          <a:ext cx="1628634" cy="1364061"/>
        </a:xfrm>
        <a:prstGeom prst="curvedConnector2">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567734</xdr:colOff>
      <xdr:row>68</xdr:row>
      <xdr:rowOff>85419</xdr:rowOff>
    </xdr:from>
    <xdr:to>
      <xdr:col>2</xdr:col>
      <xdr:colOff>1611734</xdr:colOff>
      <xdr:row>69</xdr:row>
      <xdr:rowOff>123669</xdr:rowOff>
    </xdr:to>
    <xdr:sp macro="" textlink="Stakeholder!C11">
      <xdr:nvSpPr>
        <xdr:cNvPr id="36" name="Textfeld 35" title="Key Partnership">
          <a:extLst>
            <a:ext uri="{FF2B5EF4-FFF2-40B4-BE49-F238E27FC236}">
              <a16:creationId xmlns:a16="http://schemas.microsoft.com/office/drawing/2014/main" id="{00000000-0008-0000-0B00-000024000000}"/>
            </a:ext>
          </a:extLst>
        </xdr:cNvPr>
        <xdr:cNvSpPr txBox="1"/>
      </xdr:nvSpPr>
      <xdr:spPr>
        <a:xfrm>
          <a:off x="1339259" y="19183044"/>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833C5CBB-692C-4F7F-B386-94B1DB6D1375}"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1142374</xdr:colOff>
      <xdr:row>57</xdr:row>
      <xdr:rowOff>187796</xdr:rowOff>
    </xdr:from>
    <xdr:to>
      <xdr:col>3</xdr:col>
      <xdr:colOff>252799</xdr:colOff>
      <xdr:row>58</xdr:row>
      <xdr:rowOff>226046</xdr:rowOff>
    </xdr:to>
    <xdr:sp macro="" textlink="Stakeholder!C13">
      <xdr:nvSpPr>
        <xdr:cNvPr id="37" name="Textfeld 36" title="Key Partnership">
          <a:extLst>
            <a:ext uri="{FF2B5EF4-FFF2-40B4-BE49-F238E27FC236}">
              <a16:creationId xmlns:a16="http://schemas.microsoft.com/office/drawing/2014/main" id="{00000000-0008-0000-0B00-000025000000}"/>
            </a:ext>
          </a:extLst>
        </xdr:cNvPr>
        <xdr:cNvSpPr txBox="1"/>
      </xdr:nvSpPr>
      <xdr:spPr>
        <a:xfrm>
          <a:off x="1913899" y="16142171"/>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marL="0" indent="0" algn="ctr"/>
          <a:fld id="{5BD28CF4-5D5E-4F07-95A5-6E1B379B6BA7}"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 </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3</xdr:col>
      <xdr:colOff>158568</xdr:colOff>
      <xdr:row>66</xdr:row>
      <xdr:rowOff>61515</xdr:rowOff>
    </xdr:from>
    <xdr:to>
      <xdr:col>4</xdr:col>
      <xdr:colOff>488193</xdr:colOff>
      <xdr:row>67</xdr:row>
      <xdr:rowOff>99765</xdr:rowOff>
    </xdr:to>
    <xdr:sp macro="" textlink="Stakeholder!C9">
      <xdr:nvSpPr>
        <xdr:cNvPr id="38" name="Textfeld 37" title="Key Partnership">
          <a:extLst>
            <a:ext uri="{FF2B5EF4-FFF2-40B4-BE49-F238E27FC236}">
              <a16:creationId xmlns:a16="http://schemas.microsoft.com/office/drawing/2014/main" id="{00000000-0008-0000-0B00-000026000000}"/>
            </a:ext>
          </a:extLst>
        </xdr:cNvPr>
        <xdr:cNvSpPr txBox="1"/>
      </xdr:nvSpPr>
      <xdr:spPr>
        <a:xfrm>
          <a:off x="2863668" y="18587640"/>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marL="0" indent="0" algn="ctr"/>
          <a:fld id="{6683D3F3-A34B-4644-A6BB-4565BAFD59E2}"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Groupe 4</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5</xdr:col>
      <xdr:colOff>427121</xdr:colOff>
      <xdr:row>65</xdr:row>
      <xdr:rowOff>137726</xdr:rowOff>
    </xdr:from>
    <xdr:to>
      <xdr:col>5</xdr:col>
      <xdr:colOff>1471121</xdr:colOff>
      <xdr:row>66</xdr:row>
      <xdr:rowOff>175976</xdr:rowOff>
    </xdr:to>
    <xdr:sp macro="" textlink="Stakeholder!C7">
      <xdr:nvSpPr>
        <xdr:cNvPr id="39" name="Textfeld 38" title="Key Partnership">
          <a:extLst>
            <a:ext uri="{FF2B5EF4-FFF2-40B4-BE49-F238E27FC236}">
              <a16:creationId xmlns:a16="http://schemas.microsoft.com/office/drawing/2014/main" id="{00000000-0008-0000-0B00-000027000000}"/>
            </a:ext>
          </a:extLst>
        </xdr:cNvPr>
        <xdr:cNvSpPr txBox="1"/>
      </xdr:nvSpPr>
      <xdr:spPr>
        <a:xfrm>
          <a:off x="4637171" y="18378101"/>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F2BFDDC6-A3BF-4C7A-91C6-289BDD7515F9}" type="TxLink">
            <a:rPr lang="de-CH" sz="1000" b="0">
              <a:latin typeface="Calibri Light" panose="020F0302020204030204" pitchFamily="34" charset="0"/>
              <a:cs typeface="Calibri Light" panose="020F0302020204030204" pitchFamily="34" charset="0"/>
            </a:rPr>
            <a:pPr algn="ctr"/>
            <a:t>Groupe 2</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213658</xdr:colOff>
      <xdr:row>71</xdr:row>
      <xdr:rowOff>172819</xdr:rowOff>
    </xdr:from>
    <xdr:to>
      <xdr:col>5</xdr:col>
      <xdr:colOff>467083</xdr:colOff>
      <xdr:row>72</xdr:row>
      <xdr:rowOff>211069</xdr:rowOff>
    </xdr:to>
    <xdr:sp macro="" textlink="Stakeholder!C12">
      <xdr:nvSpPr>
        <xdr:cNvPr id="40" name="Textfeld 39" title="Key Partnership">
          <a:extLst>
            <a:ext uri="{FF2B5EF4-FFF2-40B4-BE49-F238E27FC236}">
              <a16:creationId xmlns:a16="http://schemas.microsoft.com/office/drawing/2014/main" id="{00000000-0008-0000-0B00-000028000000}"/>
            </a:ext>
          </a:extLst>
        </xdr:cNvPr>
        <xdr:cNvSpPr txBox="1"/>
      </xdr:nvSpPr>
      <xdr:spPr>
        <a:xfrm>
          <a:off x="3633133" y="20127694"/>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33BAA30D-A76E-4640-8093-B08DE47DDF8E}"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960653</xdr:colOff>
      <xdr:row>58</xdr:row>
      <xdr:rowOff>249272</xdr:rowOff>
    </xdr:from>
    <xdr:to>
      <xdr:col>5</xdr:col>
      <xdr:colOff>2004653</xdr:colOff>
      <xdr:row>60</xdr:row>
      <xdr:rowOff>1772</xdr:rowOff>
    </xdr:to>
    <xdr:sp macro="" textlink="Stakeholder!C14">
      <xdr:nvSpPr>
        <xdr:cNvPr id="41" name="Textfeld 12" title="Key Partnership">
          <a:extLst>
            <a:ext uri="{FF2B5EF4-FFF2-40B4-BE49-F238E27FC236}">
              <a16:creationId xmlns:a16="http://schemas.microsoft.com/office/drawing/2014/main" id="{00000000-0008-0000-0B00-000029000000}"/>
            </a:ext>
          </a:extLst>
        </xdr:cNvPr>
        <xdr:cNvSpPr txBox="1"/>
      </xdr:nvSpPr>
      <xdr:spPr>
        <a:xfrm>
          <a:off x="5170703" y="16489397"/>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marL="0" indent="0" algn="ctr"/>
          <a:fld id="{9D82F6AA-BCDA-4B9A-B5EB-25874236D5B2}"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 </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2</xdr:col>
      <xdr:colOff>95152</xdr:colOff>
      <xdr:row>65</xdr:row>
      <xdr:rowOff>106397</xdr:rowOff>
    </xdr:from>
    <xdr:to>
      <xdr:col>2</xdr:col>
      <xdr:colOff>1139152</xdr:colOff>
      <xdr:row>66</xdr:row>
      <xdr:rowOff>144647</xdr:rowOff>
    </xdr:to>
    <xdr:sp macro="" textlink="Stakeholder!C15">
      <xdr:nvSpPr>
        <xdr:cNvPr id="42" name="Textfeld 12" title="Key Partnership">
          <a:extLst>
            <a:ext uri="{FF2B5EF4-FFF2-40B4-BE49-F238E27FC236}">
              <a16:creationId xmlns:a16="http://schemas.microsoft.com/office/drawing/2014/main" id="{00000000-0008-0000-0B00-00002A000000}"/>
            </a:ext>
          </a:extLst>
        </xdr:cNvPr>
        <xdr:cNvSpPr txBox="1"/>
      </xdr:nvSpPr>
      <xdr:spPr>
        <a:xfrm>
          <a:off x="866677" y="18346772"/>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72F0E155-02B0-4D0E-B780-B78F4BD1F70F}"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450787</xdr:colOff>
      <xdr:row>62</xdr:row>
      <xdr:rowOff>125447</xdr:rowOff>
    </xdr:from>
    <xdr:to>
      <xdr:col>2</xdr:col>
      <xdr:colOff>1494787</xdr:colOff>
      <xdr:row>63</xdr:row>
      <xdr:rowOff>163696</xdr:rowOff>
    </xdr:to>
    <xdr:sp macro="" textlink="Stakeholder!C16">
      <xdr:nvSpPr>
        <xdr:cNvPr id="43" name="Textfeld 12" title="Key Partnership">
          <a:extLst>
            <a:ext uri="{FF2B5EF4-FFF2-40B4-BE49-F238E27FC236}">
              <a16:creationId xmlns:a16="http://schemas.microsoft.com/office/drawing/2014/main" id="{00000000-0008-0000-0B00-00002B000000}"/>
            </a:ext>
          </a:extLst>
        </xdr:cNvPr>
        <xdr:cNvSpPr txBox="1"/>
      </xdr:nvSpPr>
      <xdr:spPr>
        <a:xfrm>
          <a:off x="1222312" y="17508572"/>
          <a:ext cx="1044000" cy="323999"/>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40D8EA8E-6A96-469D-BEFE-83C6B20855F4}"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1815891</xdr:colOff>
      <xdr:row>67</xdr:row>
      <xdr:rowOff>38303</xdr:rowOff>
    </xdr:from>
    <xdr:to>
      <xdr:col>7</xdr:col>
      <xdr:colOff>2391</xdr:colOff>
      <xdr:row>68</xdr:row>
      <xdr:rowOff>76553</xdr:rowOff>
    </xdr:to>
    <xdr:sp macro="" textlink="Stakeholder!C24">
      <xdr:nvSpPr>
        <xdr:cNvPr id="44" name="Textfeld 12" title="Key Partnership">
          <a:extLst>
            <a:ext uri="{FF2B5EF4-FFF2-40B4-BE49-F238E27FC236}">
              <a16:creationId xmlns:a16="http://schemas.microsoft.com/office/drawing/2014/main" id="{00000000-0008-0000-0B00-00002C000000}"/>
            </a:ext>
          </a:extLst>
        </xdr:cNvPr>
        <xdr:cNvSpPr txBox="1"/>
      </xdr:nvSpPr>
      <xdr:spPr>
        <a:xfrm>
          <a:off x="6025941" y="18850178"/>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B3D49803-3A87-4E1F-9F4E-677BE8081FA3}"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2027296</xdr:colOff>
      <xdr:row>64</xdr:row>
      <xdr:rowOff>101635</xdr:rowOff>
    </xdr:from>
    <xdr:to>
      <xdr:col>7</xdr:col>
      <xdr:colOff>213796</xdr:colOff>
      <xdr:row>65</xdr:row>
      <xdr:rowOff>139885</xdr:rowOff>
    </xdr:to>
    <xdr:sp macro="" textlink="Stakeholder!C18">
      <xdr:nvSpPr>
        <xdr:cNvPr id="45" name="Textfeld 12" title="Key Partnership">
          <a:extLst>
            <a:ext uri="{FF2B5EF4-FFF2-40B4-BE49-F238E27FC236}">
              <a16:creationId xmlns:a16="http://schemas.microsoft.com/office/drawing/2014/main" id="{00000000-0008-0000-0B00-00002D000000}"/>
            </a:ext>
          </a:extLst>
        </xdr:cNvPr>
        <xdr:cNvSpPr txBox="1"/>
      </xdr:nvSpPr>
      <xdr:spPr>
        <a:xfrm>
          <a:off x="6237346" y="18056260"/>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0BFDFA1A-DB89-4CEC-B379-F5CB265670D2}"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1810277</xdr:colOff>
      <xdr:row>63</xdr:row>
      <xdr:rowOff>95026</xdr:rowOff>
    </xdr:from>
    <xdr:to>
      <xdr:col>4</xdr:col>
      <xdr:colOff>206327</xdr:colOff>
      <xdr:row>64</xdr:row>
      <xdr:rowOff>133276</xdr:rowOff>
    </xdr:to>
    <xdr:sp macro="" textlink="Stakeholder!C19">
      <xdr:nvSpPr>
        <xdr:cNvPr id="46" name="Textfeld 12" title="Key Partnership">
          <a:extLst>
            <a:ext uri="{FF2B5EF4-FFF2-40B4-BE49-F238E27FC236}">
              <a16:creationId xmlns:a16="http://schemas.microsoft.com/office/drawing/2014/main" id="{00000000-0008-0000-0B00-00002E000000}"/>
            </a:ext>
          </a:extLst>
        </xdr:cNvPr>
        <xdr:cNvSpPr txBox="1"/>
      </xdr:nvSpPr>
      <xdr:spPr>
        <a:xfrm>
          <a:off x="2581802" y="17763901"/>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B9066B0E-44F8-41AE-B354-02AA01C2BC63}"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315856</xdr:colOff>
      <xdr:row>55</xdr:row>
      <xdr:rowOff>161702</xdr:rowOff>
    </xdr:from>
    <xdr:to>
      <xdr:col>5</xdr:col>
      <xdr:colOff>569281</xdr:colOff>
      <xdr:row>56</xdr:row>
      <xdr:rowOff>199952</xdr:rowOff>
    </xdr:to>
    <xdr:sp macro="" textlink="Stakeholder!C17">
      <xdr:nvSpPr>
        <xdr:cNvPr id="47" name="Textfeld 12" title="Key Partnership">
          <a:extLst>
            <a:ext uri="{FF2B5EF4-FFF2-40B4-BE49-F238E27FC236}">
              <a16:creationId xmlns:a16="http://schemas.microsoft.com/office/drawing/2014/main" id="{00000000-0008-0000-0B00-00002F000000}"/>
            </a:ext>
          </a:extLst>
        </xdr:cNvPr>
        <xdr:cNvSpPr txBox="1"/>
      </xdr:nvSpPr>
      <xdr:spPr>
        <a:xfrm>
          <a:off x="3735331" y="15544577"/>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EE6FC7C8-803B-4017-92EF-882DB8D1A1FD}"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1498506</xdr:colOff>
      <xdr:row>61</xdr:row>
      <xdr:rowOff>134972</xdr:rowOff>
    </xdr:from>
    <xdr:to>
      <xdr:col>6</xdr:col>
      <xdr:colOff>427956</xdr:colOff>
      <xdr:row>62</xdr:row>
      <xdr:rowOff>173223</xdr:rowOff>
    </xdr:to>
    <xdr:sp macro="" textlink="Stakeholder!C21">
      <xdr:nvSpPr>
        <xdr:cNvPr id="48" name="Textfeld 12" title="Key Partnership">
          <a:extLst>
            <a:ext uri="{FF2B5EF4-FFF2-40B4-BE49-F238E27FC236}">
              <a16:creationId xmlns:a16="http://schemas.microsoft.com/office/drawing/2014/main" id="{00000000-0008-0000-0B00-000030000000}"/>
            </a:ext>
          </a:extLst>
        </xdr:cNvPr>
        <xdr:cNvSpPr txBox="1"/>
      </xdr:nvSpPr>
      <xdr:spPr>
        <a:xfrm>
          <a:off x="5708556" y="17232347"/>
          <a:ext cx="1044000" cy="324001"/>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3495F17B-6384-42A5-A2CA-0D5BABFB106A}"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929052</xdr:colOff>
      <xdr:row>71</xdr:row>
      <xdr:rowOff>3468</xdr:rowOff>
    </xdr:from>
    <xdr:to>
      <xdr:col>3</xdr:col>
      <xdr:colOff>39477</xdr:colOff>
      <xdr:row>72</xdr:row>
      <xdr:rowOff>41718</xdr:rowOff>
    </xdr:to>
    <xdr:sp macro="" textlink="Stakeholder!C22">
      <xdr:nvSpPr>
        <xdr:cNvPr id="49" name="Textfeld 12" title="Key Partnership">
          <a:extLst>
            <a:ext uri="{FF2B5EF4-FFF2-40B4-BE49-F238E27FC236}">
              <a16:creationId xmlns:a16="http://schemas.microsoft.com/office/drawing/2014/main" id="{00000000-0008-0000-0B00-000031000000}"/>
            </a:ext>
          </a:extLst>
        </xdr:cNvPr>
        <xdr:cNvSpPr txBox="1"/>
      </xdr:nvSpPr>
      <xdr:spPr>
        <a:xfrm>
          <a:off x="1700577" y="19958343"/>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E9C930E8-E53D-414C-B2D6-76A8F8199BA0}"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723504</xdr:colOff>
      <xdr:row>70</xdr:row>
      <xdr:rowOff>58772</xdr:rowOff>
    </xdr:from>
    <xdr:to>
      <xdr:col>5</xdr:col>
      <xdr:colOff>1767504</xdr:colOff>
      <xdr:row>71</xdr:row>
      <xdr:rowOff>97022</xdr:rowOff>
    </xdr:to>
    <xdr:sp macro="" textlink="Stakeholder!C23">
      <xdr:nvSpPr>
        <xdr:cNvPr id="50" name="Textfeld 12" title="Key Partnership">
          <a:extLst>
            <a:ext uri="{FF2B5EF4-FFF2-40B4-BE49-F238E27FC236}">
              <a16:creationId xmlns:a16="http://schemas.microsoft.com/office/drawing/2014/main" id="{00000000-0008-0000-0B00-000032000000}"/>
            </a:ext>
          </a:extLst>
        </xdr:cNvPr>
        <xdr:cNvSpPr txBox="1"/>
      </xdr:nvSpPr>
      <xdr:spPr>
        <a:xfrm>
          <a:off x="4933554" y="19727897"/>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48B79D0F-8099-4437-BCBD-2532AF56DF02}"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3</xdr:col>
      <xdr:colOff>12681</xdr:colOff>
      <xdr:row>73</xdr:row>
      <xdr:rowOff>239747</xdr:rowOff>
    </xdr:from>
    <xdr:to>
      <xdr:col>4</xdr:col>
      <xdr:colOff>342306</xdr:colOff>
      <xdr:row>74</xdr:row>
      <xdr:rowOff>277997</xdr:rowOff>
    </xdr:to>
    <xdr:sp macro="" textlink="Stakeholder!C20">
      <xdr:nvSpPr>
        <xdr:cNvPr id="51" name="Textfeld 12" title="Key Partnership">
          <a:extLst>
            <a:ext uri="{FF2B5EF4-FFF2-40B4-BE49-F238E27FC236}">
              <a16:creationId xmlns:a16="http://schemas.microsoft.com/office/drawing/2014/main" id="{00000000-0008-0000-0B00-000033000000}"/>
            </a:ext>
          </a:extLst>
        </xdr:cNvPr>
        <xdr:cNvSpPr txBox="1"/>
      </xdr:nvSpPr>
      <xdr:spPr>
        <a:xfrm>
          <a:off x="2717781" y="20766122"/>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711D9D28-4DD8-41E2-82AA-2435CF0D6AF0}"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503451</xdr:colOff>
      <xdr:row>63</xdr:row>
      <xdr:rowOff>82293</xdr:rowOff>
    </xdr:from>
    <xdr:to>
      <xdr:col>5</xdr:col>
      <xdr:colOff>1547451</xdr:colOff>
      <xdr:row>64</xdr:row>
      <xdr:rowOff>120543</xdr:rowOff>
    </xdr:to>
    <xdr:sp macro="" textlink="Stakeholder!C8">
      <xdr:nvSpPr>
        <xdr:cNvPr id="52" name="Textfeld 51" title="Key Partnership">
          <a:extLst>
            <a:ext uri="{FF2B5EF4-FFF2-40B4-BE49-F238E27FC236}">
              <a16:creationId xmlns:a16="http://schemas.microsoft.com/office/drawing/2014/main" id="{00000000-0008-0000-0B00-000034000000}"/>
            </a:ext>
          </a:extLst>
        </xdr:cNvPr>
        <xdr:cNvSpPr txBox="1"/>
      </xdr:nvSpPr>
      <xdr:spPr>
        <a:xfrm>
          <a:off x="4713501" y="17751168"/>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046B5466-6870-423F-880B-146DFD8120AD}" type="TxLink">
            <a:rPr lang="de-CH" sz="1000" b="0">
              <a:latin typeface="Calibri Light" panose="020F0302020204030204" pitchFamily="34" charset="0"/>
              <a:cs typeface="Calibri Light" panose="020F0302020204030204" pitchFamily="34" charset="0"/>
            </a:rPr>
            <a:pPr algn="ctr"/>
            <a:t>Gruppe 3</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523062</xdr:colOff>
      <xdr:row>67</xdr:row>
      <xdr:rowOff>215094</xdr:rowOff>
    </xdr:from>
    <xdr:to>
      <xdr:col>5</xdr:col>
      <xdr:colOff>1567062</xdr:colOff>
      <xdr:row>68</xdr:row>
      <xdr:rowOff>253344</xdr:rowOff>
    </xdr:to>
    <xdr:sp macro="" textlink="Stakeholder!C25">
      <xdr:nvSpPr>
        <xdr:cNvPr id="53" name="Textfeld 12" title="Key Partnership">
          <a:extLst>
            <a:ext uri="{FF2B5EF4-FFF2-40B4-BE49-F238E27FC236}">
              <a16:creationId xmlns:a16="http://schemas.microsoft.com/office/drawing/2014/main" id="{00000000-0008-0000-0B00-000035000000}"/>
            </a:ext>
          </a:extLst>
        </xdr:cNvPr>
        <xdr:cNvSpPr txBox="1"/>
      </xdr:nvSpPr>
      <xdr:spPr>
        <a:xfrm>
          <a:off x="4733112" y="19026969"/>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A223AC68-263A-46AC-BC87-3E21DA48F964}"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53815</xdr:colOff>
      <xdr:row>68</xdr:row>
      <xdr:rowOff>201559</xdr:rowOff>
    </xdr:from>
    <xdr:to>
      <xdr:col>5</xdr:col>
      <xdr:colOff>307240</xdr:colOff>
      <xdr:row>69</xdr:row>
      <xdr:rowOff>239809</xdr:rowOff>
    </xdr:to>
    <xdr:sp macro="" textlink="Stakeholder!C10">
      <xdr:nvSpPr>
        <xdr:cNvPr id="54" name="Textfeld 53" title="Key Partnership">
          <a:extLst>
            <a:ext uri="{FF2B5EF4-FFF2-40B4-BE49-F238E27FC236}">
              <a16:creationId xmlns:a16="http://schemas.microsoft.com/office/drawing/2014/main" id="{00000000-0008-0000-0B00-000036000000}"/>
            </a:ext>
          </a:extLst>
        </xdr:cNvPr>
        <xdr:cNvSpPr txBox="1"/>
      </xdr:nvSpPr>
      <xdr:spPr>
        <a:xfrm>
          <a:off x="3473290" y="19299184"/>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7145FD8A-FFDD-4A9D-BCB1-BC2F629AA30D}"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47282</xdr:colOff>
      <xdr:row>56</xdr:row>
      <xdr:rowOff>199952</xdr:rowOff>
    </xdr:from>
    <xdr:to>
      <xdr:col>5</xdr:col>
      <xdr:colOff>112442</xdr:colOff>
      <xdr:row>64</xdr:row>
      <xdr:rowOff>17511</xdr:rowOff>
    </xdr:to>
    <xdr:cxnSp macro="">
      <xdr:nvCxnSpPr>
        <xdr:cNvPr id="55" name="Gekrümmte Verbindung 54">
          <a:extLst>
            <a:ext uri="{FF2B5EF4-FFF2-40B4-BE49-F238E27FC236}">
              <a16:creationId xmlns:a16="http://schemas.microsoft.com/office/drawing/2014/main" id="{00000000-0008-0000-0B00-000037000000}"/>
            </a:ext>
          </a:extLst>
        </xdr:cNvPr>
        <xdr:cNvCxnSpPr>
          <a:stCxn id="69" idx="7"/>
          <a:endCxn id="47" idx="2"/>
        </xdr:cNvCxnSpPr>
      </xdr:nvCxnSpPr>
      <xdr:spPr>
        <a:xfrm rot="16200000" flipV="1">
          <a:off x="3238132" y="16887777"/>
          <a:ext cx="2103559" cy="65160"/>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106611</xdr:colOff>
      <xdr:row>59</xdr:row>
      <xdr:rowOff>179307</xdr:rowOff>
    </xdr:from>
    <xdr:to>
      <xdr:col>5</xdr:col>
      <xdr:colOff>360036</xdr:colOff>
      <xdr:row>60</xdr:row>
      <xdr:rowOff>217557</xdr:rowOff>
    </xdr:to>
    <xdr:sp macro="" textlink="Stakeholder!C6">
      <xdr:nvSpPr>
        <xdr:cNvPr id="56" name="Textfeld 55" title="Key Partnership">
          <a:extLst>
            <a:ext uri="{FF2B5EF4-FFF2-40B4-BE49-F238E27FC236}">
              <a16:creationId xmlns:a16="http://schemas.microsoft.com/office/drawing/2014/main" id="{00000000-0008-0000-0B00-000038000000}"/>
            </a:ext>
          </a:extLst>
        </xdr:cNvPr>
        <xdr:cNvSpPr txBox="1"/>
      </xdr:nvSpPr>
      <xdr:spPr>
        <a:xfrm>
          <a:off x="3526086" y="16705182"/>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marL="0" indent="0" algn="ctr"/>
          <a:fld id="{AD2C7169-238A-48DA-A35C-701FEC7490D7}"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Team</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oneCellAnchor>
    <xdr:from>
      <xdr:col>3</xdr:col>
      <xdr:colOff>476250</xdr:colOff>
      <xdr:row>54</xdr:row>
      <xdr:rowOff>77881</xdr:rowOff>
    </xdr:from>
    <xdr:ext cx="1860176" cy="311496"/>
    <xdr:sp macro="" textlink="' '!A340">
      <xdr:nvSpPr>
        <xdr:cNvPr id="57" name="Textfeld 56">
          <a:extLst>
            <a:ext uri="{FF2B5EF4-FFF2-40B4-BE49-F238E27FC236}">
              <a16:creationId xmlns:a16="http://schemas.microsoft.com/office/drawing/2014/main" id="{00000000-0008-0000-0B00-000039000000}"/>
            </a:ext>
          </a:extLst>
        </xdr:cNvPr>
        <xdr:cNvSpPr txBox="1"/>
      </xdr:nvSpPr>
      <xdr:spPr>
        <a:xfrm>
          <a:off x="3181350" y="15175006"/>
          <a:ext cx="1860176"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7C8E3E91-ABB7-40BD-818E-427F47980AFB}" type="TxLink">
            <a:rPr lang="en-US" sz="1400" b="1">
              <a:solidFill>
                <a:schemeClr val="tx1">
                  <a:lumMod val="65000"/>
                  <a:lumOff val="35000"/>
                </a:schemeClr>
              </a:solidFill>
              <a:latin typeface="Calibri Light" panose="020F0302020204030204" pitchFamily="34" charset="0"/>
              <a:ea typeface="+mn-ea"/>
              <a:cs typeface="Calibri Light" panose="020F0302020204030204" pitchFamily="34" charset="0"/>
            </a:rPr>
            <a:pPr marL="0" indent="0" algn="ctr"/>
            <a:t>Wider environment</a:t>
          </a:fld>
          <a:endParaRPr lang="de-CH" sz="1400" b="1">
            <a:solidFill>
              <a:schemeClr val="tx1">
                <a:lumMod val="65000"/>
                <a:lumOff val="35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4</xdr:col>
      <xdr:colOff>324959</xdr:colOff>
      <xdr:row>62</xdr:row>
      <xdr:rowOff>9776</xdr:rowOff>
    </xdr:from>
    <xdr:ext cx="728405" cy="311496"/>
    <xdr:sp macro="" textlink="' '!A342">
      <xdr:nvSpPr>
        <xdr:cNvPr id="58" name="Textfeld 57">
          <a:extLst>
            <a:ext uri="{FF2B5EF4-FFF2-40B4-BE49-F238E27FC236}">
              <a16:creationId xmlns:a16="http://schemas.microsoft.com/office/drawing/2014/main" id="{00000000-0008-0000-0B00-00003A000000}"/>
            </a:ext>
          </a:extLst>
        </xdr:cNvPr>
        <xdr:cNvSpPr txBox="1"/>
      </xdr:nvSpPr>
      <xdr:spPr>
        <a:xfrm>
          <a:off x="3744434" y="17392901"/>
          <a:ext cx="72840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FFFD43AD-CF99-4CDE-A1DC-14F9B4D682B4}" type="TxLink">
            <a:rPr lang="en-US" sz="1400" b="1">
              <a:solidFill>
                <a:schemeClr val="tx1">
                  <a:lumMod val="65000"/>
                  <a:lumOff val="35000"/>
                </a:schemeClr>
              </a:solidFill>
              <a:latin typeface="Calibri Light" panose="020F0302020204030204" pitchFamily="34" charset="0"/>
              <a:ea typeface="+mn-ea"/>
              <a:cs typeface="Calibri Light" panose="020F0302020204030204" pitchFamily="34" charset="0"/>
            </a:rPr>
            <a:pPr marL="0" indent="0" algn="ctr"/>
            <a:t>Internal</a:t>
          </a:fld>
          <a:endParaRPr lang="de-CH" sz="1400" b="1">
            <a:solidFill>
              <a:schemeClr val="tx1">
                <a:lumMod val="65000"/>
                <a:lumOff val="35000"/>
              </a:schemeClr>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3</xdr:col>
      <xdr:colOff>678558</xdr:colOff>
      <xdr:row>66</xdr:row>
      <xdr:rowOff>17367</xdr:rowOff>
    </xdr:from>
    <xdr:to>
      <xdr:col>4</xdr:col>
      <xdr:colOff>770040</xdr:colOff>
      <xdr:row>67</xdr:row>
      <xdr:rowOff>105883</xdr:rowOff>
    </xdr:to>
    <xdr:cxnSp macro="">
      <xdr:nvCxnSpPr>
        <xdr:cNvPr id="59" name="Gekrümmte Verbindung 58">
          <a:extLst>
            <a:ext uri="{FF2B5EF4-FFF2-40B4-BE49-F238E27FC236}">
              <a16:creationId xmlns:a16="http://schemas.microsoft.com/office/drawing/2014/main" id="{00000000-0008-0000-0B00-00003B000000}"/>
            </a:ext>
          </a:extLst>
        </xdr:cNvPr>
        <xdr:cNvCxnSpPr/>
      </xdr:nvCxnSpPr>
      <xdr:spPr>
        <a:xfrm rot="5400000">
          <a:off x="3599454" y="18327696"/>
          <a:ext cx="374266" cy="805857"/>
        </a:xfrm>
        <a:prstGeom prst="curvedConnector3">
          <a:avLst>
            <a:gd name="adj1" fmla="val 16108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5</xdr:col>
      <xdr:colOff>9524</xdr:colOff>
      <xdr:row>27</xdr:row>
      <xdr:rowOff>95250</xdr:rowOff>
    </xdr:from>
    <xdr:to>
      <xdr:col>6</xdr:col>
      <xdr:colOff>714375</xdr:colOff>
      <xdr:row>28</xdr:row>
      <xdr:rowOff>214932</xdr:rowOff>
    </xdr:to>
    <xdr:sp macro="" textlink="' '!A366">
      <xdr:nvSpPr>
        <xdr:cNvPr id="60" name="TextBox 124">
          <a:extLst>
            <a:ext uri="{FF2B5EF4-FFF2-40B4-BE49-F238E27FC236}">
              <a16:creationId xmlns:a16="http://schemas.microsoft.com/office/drawing/2014/main" id="{00000000-0008-0000-0B00-00003C000000}"/>
            </a:ext>
          </a:extLst>
        </xdr:cNvPr>
        <xdr:cNvSpPr txBox="1"/>
      </xdr:nvSpPr>
      <xdr:spPr>
        <a:xfrm>
          <a:off x="4219574" y="7753350"/>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0D63F0D1-C9D8-4C15-A93A-16850B6341F4}" type="TxLink">
            <a:rPr lang="en-US" sz="2000">
              <a:solidFill>
                <a:schemeClr val="bg1">
                  <a:lumMod val="65000"/>
                </a:schemeClr>
              </a:solidFill>
              <a:latin typeface="Calibri Light" panose="020F0302020204030204" pitchFamily="34" charset="0"/>
              <a:ea typeface="+mn-ea"/>
              <a:cs typeface="Calibri Light" panose="020F0302020204030204" pitchFamily="34" charset="0"/>
            </a:rPr>
            <a:pPr marL="0" indent="0" algn="ctr"/>
            <a:t>Manage closely</a:t>
          </a:fld>
          <a:endParaRPr lang="fr-CH" sz="2000">
            <a:solidFill>
              <a:schemeClr val="bg1">
                <a:lumMod val="65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4</xdr:col>
      <xdr:colOff>573805</xdr:colOff>
      <xdr:row>66</xdr:row>
      <xdr:rowOff>17367</xdr:rowOff>
    </xdr:from>
    <xdr:to>
      <xdr:col>4</xdr:col>
      <xdr:colOff>770040</xdr:colOff>
      <xdr:row>68</xdr:row>
      <xdr:rowOff>207677</xdr:rowOff>
    </xdr:to>
    <xdr:cxnSp macro="">
      <xdr:nvCxnSpPr>
        <xdr:cNvPr id="61" name="Gekrümmte Verbindung 60">
          <a:extLst>
            <a:ext uri="{FF2B5EF4-FFF2-40B4-BE49-F238E27FC236}">
              <a16:creationId xmlns:a16="http://schemas.microsoft.com/office/drawing/2014/main" id="{00000000-0008-0000-0B00-00003D000000}"/>
            </a:ext>
          </a:extLst>
        </xdr:cNvPr>
        <xdr:cNvCxnSpPr/>
      </xdr:nvCxnSpPr>
      <xdr:spPr>
        <a:xfrm rot="5400000">
          <a:off x="3710493" y="18826279"/>
          <a:ext cx="761810" cy="196235"/>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1609725</xdr:colOff>
      <xdr:row>65</xdr:row>
      <xdr:rowOff>213491</xdr:rowOff>
    </xdr:from>
    <xdr:to>
      <xdr:col>4</xdr:col>
      <xdr:colOff>553666</xdr:colOff>
      <xdr:row>68</xdr:row>
      <xdr:rowOff>253536</xdr:rowOff>
    </xdr:to>
    <xdr:cxnSp macro="">
      <xdr:nvCxnSpPr>
        <xdr:cNvPr id="62" name="Gekrümmte Verbindung 61">
          <a:extLst>
            <a:ext uri="{FF2B5EF4-FFF2-40B4-BE49-F238E27FC236}">
              <a16:creationId xmlns:a16="http://schemas.microsoft.com/office/drawing/2014/main" id="{00000000-0008-0000-0B00-00003E000000}"/>
            </a:ext>
          </a:extLst>
        </xdr:cNvPr>
        <xdr:cNvCxnSpPr/>
      </xdr:nvCxnSpPr>
      <xdr:spPr>
        <a:xfrm rot="5400000">
          <a:off x="2728548" y="18106568"/>
          <a:ext cx="897295" cy="1591891"/>
        </a:xfrm>
        <a:prstGeom prst="curvedConnector2">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689164</xdr:colOff>
      <xdr:row>60</xdr:row>
      <xdr:rowOff>1772</xdr:rowOff>
    </xdr:from>
    <xdr:to>
      <xdr:col>5</xdr:col>
      <xdr:colOff>1482654</xdr:colOff>
      <xdr:row>63</xdr:row>
      <xdr:rowOff>213636</xdr:rowOff>
    </xdr:to>
    <xdr:cxnSp macro="">
      <xdr:nvCxnSpPr>
        <xdr:cNvPr id="63" name="Gekrümmte Verbindung 62">
          <a:extLst>
            <a:ext uri="{FF2B5EF4-FFF2-40B4-BE49-F238E27FC236}">
              <a16:creationId xmlns:a16="http://schemas.microsoft.com/office/drawing/2014/main" id="{00000000-0008-0000-0B00-00003F000000}"/>
            </a:ext>
          </a:extLst>
        </xdr:cNvPr>
        <xdr:cNvCxnSpPr>
          <a:stCxn id="69" idx="0"/>
          <a:endCxn id="41" idx="2"/>
        </xdr:cNvCxnSpPr>
      </xdr:nvCxnSpPr>
      <xdr:spPr>
        <a:xfrm rot="5400000" flipH="1" flipV="1">
          <a:off x="4366115" y="16555921"/>
          <a:ext cx="1069114" cy="1584065"/>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356847</xdr:colOff>
      <xdr:row>64</xdr:row>
      <xdr:rowOff>49373</xdr:rowOff>
    </xdr:from>
    <xdr:to>
      <xdr:col>5</xdr:col>
      <xdr:colOff>890928</xdr:colOff>
      <xdr:row>65</xdr:row>
      <xdr:rowOff>132650</xdr:rowOff>
    </xdr:to>
    <xdr:cxnSp macro="">
      <xdr:nvCxnSpPr>
        <xdr:cNvPr id="64" name="Gekrümmte Verbindung 63">
          <a:extLst>
            <a:ext uri="{FF2B5EF4-FFF2-40B4-BE49-F238E27FC236}">
              <a16:creationId xmlns:a16="http://schemas.microsoft.com/office/drawing/2014/main" id="{00000000-0008-0000-0B00-000040000000}"/>
            </a:ext>
          </a:extLst>
        </xdr:cNvPr>
        <xdr:cNvCxnSpPr/>
      </xdr:nvCxnSpPr>
      <xdr:spPr>
        <a:xfrm rot="5400000" flipH="1" flipV="1">
          <a:off x="3896949" y="17168996"/>
          <a:ext cx="369027" cy="2039031"/>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770040</xdr:colOff>
      <xdr:row>66</xdr:row>
      <xdr:rowOff>17365</xdr:rowOff>
    </xdr:from>
    <xdr:to>
      <xdr:col>5</xdr:col>
      <xdr:colOff>1043052</xdr:colOff>
      <xdr:row>67</xdr:row>
      <xdr:rowOff>221210</xdr:rowOff>
    </xdr:to>
    <xdr:cxnSp macro="">
      <xdr:nvCxnSpPr>
        <xdr:cNvPr id="65" name="Gekrümmte Verbindung 64">
          <a:extLst>
            <a:ext uri="{FF2B5EF4-FFF2-40B4-BE49-F238E27FC236}">
              <a16:creationId xmlns:a16="http://schemas.microsoft.com/office/drawing/2014/main" id="{00000000-0008-0000-0B00-000041000000}"/>
            </a:ext>
          </a:extLst>
        </xdr:cNvPr>
        <xdr:cNvCxnSpPr/>
      </xdr:nvCxnSpPr>
      <xdr:spPr>
        <a:xfrm rot="16200000" flipH="1">
          <a:off x="4476511" y="18256494"/>
          <a:ext cx="489595" cy="1063587"/>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628612</xdr:colOff>
      <xdr:row>60</xdr:row>
      <xdr:rowOff>217556</xdr:rowOff>
    </xdr:from>
    <xdr:to>
      <xdr:col>4</xdr:col>
      <xdr:colOff>686642</xdr:colOff>
      <xdr:row>63</xdr:row>
      <xdr:rowOff>213635</xdr:rowOff>
    </xdr:to>
    <xdr:cxnSp macro="">
      <xdr:nvCxnSpPr>
        <xdr:cNvPr id="66" name="Gekrümmte Verbindung 65">
          <a:extLst>
            <a:ext uri="{FF2B5EF4-FFF2-40B4-BE49-F238E27FC236}">
              <a16:creationId xmlns:a16="http://schemas.microsoft.com/office/drawing/2014/main" id="{00000000-0008-0000-0B00-000042000000}"/>
            </a:ext>
          </a:extLst>
        </xdr:cNvPr>
        <xdr:cNvCxnSpPr>
          <a:stCxn id="56" idx="2"/>
          <a:endCxn id="69" idx="0"/>
        </xdr:cNvCxnSpPr>
      </xdr:nvCxnSpPr>
      <xdr:spPr>
        <a:xfrm rot="16200000" flipH="1">
          <a:off x="3650437" y="17426831"/>
          <a:ext cx="853329" cy="58030"/>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5</xdr:col>
      <xdr:colOff>195839</xdr:colOff>
      <xdr:row>65</xdr:row>
      <xdr:rowOff>213491</xdr:rowOff>
    </xdr:from>
    <xdr:to>
      <xdr:col>5</xdr:col>
      <xdr:colOff>425110</xdr:colOff>
      <xdr:row>66</xdr:row>
      <xdr:rowOff>20093</xdr:rowOff>
    </xdr:to>
    <xdr:cxnSp macro="">
      <xdr:nvCxnSpPr>
        <xdr:cNvPr id="67" name="Gekrümmte Verbindung 66">
          <a:extLst>
            <a:ext uri="{FF2B5EF4-FFF2-40B4-BE49-F238E27FC236}">
              <a16:creationId xmlns:a16="http://schemas.microsoft.com/office/drawing/2014/main" id="{00000000-0008-0000-0B00-000043000000}"/>
            </a:ext>
          </a:extLst>
        </xdr:cNvPr>
        <xdr:cNvCxnSpPr/>
      </xdr:nvCxnSpPr>
      <xdr:spPr>
        <a:xfrm rot="16200000" flipH="1">
          <a:off x="4474349" y="18385406"/>
          <a:ext cx="92352" cy="229271"/>
        </a:xfrm>
        <a:prstGeom prst="curvedConnector2">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553666</xdr:colOff>
      <xdr:row>65</xdr:row>
      <xdr:rowOff>213490</xdr:rowOff>
    </xdr:from>
    <xdr:to>
      <xdr:col>4</xdr:col>
      <xdr:colOff>573806</xdr:colOff>
      <xdr:row>68</xdr:row>
      <xdr:rowOff>207675</xdr:rowOff>
    </xdr:to>
    <xdr:cxnSp macro="">
      <xdr:nvCxnSpPr>
        <xdr:cNvPr id="68" name="Gekrümmte Verbindung 67">
          <a:extLst>
            <a:ext uri="{FF2B5EF4-FFF2-40B4-BE49-F238E27FC236}">
              <a16:creationId xmlns:a16="http://schemas.microsoft.com/office/drawing/2014/main" id="{00000000-0008-0000-0B00-000044000000}"/>
            </a:ext>
          </a:extLst>
        </xdr:cNvPr>
        <xdr:cNvCxnSpPr/>
      </xdr:nvCxnSpPr>
      <xdr:spPr>
        <a:xfrm rot="16200000" flipH="1">
          <a:off x="3557493" y="18869513"/>
          <a:ext cx="851435" cy="20140"/>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4</xdr:col>
      <xdr:colOff>380641</xdr:colOff>
      <xdr:row>63</xdr:row>
      <xdr:rowOff>213636</xdr:rowOff>
    </xdr:from>
    <xdr:to>
      <xdr:col>5</xdr:col>
      <xdr:colOff>202066</xdr:colOff>
      <xdr:row>65</xdr:row>
      <xdr:rowOff>254136</xdr:rowOff>
    </xdr:to>
    <xdr:sp macro="" textlink="' '!A343">
      <xdr:nvSpPr>
        <xdr:cNvPr id="69" name="Ellipse 68">
          <a:extLst>
            <a:ext uri="{FF2B5EF4-FFF2-40B4-BE49-F238E27FC236}">
              <a16:creationId xmlns:a16="http://schemas.microsoft.com/office/drawing/2014/main" id="{00000000-0008-0000-0B00-000045000000}"/>
            </a:ext>
          </a:extLst>
        </xdr:cNvPr>
        <xdr:cNvSpPr>
          <a:spLocks/>
        </xdr:cNvSpPr>
      </xdr:nvSpPr>
      <xdr:spPr>
        <a:xfrm>
          <a:off x="3800116" y="17882511"/>
          <a:ext cx="612000" cy="612000"/>
        </a:xfrm>
        <a:prstGeom prst="ellipse">
          <a:avLst/>
        </a:prstGeom>
        <a:ln>
          <a:noFill/>
        </a:ln>
        <a:effectLst/>
      </xdr:spPr>
      <xdr:style>
        <a:lnRef idx="1">
          <a:schemeClr val="dk1"/>
        </a:lnRef>
        <a:fillRef idx="2">
          <a:schemeClr val="dk1"/>
        </a:fillRef>
        <a:effectRef idx="1">
          <a:schemeClr val="dk1"/>
        </a:effectRef>
        <a:fontRef idx="minor">
          <a:schemeClr val="dk1"/>
        </a:fontRef>
      </xdr:style>
      <xdr:txBody>
        <a:bodyPr vertOverflow="clip" horzOverflow="clip" lIns="0" tIns="0" rIns="0" bIns="0" rtlCol="0" anchor="ctr" anchorCtr="0">
          <a:noAutofit/>
        </a:bodyPr>
        <a:lstStyle/>
        <a:p>
          <a:pPr algn="ctr"/>
          <a:fld id="{1FD2A07F-7BBA-4911-9F95-9BB6C38B99C8}" type="TxLink">
            <a:rPr lang="en-US" sz="1400" b="1" i="0" u="none" strike="noStrike">
              <a:solidFill>
                <a:srgbClr val="FF0000"/>
              </a:solidFill>
              <a:latin typeface="Calibri Light" panose="020F0302020204030204" pitchFamily="34" charset="0"/>
              <a:cs typeface="Calibri Light" panose="020F0302020204030204" pitchFamily="34" charset="0"/>
            </a:rPr>
            <a:pPr algn="ctr"/>
            <a:t>Us</a:t>
          </a:fld>
          <a:endParaRPr lang="de-CH" sz="1400" b="1">
            <a:solidFill>
              <a:srgbClr val="FF0000"/>
            </a:solidFill>
            <a:latin typeface="Calibri Light" panose="020F0302020204030204" pitchFamily="34" charset="0"/>
            <a:cs typeface="Calibri Light" panose="020F0302020204030204" pitchFamily="34" charset="0"/>
          </a:endParaRPr>
        </a:p>
      </xdr:txBody>
    </xdr:sp>
    <xdr:clientData/>
  </xdr:twoCellAnchor>
  <xdr:twoCellAnchor editAs="oneCell">
    <xdr:from>
      <xdr:col>0</xdr:col>
      <xdr:colOff>66675</xdr:colOff>
      <xdr:row>47</xdr:row>
      <xdr:rowOff>219075</xdr:rowOff>
    </xdr:from>
    <xdr:to>
      <xdr:col>0</xdr:col>
      <xdr:colOff>390675</xdr:colOff>
      <xdr:row>48</xdr:row>
      <xdr:rowOff>258790</xdr:rowOff>
    </xdr:to>
    <xdr:grpSp>
      <xdr:nvGrpSpPr>
        <xdr:cNvPr id="73" name="Gruppieren 72">
          <a:hlinkClick xmlns:r="http://schemas.openxmlformats.org/officeDocument/2006/relationships" r:id="rId3" tooltip="to top"/>
          <a:extLst>
            <a:ext uri="{FF2B5EF4-FFF2-40B4-BE49-F238E27FC236}">
              <a16:creationId xmlns:a16="http://schemas.microsoft.com/office/drawing/2014/main" id="{00000000-0008-0000-0B00-000049000000}"/>
            </a:ext>
          </a:extLst>
        </xdr:cNvPr>
        <xdr:cNvGrpSpPr/>
      </xdr:nvGrpSpPr>
      <xdr:grpSpPr>
        <a:xfrm>
          <a:off x="66675" y="13531215"/>
          <a:ext cx="324000" cy="321655"/>
          <a:chOff x="66675" y="4972050"/>
          <a:chExt cx="324000" cy="325465"/>
        </a:xfrm>
      </xdr:grpSpPr>
      <xdr:sp macro="" textlink="">
        <xdr:nvSpPr>
          <xdr:cNvPr id="74" name="Rechteck 73">
            <a:extLst>
              <a:ext uri="{FF2B5EF4-FFF2-40B4-BE49-F238E27FC236}">
                <a16:creationId xmlns:a16="http://schemas.microsoft.com/office/drawing/2014/main" id="{00000000-0008-0000-0B00-00004A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5" name="Pfeil nach oben 74">
            <a:extLst>
              <a:ext uri="{FF2B5EF4-FFF2-40B4-BE49-F238E27FC236}">
                <a16:creationId xmlns:a16="http://schemas.microsoft.com/office/drawing/2014/main" id="{00000000-0008-0000-0B00-00004B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74</xdr:row>
      <xdr:rowOff>247650</xdr:rowOff>
    </xdr:from>
    <xdr:to>
      <xdr:col>0</xdr:col>
      <xdr:colOff>390675</xdr:colOff>
      <xdr:row>76</xdr:row>
      <xdr:rowOff>1615</xdr:rowOff>
    </xdr:to>
    <xdr:grpSp>
      <xdr:nvGrpSpPr>
        <xdr:cNvPr id="76" name="Gruppieren 75">
          <a:hlinkClick xmlns:r="http://schemas.openxmlformats.org/officeDocument/2006/relationships" r:id="rId3" tooltip="to top"/>
          <a:extLst>
            <a:ext uri="{FF2B5EF4-FFF2-40B4-BE49-F238E27FC236}">
              <a16:creationId xmlns:a16="http://schemas.microsoft.com/office/drawing/2014/main" id="{00000000-0008-0000-0B00-00004C000000}"/>
            </a:ext>
          </a:extLst>
        </xdr:cNvPr>
        <xdr:cNvGrpSpPr/>
      </xdr:nvGrpSpPr>
      <xdr:grpSpPr>
        <a:xfrm>
          <a:off x="66675" y="20897850"/>
          <a:ext cx="324000" cy="317845"/>
          <a:chOff x="66675" y="4972050"/>
          <a:chExt cx="324000" cy="325465"/>
        </a:xfrm>
      </xdr:grpSpPr>
      <xdr:sp macro="" textlink="">
        <xdr:nvSpPr>
          <xdr:cNvPr id="77" name="Rechteck 76">
            <a:extLst>
              <a:ext uri="{FF2B5EF4-FFF2-40B4-BE49-F238E27FC236}">
                <a16:creationId xmlns:a16="http://schemas.microsoft.com/office/drawing/2014/main" id="{00000000-0008-0000-0B00-00004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8" name="Pfeil nach oben 77">
            <a:extLst>
              <a:ext uri="{FF2B5EF4-FFF2-40B4-BE49-F238E27FC236}">
                <a16:creationId xmlns:a16="http://schemas.microsoft.com/office/drawing/2014/main" id="{00000000-0008-0000-0B00-00004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2</xdr:col>
      <xdr:colOff>438149</xdr:colOff>
      <xdr:row>27</xdr:row>
      <xdr:rowOff>95250</xdr:rowOff>
    </xdr:from>
    <xdr:to>
      <xdr:col>4</xdr:col>
      <xdr:colOff>609600</xdr:colOff>
      <xdr:row>28</xdr:row>
      <xdr:rowOff>214932</xdr:rowOff>
    </xdr:to>
    <xdr:sp macro="" textlink="' '!A363">
      <xdr:nvSpPr>
        <xdr:cNvPr id="82" name="TextBox 2">
          <a:extLst>
            <a:ext uri="{FF2B5EF4-FFF2-40B4-BE49-F238E27FC236}">
              <a16:creationId xmlns:a16="http://schemas.microsoft.com/office/drawing/2014/main" id="{00000000-0008-0000-0B00-000052000000}"/>
            </a:ext>
          </a:extLst>
        </xdr:cNvPr>
        <xdr:cNvSpPr txBox="1"/>
      </xdr:nvSpPr>
      <xdr:spPr>
        <a:xfrm>
          <a:off x="1209674" y="7753350"/>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F0975A4A-6154-442C-97D6-B2D35C932381}" type="TxLink">
            <a:rPr lang="en-US" sz="2000">
              <a:solidFill>
                <a:schemeClr val="bg1">
                  <a:lumMod val="65000"/>
                </a:schemeClr>
              </a:solidFill>
              <a:latin typeface="Calibri Light" panose="020F0302020204030204" pitchFamily="34" charset="0"/>
              <a:ea typeface="+mn-ea"/>
              <a:cs typeface="Calibri Light" panose="020F0302020204030204" pitchFamily="34" charset="0"/>
            </a:rPr>
            <a:pPr marL="0" indent="0" algn="ctr"/>
            <a:t>Keep satisfied</a:t>
          </a:fld>
          <a:endParaRPr lang="fr-CH" sz="2000">
            <a:solidFill>
              <a:schemeClr val="bg1">
                <a:lumMod val="6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447674</xdr:colOff>
      <xdr:row>46</xdr:row>
      <xdr:rowOff>114300</xdr:rowOff>
    </xdr:from>
    <xdr:to>
      <xdr:col>4</xdr:col>
      <xdr:colOff>619125</xdr:colOff>
      <xdr:row>47</xdr:row>
      <xdr:rowOff>233982</xdr:rowOff>
    </xdr:to>
    <xdr:sp macro="" textlink="' '!A364">
      <xdr:nvSpPr>
        <xdr:cNvPr id="83" name="TextBox 122">
          <a:extLst>
            <a:ext uri="{FF2B5EF4-FFF2-40B4-BE49-F238E27FC236}">
              <a16:creationId xmlns:a16="http://schemas.microsoft.com/office/drawing/2014/main" id="{00000000-0008-0000-0B00-000053000000}"/>
            </a:ext>
          </a:extLst>
        </xdr:cNvPr>
        <xdr:cNvSpPr txBox="1"/>
      </xdr:nvSpPr>
      <xdr:spPr>
        <a:xfrm>
          <a:off x="1219199" y="13201650"/>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1D1D7A13-48B0-4918-9887-9EED9DF83B72}" type="TxLink">
            <a:rPr lang="en-US" sz="2000">
              <a:solidFill>
                <a:schemeClr val="bg1">
                  <a:lumMod val="65000"/>
                </a:schemeClr>
              </a:solidFill>
              <a:latin typeface="Calibri Light" panose="020F0302020204030204" pitchFamily="34" charset="0"/>
              <a:ea typeface="+mn-ea"/>
              <a:cs typeface="Calibri Light" panose="020F0302020204030204" pitchFamily="34" charset="0"/>
            </a:rPr>
            <a:pPr marL="0" indent="0" algn="ctr"/>
            <a:t>Monitor</a:t>
          </a:fld>
          <a:endParaRPr lang="fr-CH" sz="2000">
            <a:solidFill>
              <a:schemeClr val="bg1">
                <a:lumMod val="6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4</xdr:col>
      <xdr:colOff>771524</xdr:colOff>
      <xdr:row>46</xdr:row>
      <xdr:rowOff>114300</xdr:rowOff>
    </xdr:from>
    <xdr:to>
      <xdr:col>6</xdr:col>
      <xdr:colOff>685800</xdr:colOff>
      <xdr:row>47</xdr:row>
      <xdr:rowOff>233982</xdr:rowOff>
    </xdr:to>
    <xdr:sp macro="" textlink="' '!A365">
      <xdr:nvSpPr>
        <xdr:cNvPr id="84" name="TextBox 123">
          <a:extLst>
            <a:ext uri="{FF2B5EF4-FFF2-40B4-BE49-F238E27FC236}">
              <a16:creationId xmlns:a16="http://schemas.microsoft.com/office/drawing/2014/main" id="{00000000-0008-0000-0B00-000054000000}"/>
            </a:ext>
          </a:extLst>
        </xdr:cNvPr>
        <xdr:cNvSpPr txBox="1"/>
      </xdr:nvSpPr>
      <xdr:spPr>
        <a:xfrm>
          <a:off x="4190999" y="13201650"/>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ABB3B788-3075-42CF-88B3-B8B81E5FFC12}" type="TxLink">
            <a:rPr lang="en-US" sz="2000">
              <a:solidFill>
                <a:schemeClr val="bg1">
                  <a:lumMod val="65000"/>
                </a:schemeClr>
              </a:solidFill>
              <a:latin typeface="Calibri Light" panose="020F0302020204030204" pitchFamily="34" charset="0"/>
              <a:ea typeface="+mn-ea"/>
              <a:cs typeface="Calibri Light" panose="020F0302020204030204" pitchFamily="34" charset="0"/>
            </a:rPr>
            <a:pPr marL="0" indent="0" algn="ctr"/>
            <a:t>Keep informed</a:t>
          </a:fld>
          <a:endParaRPr lang="fr-CH" sz="2000">
            <a:solidFill>
              <a:schemeClr val="bg1">
                <a:lumMod val="65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7</xdr:col>
      <xdr:colOff>1447800</xdr:colOff>
      <xdr:row>72</xdr:row>
      <xdr:rowOff>190500</xdr:rowOff>
    </xdr:from>
    <xdr:to>
      <xdr:col>8</xdr:col>
      <xdr:colOff>533400</xdr:colOff>
      <xdr:row>72</xdr:row>
      <xdr:rowOff>190500</xdr:rowOff>
    </xdr:to>
    <xdr:cxnSp macro="">
      <xdr:nvCxnSpPr>
        <xdr:cNvPr id="86" name="Gerade Verbindung mit Pfeil 85">
          <a:extLst>
            <a:ext uri="{FF2B5EF4-FFF2-40B4-BE49-F238E27FC236}">
              <a16:creationId xmlns:a16="http://schemas.microsoft.com/office/drawing/2014/main" id="{00000000-0008-0000-0B00-000056000000}"/>
            </a:ext>
          </a:extLst>
        </xdr:cNvPr>
        <xdr:cNvCxnSpPr/>
      </xdr:nvCxnSpPr>
      <xdr:spPr>
        <a:xfrm>
          <a:off x="8515350" y="20431125"/>
          <a:ext cx="685800" cy="0"/>
        </a:xfrm>
        <a:prstGeom prst="straightConnector1">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xdr:from>
      <xdr:col>7</xdr:col>
      <xdr:colOff>1447800</xdr:colOff>
      <xdr:row>73</xdr:row>
      <xdr:rowOff>209550</xdr:rowOff>
    </xdr:from>
    <xdr:to>
      <xdr:col>8</xdr:col>
      <xdr:colOff>533400</xdr:colOff>
      <xdr:row>73</xdr:row>
      <xdr:rowOff>209550</xdr:rowOff>
    </xdr:to>
    <xdr:cxnSp macro="">
      <xdr:nvCxnSpPr>
        <xdr:cNvPr id="87" name="Gerade Verbindung mit Pfeil 86">
          <a:extLst>
            <a:ext uri="{FF2B5EF4-FFF2-40B4-BE49-F238E27FC236}">
              <a16:creationId xmlns:a16="http://schemas.microsoft.com/office/drawing/2014/main" id="{00000000-0008-0000-0B00-000057000000}"/>
            </a:ext>
          </a:extLst>
        </xdr:cNvPr>
        <xdr:cNvCxnSpPr/>
      </xdr:nvCxnSpPr>
      <xdr:spPr>
        <a:xfrm>
          <a:off x="8515350" y="20735925"/>
          <a:ext cx="685800" cy="0"/>
        </a:xfrm>
        <a:prstGeom prst="straightConnector1">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7</xdr:col>
      <xdr:colOff>1447800</xdr:colOff>
      <xdr:row>74</xdr:row>
      <xdr:rowOff>200025</xdr:rowOff>
    </xdr:from>
    <xdr:to>
      <xdr:col>8</xdr:col>
      <xdr:colOff>533400</xdr:colOff>
      <xdr:row>74</xdr:row>
      <xdr:rowOff>200025</xdr:rowOff>
    </xdr:to>
    <xdr:cxnSp macro="">
      <xdr:nvCxnSpPr>
        <xdr:cNvPr id="88" name="Gerade Verbindung mit Pfeil 87">
          <a:extLst>
            <a:ext uri="{FF2B5EF4-FFF2-40B4-BE49-F238E27FC236}">
              <a16:creationId xmlns:a16="http://schemas.microsoft.com/office/drawing/2014/main" id="{00000000-0008-0000-0B00-000058000000}"/>
            </a:ext>
          </a:extLst>
        </xdr:cNvPr>
        <xdr:cNvCxnSpPr/>
      </xdr:nvCxnSpPr>
      <xdr:spPr>
        <a:xfrm>
          <a:off x="8515350" y="21012150"/>
          <a:ext cx="685800" cy="0"/>
        </a:xfrm>
        <a:prstGeom prst="straightConnector1">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mc:AlternateContent xmlns:mc="http://schemas.openxmlformats.org/markup-compatibility/2006">
    <mc:Choice xmlns:a14="http://schemas.microsoft.com/office/drawing/2010/main" Requires="a14">
      <xdr:twoCellAnchor editAs="oneCell">
        <xdr:from>
          <xdr:col>8</xdr:col>
          <xdr:colOff>22860</xdr:colOff>
          <xdr:row>0</xdr:row>
          <xdr:rowOff>0</xdr:rowOff>
        </xdr:from>
        <xdr:to>
          <xdr:col>9</xdr:col>
          <xdr:colOff>464820</xdr:colOff>
          <xdr:row>0</xdr:row>
          <xdr:rowOff>518160</xdr:rowOff>
        </xdr:to>
        <xdr:pic>
          <xdr:nvPicPr>
            <xdr:cNvPr id="89" name="Grafik 56">
              <a:extLst>
                <a:ext uri="{FF2B5EF4-FFF2-40B4-BE49-F238E27FC236}">
                  <a16:creationId xmlns:a16="http://schemas.microsoft.com/office/drawing/2014/main" id="{00000000-0008-0000-0B00-000059000000}"/>
                </a:ext>
              </a:extLst>
            </xdr:cNvPr>
            <xdr:cNvPicPr>
              <a:picLocks noChangeAspect="1" noChangeArrowheads="1"/>
              <a:extLst>
                <a:ext uri="{84589F7E-364E-4C9E-8A38-B11213B215E9}">
                  <a14:cameraTool cellRange="Logo!$D$6" spid="_x0000_s233146"/>
                </a:ext>
              </a:extLst>
            </xdr:cNvPicPr>
          </xdr:nvPicPr>
          <xdr:blipFill>
            <a:blip xmlns:r="http://schemas.openxmlformats.org/officeDocument/2006/relationships" r:embed="rId4"/>
            <a:srcRect/>
            <a:stretch>
              <a:fillRect/>
            </a:stretch>
          </xdr:blipFill>
          <xdr:spPr bwMode="auto">
            <a:xfrm>
              <a:off x="8690610" y="0"/>
              <a:ext cx="2175510" cy="518160"/>
            </a:xfrm>
            <a:prstGeom prst="rect">
              <a:avLst/>
            </a:prstGeom>
            <a:solidFill>
              <a:schemeClr val="bg1"/>
            </a:solidFill>
            <a:ln w="9525">
              <a:noFill/>
              <a:miter lim="800000"/>
              <a:headEnd/>
              <a:tailEnd/>
            </a:ln>
          </xdr:spPr>
        </xdr:pic>
        <xdr:clientData/>
      </xdr:twoCellAnchor>
    </mc:Choice>
    <mc:Fallback/>
  </mc:AlternateContent>
  <xdr:twoCellAnchor editAs="absolute">
    <xdr:from>
      <xdr:col>9</xdr:col>
      <xdr:colOff>276225</xdr:colOff>
      <xdr:row>1</xdr:row>
      <xdr:rowOff>47625</xdr:rowOff>
    </xdr:from>
    <xdr:to>
      <xdr:col>9</xdr:col>
      <xdr:colOff>449025</xdr:colOff>
      <xdr:row>2</xdr:row>
      <xdr:rowOff>39450</xdr:rowOff>
    </xdr:to>
    <xdr:grpSp>
      <xdr:nvGrpSpPr>
        <xdr:cNvPr id="90" name="Gruppieren 89">
          <a:hlinkClick xmlns:r="http://schemas.openxmlformats.org/officeDocument/2006/relationships" r:id="rId5" tooltip="Help"/>
          <a:extLst>
            <a:ext uri="{FF2B5EF4-FFF2-40B4-BE49-F238E27FC236}">
              <a16:creationId xmlns:a16="http://schemas.microsoft.com/office/drawing/2014/main" id="{00000000-0008-0000-0B00-00005A000000}"/>
            </a:ext>
          </a:extLst>
        </xdr:cNvPr>
        <xdr:cNvGrpSpPr/>
      </xdr:nvGrpSpPr>
      <xdr:grpSpPr>
        <a:xfrm>
          <a:off x="10997565" y="581025"/>
          <a:ext cx="172800" cy="167085"/>
          <a:chOff x="8105775" y="571500"/>
          <a:chExt cx="172800" cy="172800"/>
        </a:xfrm>
      </xdr:grpSpPr>
      <xdr:sp macro="" textlink="">
        <xdr:nvSpPr>
          <xdr:cNvPr id="91" name="Rechteck 90">
            <a:extLst>
              <a:ext uri="{FF2B5EF4-FFF2-40B4-BE49-F238E27FC236}">
                <a16:creationId xmlns:a16="http://schemas.microsoft.com/office/drawing/2014/main" id="{00000000-0008-0000-0B00-00005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2" name="Textfeld 91">
            <a:extLst>
              <a:ext uri="{FF2B5EF4-FFF2-40B4-BE49-F238E27FC236}">
                <a16:creationId xmlns:a16="http://schemas.microsoft.com/office/drawing/2014/main" id="{00000000-0008-0000-0B00-00005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1</xdr:col>
      <xdr:colOff>136337</xdr:colOff>
      <xdr:row>26</xdr:row>
      <xdr:rowOff>190500</xdr:rowOff>
    </xdr:from>
    <xdr:to>
      <xdr:col>7</xdr:col>
      <xdr:colOff>250453</xdr:colOff>
      <xdr:row>49</xdr:row>
      <xdr:rowOff>38100</xdr:rowOff>
    </xdr:to>
    <xdr:graphicFrame macro="">
      <xdr:nvGraphicFramePr>
        <xdr:cNvPr id="85" name="Diagramm 84">
          <a:extLst>
            <a:ext uri="{FF2B5EF4-FFF2-40B4-BE49-F238E27FC236}">
              <a16:creationId xmlns:a16="http://schemas.microsoft.com/office/drawing/2014/main" id="{00000000-0008-0000-0B00-00005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142875</xdr:colOff>
      <xdr:row>0</xdr:row>
      <xdr:rowOff>85725</xdr:rowOff>
    </xdr:from>
    <xdr:to>
      <xdr:col>8</xdr:col>
      <xdr:colOff>329175</xdr:colOff>
      <xdr:row>0</xdr:row>
      <xdr:rowOff>509587</xdr:rowOff>
    </xdr:to>
    <xdr:sp macro="" textlink="">
      <xdr:nvSpPr>
        <xdr:cNvPr id="98" name="Rectangle 1">
          <a:extLst>
            <a:ext uri="{FF2B5EF4-FFF2-40B4-BE49-F238E27FC236}">
              <a16:creationId xmlns:a16="http://schemas.microsoft.com/office/drawing/2014/main" id="{00000000-0008-0000-0B00-000062000000}"/>
            </a:ext>
          </a:extLst>
        </xdr:cNvPr>
        <xdr:cNvSpPr/>
      </xdr:nvSpPr>
      <xdr:spPr>
        <a:xfrm>
          <a:off x="4352925" y="85725"/>
          <a:ext cx="4644000" cy="423862"/>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twoCellAnchor>
  <xdr:twoCellAnchor editAs="oneCell">
    <xdr:from>
      <xdr:col>0</xdr:col>
      <xdr:colOff>76200</xdr:colOff>
      <xdr:row>0</xdr:row>
      <xdr:rowOff>171450</xdr:rowOff>
    </xdr:from>
    <xdr:to>
      <xdr:col>0</xdr:col>
      <xdr:colOff>400200</xdr:colOff>
      <xdr:row>0</xdr:row>
      <xdr:rowOff>496915</xdr:rowOff>
    </xdr:to>
    <xdr:grpSp>
      <xdr:nvGrpSpPr>
        <xdr:cNvPr id="93" name="Gruppieren 53">
          <a:hlinkClick xmlns:r="http://schemas.openxmlformats.org/officeDocument/2006/relationships" r:id="rId7" tooltip="back"/>
          <a:extLst>
            <a:ext uri="{FF2B5EF4-FFF2-40B4-BE49-F238E27FC236}">
              <a16:creationId xmlns:a16="http://schemas.microsoft.com/office/drawing/2014/main" id="{00000000-0008-0000-0B00-00005D000000}"/>
            </a:ext>
          </a:extLst>
        </xdr:cNvPr>
        <xdr:cNvGrpSpPr/>
      </xdr:nvGrpSpPr>
      <xdr:grpSpPr>
        <a:xfrm>
          <a:off x="76200" y="171450"/>
          <a:ext cx="324000" cy="325465"/>
          <a:chOff x="9191625" y="3009900"/>
          <a:chExt cx="324000" cy="325465"/>
        </a:xfrm>
      </xdr:grpSpPr>
      <xdr:sp macro="" textlink="">
        <xdr:nvSpPr>
          <xdr:cNvPr id="94" name="Rechteck 57">
            <a:extLst>
              <a:ext uri="{FF2B5EF4-FFF2-40B4-BE49-F238E27FC236}">
                <a16:creationId xmlns:a16="http://schemas.microsoft.com/office/drawing/2014/main" id="{00000000-0008-0000-0B00-00005E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5" name="Pfeil nach links 58">
            <a:extLst>
              <a:ext uri="{FF2B5EF4-FFF2-40B4-BE49-F238E27FC236}">
                <a16:creationId xmlns:a16="http://schemas.microsoft.com/office/drawing/2014/main" id="{00000000-0008-0000-0B00-00005F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5</xdr:col>
      <xdr:colOff>76201</xdr:colOff>
      <xdr:row>0</xdr:row>
      <xdr:rowOff>123825</xdr:rowOff>
    </xdr:from>
    <xdr:to>
      <xdr:col>8</xdr:col>
      <xdr:colOff>468292</xdr:colOff>
      <xdr:row>0</xdr:row>
      <xdr:rowOff>479625</xdr:rowOff>
    </xdr:to>
    <xdr:grpSp>
      <xdr:nvGrpSpPr>
        <xdr:cNvPr id="5" name="Gruppieren 4">
          <a:extLst>
            <a:ext uri="{FF2B5EF4-FFF2-40B4-BE49-F238E27FC236}">
              <a16:creationId xmlns:a16="http://schemas.microsoft.com/office/drawing/2014/main" id="{00000000-0008-0000-0B00-000005000000}"/>
            </a:ext>
          </a:extLst>
        </xdr:cNvPr>
        <xdr:cNvGrpSpPr/>
      </xdr:nvGrpSpPr>
      <xdr:grpSpPr>
        <a:xfrm>
          <a:off x="4419601" y="123825"/>
          <a:ext cx="4986951" cy="355800"/>
          <a:chOff x="11239501" y="1990725"/>
          <a:chExt cx="4859316" cy="355800"/>
        </a:xfrm>
      </xdr:grpSpPr>
      <xdr:sp macro="" textlink="">
        <xdr:nvSpPr>
          <xdr:cNvPr id="97" name="Rechteck: obere Ecken abgerundet 13">
            <a:hlinkClick xmlns:r="http://schemas.openxmlformats.org/officeDocument/2006/relationships" r:id="rId8" tooltip="Go to"/>
            <a:extLst>
              <a:ext uri="{FF2B5EF4-FFF2-40B4-BE49-F238E27FC236}">
                <a16:creationId xmlns:a16="http://schemas.microsoft.com/office/drawing/2014/main" id="{00000000-0008-0000-0B00-000061000000}"/>
              </a:ext>
            </a:extLst>
          </xdr:cNvPr>
          <xdr:cNvSpPr/>
        </xdr:nvSpPr>
        <xdr:spPr>
          <a:xfrm>
            <a:off x="11239501" y="1990725"/>
            <a:ext cx="1178640"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sp macro="" textlink="' '!A42">
        <xdr:nvSpPr>
          <xdr:cNvPr id="99" name="Rechteck: obere Ecken abgerundet 14">
            <a:hlinkClick xmlns:r="http://schemas.openxmlformats.org/officeDocument/2006/relationships" r:id="rId9" tooltip="Go to"/>
            <a:extLst>
              <a:ext uri="{FF2B5EF4-FFF2-40B4-BE49-F238E27FC236}">
                <a16:creationId xmlns:a16="http://schemas.microsoft.com/office/drawing/2014/main" id="{00000000-0008-0000-0B00-000063000000}"/>
              </a:ext>
            </a:extLst>
          </xdr:cNvPr>
          <xdr:cNvSpPr/>
        </xdr:nvSpPr>
        <xdr:spPr>
          <a:xfrm>
            <a:off x="12461921"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99">
        <xdr:nvSpPr>
          <xdr:cNvPr id="104" name="Rechteck: obere Ecken abgerundet 15">
            <a:hlinkClick xmlns:r="http://schemas.openxmlformats.org/officeDocument/2006/relationships" r:id="rId10" tooltip="Go to"/>
            <a:extLst>
              <a:ext uri="{FF2B5EF4-FFF2-40B4-BE49-F238E27FC236}">
                <a16:creationId xmlns:a16="http://schemas.microsoft.com/office/drawing/2014/main" id="{00000000-0008-0000-0B00-000068000000}"/>
              </a:ext>
            </a:extLst>
          </xdr:cNvPr>
          <xdr:cNvSpPr/>
        </xdr:nvSpPr>
        <xdr:spPr>
          <a:xfrm>
            <a:off x="13688813"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105" name="Rechteck: obere Ecken abgerundet 14">
            <a:hlinkClick xmlns:r="http://schemas.openxmlformats.org/officeDocument/2006/relationships" r:id="rId11" tooltip="Go to"/>
            <a:extLst>
              <a:ext uri="{FF2B5EF4-FFF2-40B4-BE49-F238E27FC236}">
                <a16:creationId xmlns:a16="http://schemas.microsoft.com/office/drawing/2014/main" id="{00000000-0008-0000-0B00-000069000000}"/>
              </a:ext>
            </a:extLst>
          </xdr:cNvPr>
          <xdr:cNvSpPr/>
        </xdr:nvSpPr>
        <xdr:spPr>
          <a:xfrm>
            <a:off x="14915705"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fPrintsWithSheet="0"/>
  </xdr:twoCellAnchor>
</xdr:wsDr>
</file>

<file path=xl/drawings/drawing13.xml><?xml version="1.0" encoding="utf-8"?>
<xdr:wsDr xmlns:xdr="http://schemas.openxmlformats.org/drawingml/2006/spreadsheetDrawing" xmlns:a="http://schemas.openxmlformats.org/drawingml/2006/main">
  <xdr:twoCellAnchor editAs="oneCell">
    <xdr:from>
      <xdr:col>0</xdr:col>
      <xdr:colOff>76200</xdr:colOff>
      <xdr:row>0</xdr:row>
      <xdr:rowOff>171450</xdr:rowOff>
    </xdr:from>
    <xdr:to>
      <xdr:col>0</xdr:col>
      <xdr:colOff>400200</xdr:colOff>
      <xdr:row>0</xdr:row>
      <xdr:rowOff>496915</xdr:rowOff>
    </xdr:to>
    <xdr:grpSp>
      <xdr:nvGrpSpPr>
        <xdr:cNvPr id="19" name="Gruppieren 18">
          <a:hlinkClick xmlns:r="http://schemas.openxmlformats.org/officeDocument/2006/relationships" r:id="rId1" tooltip="Home"/>
          <a:extLst>
            <a:ext uri="{FF2B5EF4-FFF2-40B4-BE49-F238E27FC236}">
              <a16:creationId xmlns:a16="http://schemas.microsoft.com/office/drawing/2014/main" id="{00000000-0008-0000-0C00-000013000000}"/>
            </a:ext>
          </a:extLst>
        </xdr:cNvPr>
        <xdr:cNvGrpSpPr/>
      </xdr:nvGrpSpPr>
      <xdr:grpSpPr>
        <a:xfrm>
          <a:off x="76200" y="171450"/>
          <a:ext cx="324000" cy="325465"/>
          <a:chOff x="12729063" y="1298331"/>
          <a:chExt cx="324000" cy="323267"/>
        </a:xfrm>
      </xdr:grpSpPr>
      <xdr:sp macro="" textlink="">
        <xdr:nvSpPr>
          <xdr:cNvPr id="20" name="Rechteck 19">
            <a:extLst>
              <a:ext uri="{FF2B5EF4-FFF2-40B4-BE49-F238E27FC236}">
                <a16:creationId xmlns:a16="http://schemas.microsoft.com/office/drawing/2014/main" id="{00000000-0008-0000-0C00-000014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1" name="Grafik 20" descr="http://www.clker.com/cliparts/Z/I/5/L/X/x/white-house-md.png">
            <a:extLst>
              <a:ext uri="{FF2B5EF4-FFF2-40B4-BE49-F238E27FC236}">
                <a16:creationId xmlns:a16="http://schemas.microsoft.com/office/drawing/2014/main" id="{00000000-0008-0000-0C00-00001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mc:AlternateContent xmlns:mc="http://schemas.openxmlformats.org/markup-compatibility/2006">
    <mc:Choice xmlns:a14="http://schemas.microsoft.com/office/drawing/2010/main" Requires="a14">
      <xdr:twoCellAnchor>
        <xdr:from>
          <xdr:col>9</xdr:col>
          <xdr:colOff>2590800</xdr:colOff>
          <xdr:row>0</xdr:row>
          <xdr:rowOff>0</xdr:rowOff>
        </xdr:from>
        <xdr:to>
          <xdr:col>10</xdr:col>
          <xdr:colOff>6350</xdr:colOff>
          <xdr:row>0</xdr:row>
          <xdr:rowOff>533400</xdr:rowOff>
        </xdr:to>
        <xdr:pic>
          <xdr:nvPicPr>
            <xdr:cNvPr id="14" name="Grafik 13">
              <a:extLst>
                <a:ext uri="{FF2B5EF4-FFF2-40B4-BE49-F238E27FC236}">
                  <a16:creationId xmlns:a16="http://schemas.microsoft.com/office/drawing/2014/main" id="{00000000-0008-0000-0C00-00000E000000}"/>
                </a:ext>
              </a:extLst>
            </xdr:cNvPr>
            <xdr:cNvPicPr>
              <a:picLocks noChangeAspect="1" noChangeArrowheads="1"/>
              <a:extLst>
                <a:ext uri="{84589F7E-364E-4C9E-8A38-B11213B215E9}">
                  <a14:cameraTool cellRange="Logo!$D$6" spid="_x0000_s225979"/>
                </a:ext>
              </a:extLst>
            </xdr:cNvPicPr>
          </xdr:nvPicPr>
          <xdr:blipFill>
            <a:blip xmlns:r="http://schemas.openxmlformats.org/officeDocument/2006/relationships" r:embed="rId3"/>
            <a:srcRect/>
            <a:stretch>
              <a:fillRect/>
            </a:stretch>
          </xdr:blipFill>
          <xdr:spPr bwMode="auto">
            <a:xfrm>
              <a:off x="9956800" y="0"/>
              <a:ext cx="2616200" cy="533400"/>
            </a:xfrm>
            <a:prstGeom prst="rect">
              <a:avLst/>
            </a:prstGeom>
            <a:solidFill>
              <a:schemeClr val="bg1"/>
            </a:solidFill>
            <a:ln w="9525">
              <a:noFill/>
              <a:miter lim="800000"/>
              <a:headEnd/>
              <a:tailEnd/>
            </a:ln>
          </xdr:spPr>
        </xdr:pic>
        <xdr:clientData/>
      </xdr:twoCellAnchor>
    </mc:Choice>
    <mc:Fallback/>
  </mc:AlternateContent>
  <xdr:twoCellAnchor>
    <xdr:from>
      <xdr:col>9</xdr:col>
      <xdr:colOff>3908452</xdr:colOff>
      <xdr:row>2</xdr:row>
      <xdr:rowOff>34925</xdr:rowOff>
    </xdr:from>
    <xdr:to>
      <xdr:col>9</xdr:col>
      <xdr:colOff>4608592</xdr:colOff>
      <xdr:row>2</xdr:row>
      <xdr:rowOff>219688</xdr:rowOff>
    </xdr:to>
    <xdr:grpSp>
      <xdr:nvGrpSpPr>
        <xdr:cNvPr id="2" name="Gruppieren 1">
          <a:extLst>
            <a:ext uri="{FF2B5EF4-FFF2-40B4-BE49-F238E27FC236}">
              <a16:creationId xmlns:a16="http://schemas.microsoft.com/office/drawing/2014/main" id="{00000000-0008-0000-0C00-000002000000}"/>
            </a:ext>
          </a:extLst>
        </xdr:cNvPr>
        <xdr:cNvGrpSpPr/>
      </xdr:nvGrpSpPr>
      <xdr:grpSpPr>
        <a:xfrm>
          <a:off x="11749432" y="614045"/>
          <a:ext cx="700140" cy="184763"/>
          <a:chOff x="11603938" y="615950"/>
          <a:chExt cx="646003" cy="184763"/>
        </a:xfrm>
      </xdr:grpSpPr>
      <xdr:sp macro="[0]!Register_ein" textlink="">
        <xdr:nvSpPr>
          <xdr:cNvPr id="18" name="Rechteck 78">
            <a:extLst>
              <a:ext uri="{FF2B5EF4-FFF2-40B4-BE49-F238E27FC236}">
                <a16:creationId xmlns:a16="http://schemas.microsoft.com/office/drawing/2014/main" id="{00000000-0008-0000-0C00-000012000000}"/>
              </a:ext>
            </a:extLst>
          </xdr:cNvPr>
          <xdr:cNvSpPr>
            <a:spLocks/>
          </xdr:cNvSpPr>
        </xdr:nvSpPr>
        <xdr:spPr>
          <a:xfrm>
            <a:off x="11603938" y="620713"/>
            <a:ext cx="166082"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22" name="Rechteck 84">
            <a:extLst>
              <a:ext uri="{FF2B5EF4-FFF2-40B4-BE49-F238E27FC236}">
                <a16:creationId xmlns:a16="http://schemas.microsoft.com/office/drawing/2014/main" id="{00000000-0008-0000-0C00-000016000000}"/>
              </a:ext>
            </a:extLst>
          </xdr:cNvPr>
          <xdr:cNvSpPr>
            <a:spLocks/>
          </xdr:cNvSpPr>
        </xdr:nvSpPr>
        <xdr:spPr>
          <a:xfrm>
            <a:off x="11815788" y="620713"/>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nvGrpSpPr>
          <xdr:cNvPr id="23" name="Gruppieren 47">
            <a:hlinkClick xmlns:r="http://schemas.openxmlformats.org/officeDocument/2006/relationships" r:id="rId4" tooltip="Help"/>
            <a:extLst>
              <a:ext uri="{FF2B5EF4-FFF2-40B4-BE49-F238E27FC236}">
                <a16:creationId xmlns:a16="http://schemas.microsoft.com/office/drawing/2014/main" id="{00000000-0008-0000-0C00-000017000000}"/>
              </a:ext>
            </a:extLst>
          </xdr:cNvPr>
          <xdr:cNvGrpSpPr>
            <a:grpSpLocks/>
          </xdr:cNvGrpSpPr>
        </xdr:nvGrpSpPr>
        <xdr:grpSpPr>
          <a:xfrm>
            <a:off x="12069941" y="615950"/>
            <a:ext cx="180000" cy="180000"/>
            <a:chOff x="8105775" y="571500"/>
            <a:chExt cx="172800" cy="172800"/>
          </a:xfrm>
        </xdr:grpSpPr>
        <xdr:sp macro="" textlink="">
          <xdr:nvSpPr>
            <xdr:cNvPr id="24" name="Rechteck 48">
              <a:extLst>
                <a:ext uri="{FF2B5EF4-FFF2-40B4-BE49-F238E27FC236}">
                  <a16:creationId xmlns:a16="http://schemas.microsoft.com/office/drawing/2014/main" id="{00000000-0008-0000-0C00-000018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5" name="Textfeld 49">
              <a:extLst>
                <a:ext uri="{FF2B5EF4-FFF2-40B4-BE49-F238E27FC236}">
                  <a16:creationId xmlns:a16="http://schemas.microsoft.com/office/drawing/2014/main" id="{00000000-0008-0000-0C00-000019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grpSp>
    <xdr:clientData fPrintsWithSheet="0"/>
  </xdr:twoCellAnchor>
  <xdr:twoCellAnchor editAs="oneCell">
    <xdr:from>
      <xdr:col>0</xdr:col>
      <xdr:colOff>76200</xdr:colOff>
      <xdr:row>2</xdr:row>
      <xdr:rowOff>200025</xdr:rowOff>
    </xdr:from>
    <xdr:to>
      <xdr:col>0</xdr:col>
      <xdr:colOff>400200</xdr:colOff>
      <xdr:row>3</xdr:row>
      <xdr:rowOff>257325</xdr:rowOff>
    </xdr:to>
    <xdr:sp macro="" textlink="">
      <xdr:nvSpPr>
        <xdr:cNvPr id="15" name="Rechteck 14">
          <a:hlinkClick xmlns:r="http://schemas.openxmlformats.org/officeDocument/2006/relationships" r:id="rId5" tooltip="Download new file"/>
          <a:extLst>
            <a:ext uri="{FF2B5EF4-FFF2-40B4-BE49-F238E27FC236}">
              <a16:creationId xmlns:a16="http://schemas.microsoft.com/office/drawing/2014/main" id="{00000000-0008-0000-0C00-00000F000000}"/>
            </a:ext>
          </a:extLst>
        </xdr:cNvPr>
        <xdr:cNvSpPr>
          <a:spLocks/>
        </xdr:cNvSpPr>
      </xdr:nvSpPr>
      <xdr:spPr>
        <a:xfrm>
          <a:off x="76200" y="781050"/>
          <a:ext cx="324000" cy="324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3600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2000" b="0" i="0" u="none" strike="noStrike" kern="0" cap="none" spc="0" normalizeH="0" baseline="0">
              <a:ln>
                <a:noFill/>
              </a:ln>
              <a:solidFill>
                <a:prstClr val="white"/>
              </a:solidFill>
              <a:effectLst/>
              <a:uLnTx/>
              <a:uFillTx/>
              <a:latin typeface="Calibri"/>
              <a:ea typeface="+mn-ea"/>
              <a:cs typeface="+mn-cs"/>
              <a:sym typeface="Wingdings 2" panose="05020102010507070707" pitchFamily="18" charset="2"/>
            </a:rPr>
            <a:t></a:t>
          </a:r>
          <a:endParaRPr kumimoji="0" lang="de-CH" sz="2000" b="0" i="0" u="none" strike="noStrike" kern="0" cap="none" spc="0" normalizeH="0" baseline="0">
            <a:ln>
              <a:noFill/>
            </a:ln>
            <a:solidFill>
              <a:prstClr val="white"/>
            </a:solidFill>
            <a:effectLst/>
            <a:uLnTx/>
            <a:uFillTx/>
            <a:latin typeface="Calibri"/>
            <a:ea typeface="+mn-ea"/>
            <a:cs typeface="+mn-cs"/>
          </a:endParaRP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171450</xdr:colOff>
          <xdr:row>0</xdr:row>
          <xdr:rowOff>28575</xdr:rowOff>
        </xdr:from>
        <xdr:to>
          <xdr:col>12</xdr:col>
          <xdr:colOff>142875</xdr:colOff>
          <xdr:row>0</xdr:row>
          <xdr:rowOff>552450</xdr:rowOff>
        </xdr:to>
        <xdr:pic>
          <xdr:nvPicPr>
            <xdr:cNvPr id="65" name="Grafik 64">
              <a:extLst>
                <a:ext uri="{FF2B5EF4-FFF2-40B4-BE49-F238E27FC236}">
                  <a16:creationId xmlns:a16="http://schemas.microsoft.com/office/drawing/2014/main" id="{00000000-0008-0000-0D00-000041000000}"/>
                </a:ext>
              </a:extLst>
            </xdr:cNvPr>
            <xdr:cNvPicPr>
              <a:picLocks noChangeAspect="1" noChangeArrowheads="1"/>
              <a:extLst>
                <a:ext uri="{84589F7E-364E-4C9E-8A38-B11213B215E9}">
                  <a14:cameraTool cellRange="Logo!$D$6" spid="_x0000_s222028"/>
                </a:ext>
              </a:extLst>
            </xdr:cNvPicPr>
          </xdr:nvPicPr>
          <xdr:blipFill>
            <a:blip xmlns:r="http://schemas.openxmlformats.org/officeDocument/2006/relationships" r:embed="rId1"/>
            <a:srcRect/>
            <a:stretch>
              <a:fillRect/>
            </a:stretch>
          </xdr:blipFill>
          <xdr:spPr bwMode="auto">
            <a:xfrm>
              <a:off x="10048875" y="28575"/>
              <a:ext cx="2162175" cy="523875"/>
            </a:xfrm>
            <a:prstGeom prst="rect">
              <a:avLst/>
            </a:prstGeom>
            <a:solidFill>
              <a:schemeClr val="bg1"/>
            </a:solidFill>
            <a:ln w="9525">
              <a:noFill/>
              <a:miter lim="800000"/>
              <a:headEnd/>
              <a:tailEnd/>
            </a:ln>
          </xdr:spPr>
        </xdr:pic>
        <xdr:clientData/>
      </xdr:twoCellAnchor>
    </mc:Choice>
    <mc:Fallback/>
  </mc:AlternateContent>
  <xdr:twoCellAnchor editAs="oneCell">
    <xdr:from>
      <xdr:col>2</xdr:col>
      <xdr:colOff>1562100</xdr:colOff>
      <xdr:row>3</xdr:row>
      <xdr:rowOff>76200</xdr:rowOff>
    </xdr:from>
    <xdr:to>
      <xdr:col>2</xdr:col>
      <xdr:colOff>1742100</xdr:colOff>
      <xdr:row>3</xdr:row>
      <xdr:rowOff>256200</xdr:rowOff>
    </xdr:to>
    <xdr:pic>
      <xdr:nvPicPr>
        <xdr:cNvPr id="66" name="Grafik 65">
          <a:extLst>
            <a:ext uri="{FF2B5EF4-FFF2-40B4-BE49-F238E27FC236}">
              <a16:creationId xmlns:a16="http://schemas.microsoft.com/office/drawing/2014/main" id="{00000000-0008-0000-0D00-00004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38375" y="1019175"/>
          <a:ext cx="180000" cy="180000"/>
        </a:xfrm>
        <a:prstGeom prst="rect">
          <a:avLst/>
        </a:prstGeom>
      </xdr:spPr>
    </xdr:pic>
    <xdr:clientData fPrintsWithSheet="0"/>
  </xdr:twoCellAnchor>
  <xdr:twoCellAnchor>
    <xdr:from>
      <xdr:col>11</xdr:col>
      <xdr:colOff>281940</xdr:colOff>
      <xdr:row>2</xdr:row>
      <xdr:rowOff>108585</xdr:rowOff>
    </xdr:from>
    <xdr:to>
      <xdr:col>12</xdr:col>
      <xdr:colOff>261915</xdr:colOff>
      <xdr:row>2</xdr:row>
      <xdr:rowOff>293347</xdr:rowOff>
    </xdr:to>
    <xdr:grpSp>
      <xdr:nvGrpSpPr>
        <xdr:cNvPr id="2" name="Gruppieren 1">
          <a:extLst>
            <a:ext uri="{FF2B5EF4-FFF2-40B4-BE49-F238E27FC236}">
              <a16:creationId xmlns:a16="http://schemas.microsoft.com/office/drawing/2014/main" id="{00000000-0008-0000-0D00-000002000000}"/>
            </a:ext>
          </a:extLst>
        </xdr:cNvPr>
        <xdr:cNvGrpSpPr/>
      </xdr:nvGrpSpPr>
      <xdr:grpSpPr>
        <a:xfrm>
          <a:off x="11910060" y="680085"/>
          <a:ext cx="741975" cy="184762"/>
          <a:chOff x="11530965" y="680085"/>
          <a:chExt cx="665775" cy="184762"/>
        </a:xfrm>
      </xdr:grpSpPr>
      <xdr:sp macro="" textlink="">
        <xdr:nvSpPr>
          <xdr:cNvPr id="76" name="Rechteck 78">
            <a:extLst>
              <a:ext uri="{FF2B5EF4-FFF2-40B4-BE49-F238E27FC236}">
                <a16:creationId xmlns:a16="http://schemas.microsoft.com/office/drawing/2014/main" id="{00000000-0008-0000-0D00-00004C000000}"/>
              </a:ext>
            </a:extLst>
          </xdr:cNvPr>
          <xdr:cNvSpPr>
            <a:spLocks noChangeAspect="1"/>
          </xdr:cNvSpPr>
        </xdr:nvSpPr>
        <xdr:spPr>
          <a:xfrm>
            <a:off x="11530965" y="680085"/>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 textlink="">
        <xdr:nvSpPr>
          <xdr:cNvPr id="77" name="Rechteck 84">
            <a:extLst>
              <a:ext uri="{FF2B5EF4-FFF2-40B4-BE49-F238E27FC236}">
                <a16:creationId xmlns:a16="http://schemas.microsoft.com/office/drawing/2014/main" id="{00000000-0008-0000-0D00-00004D000000}"/>
              </a:ext>
            </a:extLst>
          </xdr:cNvPr>
          <xdr:cNvSpPr>
            <a:spLocks noChangeAspect="1"/>
          </xdr:cNvSpPr>
        </xdr:nvSpPr>
        <xdr:spPr>
          <a:xfrm>
            <a:off x="11750992" y="680085"/>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nvGrpSpPr>
          <xdr:cNvPr id="78" name="Gruppieren 47">
            <a:hlinkClick xmlns:r="http://schemas.openxmlformats.org/officeDocument/2006/relationships" r:id="rId3" tooltip="Help"/>
            <a:extLst>
              <a:ext uri="{FF2B5EF4-FFF2-40B4-BE49-F238E27FC236}">
                <a16:creationId xmlns:a16="http://schemas.microsoft.com/office/drawing/2014/main" id="{00000000-0008-0000-0D00-00004E000000}"/>
              </a:ext>
            </a:extLst>
          </xdr:cNvPr>
          <xdr:cNvGrpSpPr>
            <a:grpSpLocks noChangeAspect="1"/>
          </xdr:cNvGrpSpPr>
        </xdr:nvGrpSpPr>
        <xdr:grpSpPr>
          <a:xfrm>
            <a:off x="12016740" y="684847"/>
            <a:ext cx="180000" cy="180000"/>
            <a:chOff x="8105775" y="571500"/>
            <a:chExt cx="172800" cy="172800"/>
          </a:xfrm>
        </xdr:grpSpPr>
        <xdr:sp macro="" textlink="">
          <xdr:nvSpPr>
            <xdr:cNvPr id="79" name="Rechteck 48">
              <a:extLst>
                <a:ext uri="{FF2B5EF4-FFF2-40B4-BE49-F238E27FC236}">
                  <a16:creationId xmlns:a16="http://schemas.microsoft.com/office/drawing/2014/main" id="{00000000-0008-0000-0D00-00004F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0" name="Textfeld 49">
              <a:extLst>
                <a:ext uri="{FF2B5EF4-FFF2-40B4-BE49-F238E27FC236}">
                  <a16:creationId xmlns:a16="http://schemas.microsoft.com/office/drawing/2014/main" id="{00000000-0008-0000-0D00-000050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grpSp>
    <xdr:clientData/>
  </xdr:twoCellAnchor>
  <xdr:twoCellAnchor editAs="oneCell">
    <xdr:from>
      <xdr:col>0</xdr:col>
      <xdr:colOff>85725</xdr:colOff>
      <xdr:row>0</xdr:row>
      <xdr:rowOff>190500</xdr:rowOff>
    </xdr:from>
    <xdr:to>
      <xdr:col>1</xdr:col>
      <xdr:colOff>171600</xdr:colOff>
      <xdr:row>0</xdr:row>
      <xdr:rowOff>515965</xdr:rowOff>
    </xdr:to>
    <xdr:grpSp>
      <xdr:nvGrpSpPr>
        <xdr:cNvPr id="19" name="Gruppieren 53">
          <a:hlinkClick xmlns:r="http://schemas.openxmlformats.org/officeDocument/2006/relationships" r:id="rId4" tooltip="back"/>
          <a:extLst>
            <a:ext uri="{FF2B5EF4-FFF2-40B4-BE49-F238E27FC236}">
              <a16:creationId xmlns:a16="http://schemas.microsoft.com/office/drawing/2014/main" id="{00000000-0008-0000-0D00-000013000000}"/>
            </a:ext>
          </a:extLst>
        </xdr:cNvPr>
        <xdr:cNvGrpSpPr/>
      </xdr:nvGrpSpPr>
      <xdr:grpSpPr>
        <a:xfrm>
          <a:off x="85725" y="190500"/>
          <a:ext cx="329715" cy="325465"/>
          <a:chOff x="9191625" y="3009900"/>
          <a:chExt cx="324000" cy="325465"/>
        </a:xfrm>
      </xdr:grpSpPr>
      <xdr:sp macro="" textlink="">
        <xdr:nvSpPr>
          <xdr:cNvPr id="20" name="Rechteck 57">
            <a:extLst>
              <a:ext uri="{FF2B5EF4-FFF2-40B4-BE49-F238E27FC236}">
                <a16:creationId xmlns:a16="http://schemas.microsoft.com/office/drawing/2014/main" id="{00000000-0008-0000-0D00-000014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1" name="Pfeil nach links 58">
            <a:extLst>
              <a:ext uri="{FF2B5EF4-FFF2-40B4-BE49-F238E27FC236}">
                <a16:creationId xmlns:a16="http://schemas.microsoft.com/office/drawing/2014/main" id="{00000000-0008-0000-0D00-000015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4</xdr:col>
      <xdr:colOff>1885950</xdr:colOff>
      <xdr:row>0</xdr:row>
      <xdr:rowOff>161925</xdr:rowOff>
    </xdr:from>
    <xdr:to>
      <xdr:col>7</xdr:col>
      <xdr:colOff>1001691</xdr:colOff>
      <xdr:row>0</xdr:row>
      <xdr:rowOff>517725</xdr:rowOff>
    </xdr:to>
    <xdr:grpSp>
      <xdr:nvGrpSpPr>
        <xdr:cNvPr id="18" name="Gruppieren 17">
          <a:extLst>
            <a:ext uri="{FF2B5EF4-FFF2-40B4-BE49-F238E27FC236}">
              <a16:creationId xmlns:a16="http://schemas.microsoft.com/office/drawing/2014/main" id="{00000000-0008-0000-0D00-000012000000}"/>
            </a:ext>
          </a:extLst>
        </xdr:cNvPr>
        <xdr:cNvGrpSpPr/>
      </xdr:nvGrpSpPr>
      <xdr:grpSpPr>
        <a:xfrm>
          <a:off x="4537710" y="161925"/>
          <a:ext cx="5028861" cy="355800"/>
          <a:chOff x="11239501" y="1990725"/>
          <a:chExt cx="4859316" cy="355800"/>
        </a:xfrm>
      </xdr:grpSpPr>
      <xdr:sp macro="" textlink="">
        <xdr:nvSpPr>
          <xdr:cNvPr id="22" name="Rechteck: obere Ecken abgerundet 13">
            <a:hlinkClick xmlns:r="http://schemas.openxmlformats.org/officeDocument/2006/relationships" r:id="rId5" tooltip="Go to"/>
            <a:extLst>
              <a:ext uri="{FF2B5EF4-FFF2-40B4-BE49-F238E27FC236}">
                <a16:creationId xmlns:a16="http://schemas.microsoft.com/office/drawing/2014/main" id="{00000000-0008-0000-0D00-000016000000}"/>
              </a:ext>
            </a:extLst>
          </xdr:cNvPr>
          <xdr:cNvSpPr/>
        </xdr:nvSpPr>
        <xdr:spPr>
          <a:xfrm>
            <a:off x="11239501" y="1990725"/>
            <a:ext cx="1178640"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sp macro="" textlink="' '!A42">
        <xdr:nvSpPr>
          <xdr:cNvPr id="23" name="Rechteck: obere Ecken abgerundet 14">
            <a:hlinkClick xmlns:r="http://schemas.openxmlformats.org/officeDocument/2006/relationships" r:id="rId6" tooltip="Go to"/>
            <a:extLst>
              <a:ext uri="{FF2B5EF4-FFF2-40B4-BE49-F238E27FC236}">
                <a16:creationId xmlns:a16="http://schemas.microsoft.com/office/drawing/2014/main" id="{00000000-0008-0000-0D00-000017000000}"/>
              </a:ext>
            </a:extLst>
          </xdr:cNvPr>
          <xdr:cNvSpPr/>
        </xdr:nvSpPr>
        <xdr:spPr>
          <a:xfrm>
            <a:off x="12461921"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99">
        <xdr:nvSpPr>
          <xdr:cNvPr id="24" name="Rechteck: obere Ecken abgerundet 15">
            <a:hlinkClick xmlns:r="http://schemas.openxmlformats.org/officeDocument/2006/relationships" r:id="rId7" tooltip="Go to"/>
            <a:extLst>
              <a:ext uri="{FF2B5EF4-FFF2-40B4-BE49-F238E27FC236}">
                <a16:creationId xmlns:a16="http://schemas.microsoft.com/office/drawing/2014/main" id="{00000000-0008-0000-0D00-000018000000}"/>
              </a:ext>
            </a:extLst>
          </xdr:cNvPr>
          <xdr:cNvSpPr/>
        </xdr:nvSpPr>
        <xdr:spPr>
          <a:xfrm>
            <a:off x="13688813"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25" name="Rechteck: obere Ecken abgerundet 14">
            <a:hlinkClick xmlns:r="http://schemas.openxmlformats.org/officeDocument/2006/relationships" r:id="rId8" tooltip="Go to"/>
            <a:extLst>
              <a:ext uri="{FF2B5EF4-FFF2-40B4-BE49-F238E27FC236}">
                <a16:creationId xmlns:a16="http://schemas.microsoft.com/office/drawing/2014/main" id="{00000000-0008-0000-0D00-000019000000}"/>
              </a:ext>
            </a:extLst>
          </xdr:cNvPr>
          <xdr:cNvSpPr/>
        </xdr:nvSpPr>
        <xdr:spPr>
          <a:xfrm>
            <a:off x="14915705"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fPrintsWithSheet="0"/>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1533525</xdr:colOff>
          <xdr:row>0</xdr:row>
          <xdr:rowOff>19050</xdr:rowOff>
        </xdr:from>
        <xdr:to>
          <xdr:col>16</xdr:col>
          <xdr:colOff>295274</xdr:colOff>
          <xdr:row>0</xdr:row>
          <xdr:rowOff>552450</xdr:rowOff>
        </xdr:to>
        <xdr:pic>
          <xdr:nvPicPr>
            <xdr:cNvPr id="30" name="Grafik 29">
              <a:extLst>
                <a:ext uri="{FF2B5EF4-FFF2-40B4-BE49-F238E27FC236}">
                  <a16:creationId xmlns:a16="http://schemas.microsoft.com/office/drawing/2014/main" id="{00000000-0008-0000-0E00-00001E000000}"/>
                </a:ext>
              </a:extLst>
            </xdr:cNvPr>
            <xdr:cNvPicPr>
              <a:picLocks noChangeAspect="1" noChangeArrowheads="1"/>
              <a:extLst>
                <a:ext uri="{84589F7E-364E-4C9E-8A38-B11213B215E9}">
                  <a14:cameraTool cellRange="Logo!$D$6" spid="_x0000_s223930"/>
                </a:ext>
              </a:extLst>
            </xdr:cNvPicPr>
          </xdr:nvPicPr>
          <xdr:blipFill>
            <a:blip xmlns:r="http://schemas.openxmlformats.org/officeDocument/2006/relationships" r:embed="rId1"/>
            <a:srcRect/>
            <a:stretch>
              <a:fillRect/>
            </a:stretch>
          </xdr:blipFill>
          <xdr:spPr bwMode="auto">
            <a:xfrm>
              <a:off x="8324850" y="19050"/>
              <a:ext cx="2171700" cy="533400"/>
            </a:xfrm>
            <a:prstGeom prst="rect">
              <a:avLst/>
            </a:prstGeom>
            <a:solidFill>
              <a:schemeClr val="bg1"/>
            </a:solidFill>
            <a:ln w="9525">
              <a:noFill/>
              <a:miter lim="800000"/>
              <a:headEnd/>
              <a:tailEnd/>
            </a:ln>
          </xdr:spPr>
        </xdr:pic>
        <xdr:clientData/>
      </xdr:twoCellAnchor>
    </mc:Choice>
    <mc:Fallback/>
  </mc:AlternateContent>
  <xdr:twoCellAnchor editAs="oneCell">
    <xdr:from>
      <xdr:col>16</xdr:col>
      <xdr:colOff>38100</xdr:colOff>
      <xdr:row>2</xdr:row>
      <xdr:rowOff>61912</xdr:rowOff>
    </xdr:from>
    <xdr:to>
      <xdr:col>16</xdr:col>
      <xdr:colOff>218100</xdr:colOff>
      <xdr:row>3</xdr:row>
      <xdr:rowOff>51412</xdr:rowOff>
    </xdr:to>
    <xdr:grpSp>
      <xdr:nvGrpSpPr>
        <xdr:cNvPr id="38" name="Gruppieren 47">
          <a:hlinkClick xmlns:r="http://schemas.openxmlformats.org/officeDocument/2006/relationships" r:id="rId2" tooltip="Help"/>
          <a:extLst>
            <a:ext uri="{FF2B5EF4-FFF2-40B4-BE49-F238E27FC236}">
              <a16:creationId xmlns:a16="http://schemas.microsoft.com/office/drawing/2014/main" id="{00000000-0008-0000-0E00-000026000000}"/>
            </a:ext>
          </a:extLst>
        </xdr:cNvPr>
        <xdr:cNvGrpSpPr>
          <a:grpSpLocks noChangeAspect="1"/>
        </xdr:cNvGrpSpPr>
      </xdr:nvGrpSpPr>
      <xdr:grpSpPr>
        <a:xfrm>
          <a:off x="10370820" y="633412"/>
          <a:ext cx="180000" cy="180000"/>
          <a:chOff x="8105775" y="571500"/>
          <a:chExt cx="172800" cy="172800"/>
        </a:xfrm>
      </xdr:grpSpPr>
      <xdr:sp macro="" textlink="">
        <xdr:nvSpPr>
          <xdr:cNvPr id="39" name="Rechteck 48">
            <a:extLst>
              <a:ext uri="{FF2B5EF4-FFF2-40B4-BE49-F238E27FC236}">
                <a16:creationId xmlns:a16="http://schemas.microsoft.com/office/drawing/2014/main" id="{00000000-0008-0000-0E00-00002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Textfeld 49">
            <a:extLst>
              <a:ext uri="{FF2B5EF4-FFF2-40B4-BE49-F238E27FC236}">
                <a16:creationId xmlns:a16="http://schemas.microsoft.com/office/drawing/2014/main" id="{00000000-0008-0000-0E00-00002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2</xdr:col>
      <xdr:colOff>1471612</xdr:colOff>
      <xdr:row>46</xdr:row>
      <xdr:rowOff>95250</xdr:rowOff>
    </xdr:from>
    <xdr:to>
      <xdr:col>15</xdr:col>
      <xdr:colOff>1973575</xdr:colOff>
      <xdr:row>79</xdr:row>
      <xdr:rowOff>128587</xdr:rowOff>
    </xdr:to>
    <xdr:graphicFrame macro="">
      <xdr:nvGraphicFramePr>
        <xdr:cNvPr id="9" name="Diagramm 2">
          <a:extLst>
            <a:ext uri="{FF2B5EF4-FFF2-40B4-BE49-F238E27FC236}">
              <a16:creationId xmlns:a16="http://schemas.microsoft.com/office/drawing/2014/main" id="{00000000-0008-0000-0E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15</xdr:col>
      <xdr:colOff>2987040</xdr:colOff>
      <xdr:row>2</xdr:row>
      <xdr:rowOff>53340</xdr:rowOff>
    </xdr:from>
    <xdr:to>
      <xdr:col>15</xdr:col>
      <xdr:colOff>3176707</xdr:colOff>
      <xdr:row>3</xdr:row>
      <xdr:rowOff>42840</xdr:rowOff>
    </xdr:to>
    <xdr:sp macro="[0]!Register_ein" textlink="">
      <xdr:nvSpPr>
        <xdr:cNvPr id="15" name="Rechteck 78">
          <a:extLst>
            <a:ext uri="{FF2B5EF4-FFF2-40B4-BE49-F238E27FC236}">
              <a16:creationId xmlns:a16="http://schemas.microsoft.com/office/drawing/2014/main" id="{00000000-0008-0000-0E00-00000F000000}"/>
            </a:ext>
          </a:extLst>
        </xdr:cNvPr>
        <xdr:cNvSpPr>
          <a:spLocks noChangeAspect="1"/>
        </xdr:cNvSpPr>
      </xdr:nvSpPr>
      <xdr:spPr>
        <a:xfrm>
          <a:off x="9753600" y="62484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absolute">
    <xdr:from>
      <xdr:col>15</xdr:col>
      <xdr:colOff>3216592</xdr:colOff>
      <xdr:row>2</xdr:row>
      <xdr:rowOff>53340</xdr:rowOff>
    </xdr:from>
    <xdr:to>
      <xdr:col>15</xdr:col>
      <xdr:colOff>3396592</xdr:colOff>
      <xdr:row>3</xdr:row>
      <xdr:rowOff>42840</xdr:rowOff>
    </xdr:to>
    <xdr:sp macro="[0]!Register_aus" textlink="">
      <xdr:nvSpPr>
        <xdr:cNvPr id="16" name="Rechteck 84">
          <a:extLst>
            <a:ext uri="{FF2B5EF4-FFF2-40B4-BE49-F238E27FC236}">
              <a16:creationId xmlns:a16="http://schemas.microsoft.com/office/drawing/2014/main" id="{00000000-0008-0000-0E00-000010000000}"/>
            </a:ext>
          </a:extLst>
        </xdr:cNvPr>
        <xdr:cNvSpPr>
          <a:spLocks/>
        </xdr:cNvSpPr>
      </xdr:nvSpPr>
      <xdr:spPr>
        <a:xfrm>
          <a:off x="9983152" y="624840"/>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oneCell">
    <xdr:from>
      <xdr:col>0</xdr:col>
      <xdr:colOff>66675</xdr:colOff>
      <xdr:row>0</xdr:row>
      <xdr:rowOff>200025</xdr:rowOff>
    </xdr:from>
    <xdr:to>
      <xdr:col>0</xdr:col>
      <xdr:colOff>390675</xdr:colOff>
      <xdr:row>0</xdr:row>
      <xdr:rowOff>525490</xdr:rowOff>
    </xdr:to>
    <xdr:grpSp>
      <xdr:nvGrpSpPr>
        <xdr:cNvPr id="20" name="Gruppieren 53">
          <a:hlinkClick xmlns:r="http://schemas.openxmlformats.org/officeDocument/2006/relationships" r:id="rId4" tooltip="back"/>
          <a:extLst>
            <a:ext uri="{FF2B5EF4-FFF2-40B4-BE49-F238E27FC236}">
              <a16:creationId xmlns:a16="http://schemas.microsoft.com/office/drawing/2014/main" id="{00000000-0008-0000-0E00-000014000000}"/>
            </a:ext>
          </a:extLst>
        </xdr:cNvPr>
        <xdr:cNvGrpSpPr/>
      </xdr:nvGrpSpPr>
      <xdr:grpSpPr>
        <a:xfrm>
          <a:off x="66675" y="200025"/>
          <a:ext cx="324000" cy="325465"/>
          <a:chOff x="9191625" y="3009900"/>
          <a:chExt cx="324000" cy="325465"/>
        </a:xfrm>
      </xdr:grpSpPr>
      <xdr:sp macro="" textlink="">
        <xdr:nvSpPr>
          <xdr:cNvPr id="21" name="Rechteck 57">
            <a:extLst>
              <a:ext uri="{FF2B5EF4-FFF2-40B4-BE49-F238E27FC236}">
                <a16:creationId xmlns:a16="http://schemas.microsoft.com/office/drawing/2014/main" id="{00000000-0008-0000-0E00-000015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links 58">
            <a:extLst>
              <a:ext uri="{FF2B5EF4-FFF2-40B4-BE49-F238E27FC236}">
                <a16:creationId xmlns:a16="http://schemas.microsoft.com/office/drawing/2014/main" id="{00000000-0008-0000-0E00-000016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2</xdr:col>
      <xdr:colOff>2800350</xdr:colOff>
      <xdr:row>0</xdr:row>
      <xdr:rowOff>152400</xdr:rowOff>
    </xdr:from>
    <xdr:to>
      <xdr:col>15</xdr:col>
      <xdr:colOff>1773216</xdr:colOff>
      <xdr:row>0</xdr:row>
      <xdr:rowOff>508200</xdr:rowOff>
    </xdr:to>
    <xdr:grpSp>
      <xdr:nvGrpSpPr>
        <xdr:cNvPr id="17" name="Gruppieren 16">
          <a:extLst>
            <a:ext uri="{FF2B5EF4-FFF2-40B4-BE49-F238E27FC236}">
              <a16:creationId xmlns:a16="http://schemas.microsoft.com/office/drawing/2014/main" id="{00000000-0008-0000-0E00-000011000000}"/>
            </a:ext>
          </a:extLst>
        </xdr:cNvPr>
        <xdr:cNvGrpSpPr/>
      </xdr:nvGrpSpPr>
      <xdr:grpSpPr>
        <a:xfrm>
          <a:off x="3554730" y="152400"/>
          <a:ext cx="5046006" cy="355800"/>
          <a:chOff x="11239501" y="1990725"/>
          <a:chExt cx="4859316" cy="355800"/>
        </a:xfrm>
      </xdr:grpSpPr>
      <xdr:sp macro="" textlink="">
        <xdr:nvSpPr>
          <xdr:cNvPr id="18" name="Rechteck: obere Ecken abgerundet 13">
            <a:hlinkClick xmlns:r="http://schemas.openxmlformats.org/officeDocument/2006/relationships" r:id="rId5" tooltip="Go to"/>
            <a:extLst>
              <a:ext uri="{FF2B5EF4-FFF2-40B4-BE49-F238E27FC236}">
                <a16:creationId xmlns:a16="http://schemas.microsoft.com/office/drawing/2014/main" id="{00000000-0008-0000-0E00-000012000000}"/>
              </a:ext>
            </a:extLst>
          </xdr:cNvPr>
          <xdr:cNvSpPr/>
        </xdr:nvSpPr>
        <xdr:spPr>
          <a:xfrm>
            <a:off x="11239501" y="1990725"/>
            <a:ext cx="1178640"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sp macro="" textlink="' '!A42">
        <xdr:nvSpPr>
          <xdr:cNvPr id="19" name="Rechteck: obere Ecken abgerundet 14">
            <a:hlinkClick xmlns:r="http://schemas.openxmlformats.org/officeDocument/2006/relationships" r:id="rId6" tooltip="Go to"/>
            <a:extLst>
              <a:ext uri="{FF2B5EF4-FFF2-40B4-BE49-F238E27FC236}">
                <a16:creationId xmlns:a16="http://schemas.microsoft.com/office/drawing/2014/main" id="{00000000-0008-0000-0E00-000013000000}"/>
              </a:ext>
            </a:extLst>
          </xdr:cNvPr>
          <xdr:cNvSpPr/>
        </xdr:nvSpPr>
        <xdr:spPr>
          <a:xfrm>
            <a:off x="12461921"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99">
        <xdr:nvSpPr>
          <xdr:cNvPr id="23" name="Rechteck: obere Ecken abgerundet 15">
            <a:hlinkClick xmlns:r="http://schemas.openxmlformats.org/officeDocument/2006/relationships" r:id="rId7" tooltip="Go to"/>
            <a:extLst>
              <a:ext uri="{FF2B5EF4-FFF2-40B4-BE49-F238E27FC236}">
                <a16:creationId xmlns:a16="http://schemas.microsoft.com/office/drawing/2014/main" id="{00000000-0008-0000-0E00-000017000000}"/>
              </a:ext>
            </a:extLst>
          </xdr:cNvPr>
          <xdr:cNvSpPr/>
        </xdr:nvSpPr>
        <xdr:spPr>
          <a:xfrm>
            <a:off x="13688813"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24" name="Rechteck: obere Ecken abgerundet 14">
            <a:hlinkClick xmlns:r="http://schemas.openxmlformats.org/officeDocument/2006/relationships" r:id="rId8" tooltip="Go to"/>
            <a:extLst>
              <a:ext uri="{FF2B5EF4-FFF2-40B4-BE49-F238E27FC236}">
                <a16:creationId xmlns:a16="http://schemas.microsoft.com/office/drawing/2014/main" id="{00000000-0008-0000-0E00-000018000000}"/>
              </a:ext>
            </a:extLst>
          </xdr:cNvPr>
          <xdr:cNvSpPr/>
        </xdr:nvSpPr>
        <xdr:spPr>
          <a:xfrm>
            <a:off x="14915705"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fPrintsWithSheet="0"/>
  </xdr:twoCellAnchor>
</xdr:wsDr>
</file>

<file path=xl/drawings/drawing16.xml><?xml version="1.0" encoding="utf-8"?>
<xdr:wsDr xmlns:xdr="http://schemas.openxmlformats.org/drawingml/2006/spreadsheetDrawing" xmlns:a="http://schemas.openxmlformats.org/drawingml/2006/main">
  <xdr:twoCellAnchor editAs="oneCell">
    <xdr:from>
      <xdr:col>4</xdr:col>
      <xdr:colOff>154354</xdr:colOff>
      <xdr:row>39</xdr:row>
      <xdr:rowOff>142457</xdr:rowOff>
    </xdr:from>
    <xdr:to>
      <xdr:col>5</xdr:col>
      <xdr:colOff>1806700</xdr:colOff>
      <xdr:row>48</xdr:row>
      <xdr:rowOff>34232</xdr:rowOff>
    </xdr:to>
    <xdr:sp macro="" textlink="">
      <xdr:nvSpPr>
        <xdr:cNvPr id="2" name="Rechteck 1">
          <a:extLst>
            <a:ext uri="{FF2B5EF4-FFF2-40B4-BE49-F238E27FC236}">
              <a16:creationId xmlns:a16="http://schemas.microsoft.com/office/drawing/2014/main" id="{00000000-0008-0000-0F00-000002000000}"/>
            </a:ext>
          </a:extLst>
        </xdr:cNvPr>
        <xdr:cNvSpPr>
          <a:spLocks noChangeAspect="1"/>
        </xdr:cNvSpPr>
      </xdr:nvSpPr>
      <xdr:spPr>
        <a:xfrm>
          <a:off x="3640504" y="984843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39</xdr:row>
      <xdr:rowOff>142457</xdr:rowOff>
    </xdr:from>
    <xdr:to>
      <xdr:col>4</xdr:col>
      <xdr:colOff>108605</xdr:colOff>
      <xdr:row>48</xdr:row>
      <xdr:rowOff>34232</xdr:rowOff>
    </xdr:to>
    <xdr:sp macro="" textlink="">
      <xdr:nvSpPr>
        <xdr:cNvPr id="3" name="Rechteck 2">
          <a:extLst>
            <a:ext uri="{FF2B5EF4-FFF2-40B4-BE49-F238E27FC236}">
              <a16:creationId xmlns:a16="http://schemas.microsoft.com/office/drawing/2014/main" id="{00000000-0008-0000-0F00-000003000000}"/>
            </a:ext>
          </a:extLst>
        </xdr:cNvPr>
        <xdr:cNvSpPr>
          <a:spLocks noChangeAspect="1"/>
        </xdr:cNvSpPr>
      </xdr:nvSpPr>
      <xdr:spPr>
        <a:xfrm>
          <a:off x="1113734" y="984843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39</xdr:row>
      <xdr:rowOff>142458</xdr:rowOff>
    </xdr:from>
    <xdr:to>
      <xdr:col>8</xdr:col>
      <xdr:colOff>15932</xdr:colOff>
      <xdr:row>48</xdr:row>
      <xdr:rowOff>34233</xdr:rowOff>
    </xdr:to>
    <xdr:sp macro="" textlink="">
      <xdr:nvSpPr>
        <xdr:cNvPr id="4" name="Rechteck 3">
          <a:extLst>
            <a:ext uri="{FF2B5EF4-FFF2-40B4-BE49-F238E27FC236}">
              <a16:creationId xmlns:a16="http://schemas.microsoft.com/office/drawing/2014/main" id="{00000000-0008-0000-0F00-000004000000}"/>
            </a:ext>
          </a:extLst>
        </xdr:cNvPr>
        <xdr:cNvSpPr>
          <a:spLocks noChangeAspect="1"/>
        </xdr:cNvSpPr>
      </xdr:nvSpPr>
      <xdr:spPr>
        <a:xfrm>
          <a:off x="6164561" y="984843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154354</xdr:colOff>
      <xdr:row>30</xdr:row>
      <xdr:rowOff>176003</xdr:rowOff>
    </xdr:from>
    <xdr:to>
      <xdr:col>5</xdr:col>
      <xdr:colOff>1806700</xdr:colOff>
      <xdr:row>39</xdr:row>
      <xdr:rowOff>96353</xdr:rowOff>
    </xdr:to>
    <xdr:sp macro="" textlink="">
      <xdr:nvSpPr>
        <xdr:cNvPr id="5" name="Rechteck 4">
          <a:extLst>
            <a:ext uri="{FF2B5EF4-FFF2-40B4-BE49-F238E27FC236}">
              <a16:creationId xmlns:a16="http://schemas.microsoft.com/office/drawing/2014/main" id="{00000000-0008-0000-0F00-000005000000}"/>
            </a:ext>
          </a:extLst>
        </xdr:cNvPr>
        <xdr:cNvSpPr>
          <a:spLocks noChangeAspect="1"/>
        </xdr:cNvSpPr>
      </xdr:nvSpPr>
      <xdr:spPr>
        <a:xfrm>
          <a:off x="3640504" y="811985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30</xdr:row>
      <xdr:rowOff>176003</xdr:rowOff>
    </xdr:from>
    <xdr:to>
      <xdr:col>4</xdr:col>
      <xdr:colOff>108605</xdr:colOff>
      <xdr:row>39</xdr:row>
      <xdr:rowOff>96353</xdr:rowOff>
    </xdr:to>
    <xdr:sp macro="" textlink="">
      <xdr:nvSpPr>
        <xdr:cNvPr id="6" name="Rechteck 5">
          <a:extLst>
            <a:ext uri="{FF2B5EF4-FFF2-40B4-BE49-F238E27FC236}">
              <a16:creationId xmlns:a16="http://schemas.microsoft.com/office/drawing/2014/main" id="{00000000-0008-0000-0F00-000006000000}"/>
            </a:ext>
          </a:extLst>
        </xdr:cNvPr>
        <xdr:cNvSpPr>
          <a:spLocks noChangeAspect="1"/>
        </xdr:cNvSpPr>
      </xdr:nvSpPr>
      <xdr:spPr>
        <a:xfrm>
          <a:off x="1113734" y="8119853"/>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30</xdr:row>
      <xdr:rowOff>176004</xdr:rowOff>
    </xdr:from>
    <xdr:to>
      <xdr:col>8</xdr:col>
      <xdr:colOff>15932</xdr:colOff>
      <xdr:row>39</xdr:row>
      <xdr:rowOff>96354</xdr:rowOff>
    </xdr:to>
    <xdr:sp macro="" textlink="">
      <xdr:nvSpPr>
        <xdr:cNvPr id="7" name="Rechteck 6">
          <a:extLst>
            <a:ext uri="{FF2B5EF4-FFF2-40B4-BE49-F238E27FC236}">
              <a16:creationId xmlns:a16="http://schemas.microsoft.com/office/drawing/2014/main" id="{00000000-0008-0000-0F00-000007000000}"/>
            </a:ext>
          </a:extLst>
        </xdr:cNvPr>
        <xdr:cNvSpPr>
          <a:spLocks noChangeAspect="1"/>
        </xdr:cNvSpPr>
      </xdr:nvSpPr>
      <xdr:spPr>
        <a:xfrm>
          <a:off x="6164561" y="8119854"/>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154354</xdr:colOff>
      <xdr:row>21</xdr:row>
      <xdr:rowOff>152399</xdr:rowOff>
    </xdr:from>
    <xdr:to>
      <xdr:col>5</xdr:col>
      <xdr:colOff>1806700</xdr:colOff>
      <xdr:row>30</xdr:row>
      <xdr:rowOff>129899</xdr:rowOff>
    </xdr:to>
    <xdr:sp macro="" textlink="">
      <xdr:nvSpPr>
        <xdr:cNvPr id="8" name="Rechteck 7">
          <a:extLst>
            <a:ext uri="{FF2B5EF4-FFF2-40B4-BE49-F238E27FC236}">
              <a16:creationId xmlns:a16="http://schemas.microsoft.com/office/drawing/2014/main" id="{00000000-0008-0000-0F00-000008000000}"/>
            </a:ext>
          </a:extLst>
        </xdr:cNvPr>
        <xdr:cNvSpPr>
          <a:spLocks noChangeAspect="1"/>
        </xdr:cNvSpPr>
      </xdr:nvSpPr>
      <xdr:spPr>
        <a:xfrm>
          <a:off x="3640504" y="6381749"/>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21</xdr:row>
      <xdr:rowOff>152399</xdr:rowOff>
    </xdr:from>
    <xdr:to>
      <xdr:col>4</xdr:col>
      <xdr:colOff>108605</xdr:colOff>
      <xdr:row>30</xdr:row>
      <xdr:rowOff>129899</xdr:rowOff>
    </xdr:to>
    <xdr:sp macro="" textlink="">
      <xdr:nvSpPr>
        <xdr:cNvPr id="9" name="Rechteck 8">
          <a:extLst>
            <a:ext uri="{FF2B5EF4-FFF2-40B4-BE49-F238E27FC236}">
              <a16:creationId xmlns:a16="http://schemas.microsoft.com/office/drawing/2014/main" id="{00000000-0008-0000-0F00-000009000000}"/>
            </a:ext>
          </a:extLst>
        </xdr:cNvPr>
        <xdr:cNvSpPr>
          <a:spLocks noChangeAspect="1"/>
        </xdr:cNvSpPr>
      </xdr:nvSpPr>
      <xdr:spPr>
        <a:xfrm>
          <a:off x="1113734" y="6381749"/>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21</xdr:row>
      <xdr:rowOff>152400</xdr:rowOff>
    </xdr:from>
    <xdr:to>
      <xdr:col>8</xdr:col>
      <xdr:colOff>15932</xdr:colOff>
      <xdr:row>30</xdr:row>
      <xdr:rowOff>129900</xdr:rowOff>
    </xdr:to>
    <xdr:sp macro="" textlink="">
      <xdr:nvSpPr>
        <xdr:cNvPr id="10" name="Rechteck 9">
          <a:extLst>
            <a:ext uri="{FF2B5EF4-FFF2-40B4-BE49-F238E27FC236}">
              <a16:creationId xmlns:a16="http://schemas.microsoft.com/office/drawing/2014/main" id="{00000000-0008-0000-0F00-00000A000000}"/>
            </a:ext>
          </a:extLst>
        </xdr:cNvPr>
        <xdr:cNvSpPr>
          <a:spLocks noChangeAspect="1"/>
        </xdr:cNvSpPr>
      </xdr:nvSpPr>
      <xdr:spPr>
        <a:xfrm>
          <a:off x="6164561" y="6381750"/>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oneCellAnchor>
    <xdr:from>
      <xdr:col>0</xdr:col>
      <xdr:colOff>224264</xdr:colOff>
      <xdr:row>21</xdr:row>
      <xdr:rowOff>142874</xdr:rowOff>
    </xdr:from>
    <xdr:ext cx="342786" cy="5238753"/>
    <xdr:sp macro="" textlink="' '!A256">
      <xdr:nvSpPr>
        <xdr:cNvPr id="11" name="Textfeld 10">
          <a:extLst>
            <a:ext uri="{FF2B5EF4-FFF2-40B4-BE49-F238E27FC236}">
              <a16:creationId xmlns:a16="http://schemas.microsoft.com/office/drawing/2014/main" id="{00000000-0008-0000-0F00-00000B000000}"/>
            </a:ext>
          </a:extLst>
        </xdr:cNvPr>
        <xdr:cNvSpPr txBox="1"/>
      </xdr:nvSpPr>
      <xdr:spPr>
        <a:xfrm rot="16200000">
          <a:off x="-2223720" y="8820208"/>
          <a:ext cx="523875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8938C668-FDF4-4709-9F4E-4BC62E5E8A7F}" type="TxLink">
            <a:rPr lang="en-US" sz="1600" b="1">
              <a:solidFill>
                <a:schemeClr val="tx1"/>
              </a:solidFill>
              <a:latin typeface="+mn-lt"/>
              <a:ea typeface="+mn-ea"/>
              <a:cs typeface="+mn-cs"/>
            </a:rPr>
            <a:pPr marL="0" indent="0" algn="ctr"/>
            <a:t>Probability of occurrence</a:t>
          </a:fld>
          <a:endParaRPr lang="de-CH" sz="1600" b="1">
            <a:solidFill>
              <a:schemeClr val="tx1"/>
            </a:solidFill>
            <a:latin typeface="+mn-lt"/>
            <a:ea typeface="+mn-ea"/>
            <a:cs typeface="+mn-cs"/>
          </a:endParaRPr>
        </a:p>
      </xdr:txBody>
    </xdr:sp>
    <xdr:clientData/>
  </xdr:oneCellAnchor>
  <xdr:oneCellAnchor>
    <xdr:from>
      <xdr:col>2</xdr:col>
      <xdr:colOff>314325</xdr:colOff>
      <xdr:row>51</xdr:row>
      <xdr:rowOff>7284</xdr:rowOff>
    </xdr:from>
    <xdr:ext cx="7591425" cy="342786"/>
    <xdr:sp macro="" textlink="' '!A260">
      <xdr:nvSpPr>
        <xdr:cNvPr id="12" name="Textfeld 11">
          <a:extLst>
            <a:ext uri="{FF2B5EF4-FFF2-40B4-BE49-F238E27FC236}">
              <a16:creationId xmlns:a16="http://schemas.microsoft.com/office/drawing/2014/main" id="{00000000-0008-0000-0F00-00000C000000}"/>
            </a:ext>
          </a:extLst>
        </xdr:cNvPr>
        <xdr:cNvSpPr txBox="1"/>
      </xdr:nvSpPr>
      <xdr:spPr>
        <a:xfrm>
          <a:off x="1085850" y="12094509"/>
          <a:ext cx="759142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03618AF9-8C42-468A-95A4-B583A6746F2C}" type="TxLink">
            <a:rPr lang="de-CH" sz="1600" b="1"/>
            <a:pPr algn="ctr"/>
            <a:t>Extent of damage</a:t>
          </a:fld>
          <a:endParaRPr lang="de-CH" sz="1600" b="1"/>
        </a:p>
      </xdr:txBody>
    </xdr:sp>
    <xdr:clientData/>
  </xdr:oneCellAnchor>
  <xdr:oneCellAnchor>
    <xdr:from>
      <xdr:col>1</xdr:col>
      <xdr:colOff>94498</xdr:colOff>
      <xdr:row>21</xdr:row>
      <xdr:rowOff>152400</xdr:rowOff>
    </xdr:from>
    <xdr:ext cx="311496" cy="933449"/>
    <xdr:sp macro="" textlink="' '!A257">
      <xdr:nvSpPr>
        <xdr:cNvPr id="13" name="Textfeld 12">
          <a:extLst>
            <a:ext uri="{FF2B5EF4-FFF2-40B4-BE49-F238E27FC236}">
              <a16:creationId xmlns:a16="http://schemas.microsoft.com/office/drawing/2014/main" id="{00000000-0008-0000-0F00-00000D000000}"/>
            </a:ext>
          </a:extLst>
        </xdr:cNvPr>
        <xdr:cNvSpPr txBox="1"/>
      </xdr:nvSpPr>
      <xdr:spPr>
        <a:xfrm rot="16200000">
          <a:off x="250246" y="6683202"/>
          <a:ext cx="9334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3AE332D8-05F9-4FCC-B781-7F2F22F00408}" type="TxLink">
            <a:rPr lang="de-CH" sz="1400" b="0"/>
            <a:pPr algn="ctr"/>
            <a:t>High</a:t>
          </a:fld>
          <a:endParaRPr lang="de-CH" sz="1400" b="0"/>
        </a:p>
      </xdr:txBody>
    </xdr:sp>
    <xdr:clientData/>
  </xdr:oneCellAnchor>
  <xdr:oneCellAnchor>
    <xdr:from>
      <xdr:col>1</xdr:col>
      <xdr:colOff>94503</xdr:colOff>
      <xdr:row>43</xdr:row>
      <xdr:rowOff>171450</xdr:rowOff>
    </xdr:from>
    <xdr:ext cx="311496" cy="928649"/>
    <xdr:sp macro="" textlink="' '!A259">
      <xdr:nvSpPr>
        <xdr:cNvPr id="14" name="Textfeld 13">
          <a:extLst>
            <a:ext uri="{FF2B5EF4-FFF2-40B4-BE49-F238E27FC236}">
              <a16:creationId xmlns:a16="http://schemas.microsoft.com/office/drawing/2014/main" id="{00000000-0008-0000-0F00-00000E000000}"/>
            </a:ext>
          </a:extLst>
        </xdr:cNvPr>
        <xdr:cNvSpPr txBox="1"/>
      </xdr:nvSpPr>
      <xdr:spPr>
        <a:xfrm rot="16200000">
          <a:off x="252651" y="10986102"/>
          <a:ext cx="9286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17317CE5-7825-4F86-8608-9DF8479AE7D7}" type="TxLink">
            <a:rPr lang="de-CH" sz="1400" b="0"/>
            <a:pPr algn="ctr"/>
            <a:t>Low</a:t>
          </a:fld>
          <a:endParaRPr lang="de-CH" sz="1400" b="0"/>
        </a:p>
      </xdr:txBody>
    </xdr:sp>
    <xdr:clientData/>
  </xdr:oneCellAnchor>
  <xdr:oneCellAnchor>
    <xdr:from>
      <xdr:col>7</xdr:col>
      <xdr:colOff>409575</xdr:colOff>
      <xdr:row>49</xdr:row>
      <xdr:rowOff>181544</xdr:rowOff>
    </xdr:from>
    <xdr:ext cx="1381124" cy="311496"/>
    <xdr:sp macro="" textlink="' '!A257">
      <xdr:nvSpPr>
        <xdr:cNvPr id="15" name="Textfeld 14">
          <a:extLst>
            <a:ext uri="{FF2B5EF4-FFF2-40B4-BE49-F238E27FC236}">
              <a16:creationId xmlns:a16="http://schemas.microsoft.com/office/drawing/2014/main" id="{00000000-0008-0000-0F00-00000F000000}"/>
            </a:ext>
          </a:extLst>
        </xdr:cNvPr>
        <xdr:cNvSpPr txBox="1"/>
      </xdr:nvSpPr>
      <xdr:spPr>
        <a:xfrm>
          <a:off x="7305675" y="11878244"/>
          <a:ext cx="138112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E1BBA671-C928-4253-89E3-A3DA32859DCF}" type="TxLink">
            <a:rPr lang="de-CH" sz="1400" b="0"/>
            <a:pPr algn="ctr"/>
            <a:t>High</a:t>
          </a:fld>
          <a:endParaRPr lang="de-CH" sz="1400" b="0"/>
        </a:p>
      </xdr:txBody>
    </xdr:sp>
    <xdr:clientData/>
  </xdr:oneCellAnchor>
  <xdr:oneCellAnchor>
    <xdr:from>
      <xdr:col>2</xdr:col>
      <xdr:colOff>295275</xdr:colOff>
      <xdr:row>49</xdr:row>
      <xdr:rowOff>173261</xdr:rowOff>
    </xdr:from>
    <xdr:ext cx="1381125" cy="311496"/>
    <xdr:sp macro="" textlink="' '!A259">
      <xdr:nvSpPr>
        <xdr:cNvPr id="16" name="Textfeld 15">
          <a:extLst>
            <a:ext uri="{FF2B5EF4-FFF2-40B4-BE49-F238E27FC236}">
              <a16:creationId xmlns:a16="http://schemas.microsoft.com/office/drawing/2014/main" id="{00000000-0008-0000-0F00-000010000000}"/>
            </a:ext>
          </a:extLst>
        </xdr:cNvPr>
        <xdr:cNvSpPr txBox="1"/>
      </xdr:nvSpPr>
      <xdr:spPr>
        <a:xfrm>
          <a:off x="1066800" y="11869961"/>
          <a:ext cx="13811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6324AD4F-A8C3-4FAC-AF11-9BB982D91597}" type="TxLink">
            <a:rPr lang="de-CH" sz="1400" b="0"/>
            <a:pPr algn="ctr"/>
            <a:t>Low</a:t>
          </a:fld>
          <a:endParaRPr lang="de-CH" sz="1400" b="0"/>
        </a:p>
      </xdr:txBody>
    </xdr:sp>
    <xdr:clientData/>
  </xdr:oneCellAnchor>
  <xdr:oneCellAnchor>
    <xdr:from>
      <xdr:col>4</xdr:col>
      <xdr:colOff>361950</xdr:colOff>
      <xdr:row>49</xdr:row>
      <xdr:rowOff>124394</xdr:rowOff>
    </xdr:from>
    <xdr:ext cx="2057400" cy="311496"/>
    <xdr:sp macro="" textlink="' '!A258">
      <xdr:nvSpPr>
        <xdr:cNvPr id="17" name="Textfeld 16">
          <a:extLst>
            <a:ext uri="{FF2B5EF4-FFF2-40B4-BE49-F238E27FC236}">
              <a16:creationId xmlns:a16="http://schemas.microsoft.com/office/drawing/2014/main" id="{00000000-0008-0000-0F00-000011000000}"/>
            </a:ext>
          </a:extLst>
        </xdr:cNvPr>
        <xdr:cNvSpPr txBox="1"/>
      </xdr:nvSpPr>
      <xdr:spPr>
        <a:xfrm>
          <a:off x="3848100" y="11830619"/>
          <a:ext cx="20574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B34A66A4-D6AE-4D7D-A57D-681E024B6386}" type="TxLink">
            <a:rPr lang="de-CH" sz="1400" b="0"/>
            <a:pPr algn="ctr"/>
            <a:t>Medium</a:t>
          </a:fld>
          <a:endParaRPr lang="de-CH" sz="1400" b="0"/>
        </a:p>
      </xdr:txBody>
    </xdr:sp>
    <xdr:clientData/>
  </xdr:oneCellAnchor>
  <xdr:oneCellAnchor>
    <xdr:from>
      <xdr:col>1</xdr:col>
      <xdr:colOff>94505</xdr:colOff>
      <xdr:row>31</xdr:row>
      <xdr:rowOff>133350</xdr:rowOff>
    </xdr:from>
    <xdr:ext cx="311496" cy="1466850"/>
    <xdr:sp macro="" textlink="' '!A258">
      <xdr:nvSpPr>
        <xdr:cNvPr id="18" name="Textfeld 17">
          <a:extLst>
            <a:ext uri="{FF2B5EF4-FFF2-40B4-BE49-F238E27FC236}">
              <a16:creationId xmlns:a16="http://schemas.microsoft.com/office/drawing/2014/main" id="{00000000-0008-0000-0F00-000012000000}"/>
            </a:ext>
          </a:extLst>
        </xdr:cNvPr>
        <xdr:cNvSpPr txBox="1"/>
      </xdr:nvSpPr>
      <xdr:spPr>
        <a:xfrm rot="16200000">
          <a:off x="-16447" y="8835852"/>
          <a:ext cx="14668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CB8EE676-4CC4-480C-8324-D2E3687DE879}" type="TxLink">
            <a:rPr lang="de-CH" sz="1400" b="0"/>
            <a:pPr algn="ctr"/>
            <a:t>Medium</a:t>
          </a:fld>
          <a:endParaRPr lang="de-CH" sz="1400" b="0"/>
        </a:p>
      </xdr:txBody>
    </xdr:sp>
    <xdr:clientData/>
  </xdr:oneCellAnchor>
  <xdr:twoCellAnchor editAs="oneCell">
    <xdr:from>
      <xdr:col>33</xdr:col>
      <xdr:colOff>750083</xdr:colOff>
      <xdr:row>15</xdr:row>
      <xdr:rowOff>114800</xdr:rowOff>
    </xdr:from>
    <xdr:to>
      <xdr:col>37</xdr:col>
      <xdr:colOff>98653</xdr:colOff>
      <xdr:row>22</xdr:row>
      <xdr:rowOff>3611</xdr:rowOff>
    </xdr:to>
    <xdr:grpSp>
      <xdr:nvGrpSpPr>
        <xdr:cNvPr id="19" name="Gruppieren 18">
          <a:extLst>
            <a:ext uri="{FF2B5EF4-FFF2-40B4-BE49-F238E27FC236}">
              <a16:creationId xmlns:a16="http://schemas.microsoft.com/office/drawing/2014/main" id="{00000000-0008-0000-0F00-000013000000}"/>
            </a:ext>
          </a:extLst>
        </xdr:cNvPr>
        <xdr:cNvGrpSpPr/>
      </xdr:nvGrpSpPr>
      <xdr:grpSpPr>
        <a:xfrm rot="16200000">
          <a:off x="25831702" y="4271121"/>
          <a:ext cx="1626171" cy="2792810"/>
          <a:chOff x="5291649" y="3738354"/>
          <a:chExt cx="2006432" cy="999921"/>
        </a:xfrm>
      </xdr:grpSpPr>
      <xdr:sp macro="" textlink="">
        <xdr:nvSpPr>
          <xdr:cNvPr id="20" name="Rechteck 19">
            <a:extLst>
              <a:ext uri="{FF2B5EF4-FFF2-40B4-BE49-F238E27FC236}">
                <a16:creationId xmlns:a16="http://schemas.microsoft.com/office/drawing/2014/main" id="{00000000-0008-0000-0F00-000014000000}"/>
              </a:ext>
            </a:extLst>
          </xdr:cNvPr>
          <xdr:cNvSpPr>
            <a:spLocks noChangeAspect="1"/>
          </xdr:cNvSpPr>
        </xdr:nvSpPr>
        <xdr:spPr>
          <a:xfrm>
            <a:off x="5419727" y="3738354"/>
            <a:ext cx="250562" cy="25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1" name="Rechteck 20">
            <a:extLst>
              <a:ext uri="{FF2B5EF4-FFF2-40B4-BE49-F238E27FC236}">
                <a16:creationId xmlns:a16="http://schemas.microsoft.com/office/drawing/2014/main" id="{00000000-0008-0000-0F00-000015000000}"/>
              </a:ext>
            </a:extLst>
          </xdr:cNvPr>
          <xdr:cNvSpPr>
            <a:spLocks noChangeAspect="1"/>
          </xdr:cNvSpPr>
        </xdr:nvSpPr>
        <xdr:spPr>
          <a:xfrm>
            <a:off x="5420199" y="4486275"/>
            <a:ext cx="250562" cy="25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2" name="Rechteck 21">
            <a:extLst>
              <a:ext uri="{FF2B5EF4-FFF2-40B4-BE49-F238E27FC236}">
                <a16:creationId xmlns:a16="http://schemas.microsoft.com/office/drawing/2014/main" id="{00000000-0008-0000-0F00-000016000000}"/>
              </a:ext>
            </a:extLst>
          </xdr:cNvPr>
          <xdr:cNvSpPr>
            <a:spLocks noChangeAspect="1"/>
          </xdr:cNvSpPr>
        </xdr:nvSpPr>
        <xdr:spPr>
          <a:xfrm>
            <a:off x="5419727" y="4105275"/>
            <a:ext cx="250562" cy="25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3" name="Textfeld 22">
            <a:extLst>
              <a:ext uri="{FF2B5EF4-FFF2-40B4-BE49-F238E27FC236}">
                <a16:creationId xmlns:a16="http://schemas.microsoft.com/office/drawing/2014/main" id="{00000000-0008-0000-0F00-000017000000}"/>
              </a:ext>
            </a:extLst>
          </xdr:cNvPr>
          <xdr:cNvSpPr txBox="1"/>
        </xdr:nvSpPr>
        <xdr:spPr>
          <a:xfrm>
            <a:off x="5291649" y="3831028"/>
            <a:ext cx="2006432"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2455219B-7CCB-479F-8EBB-53EB1B59C06C}" type="TxLink">
              <a:rPr lang="de-CH" sz="1100"/>
              <a:pPr/>
              <a:t>Aucune action nécessaire</a:t>
            </a:fld>
            <a:endParaRPr lang="de-CH" sz="1100"/>
          </a:p>
        </xdr:txBody>
      </xdr:sp>
      <xdr:sp macro="" textlink="">
        <xdr:nvSpPr>
          <xdr:cNvPr id="24" name="Textfeld 23">
            <a:extLst>
              <a:ext uri="{FF2B5EF4-FFF2-40B4-BE49-F238E27FC236}">
                <a16:creationId xmlns:a16="http://schemas.microsoft.com/office/drawing/2014/main" id="{00000000-0008-0000-0F00-000018000000}"/>
              </a:ext>
            </a:extLst>
          </xdr:cNvPr>
          <xdr:cNvSpPr txBox="1"/>
        </xdr:nvSpPr>
        <xdr:spPr>
          <a:xfrm>
            <a:off x="5468530" y="4192990"/>
            <a:ext cx="1454329"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38C86722-4BE2-4C64-8837-096B9A69CBF6}" type="TxLink">
              <a:rPr lang="de-CH" sz="1100"/>
              <a:pPr/>
              <a:t>Action nécessaire</a:t>
            </a:fld>
            <a:endParaRPr lang="de-CH" sz="1100"/>
          </a:p>
        </xdr:txBody>
      </xdr:sp>
      <xdr:sp macro="" textlink="">
        <xdr:nvSpPr>
          <xdr:cNvPr id="25" name="Textfeld 24">
            <a:extLst>
              <a:ext uri="{FF2B5EF4-FFF2-40B4-BE49-F238E27FC236}">
                <a16:creationId xmlns:a16="http://schemas.microsoft.com/office/drawing/2014/main" id="{00000000-0008-0000-0F00-000019000000}"/>
              </a:ext>
            </a:extLst>
          </xdr:cNvPr>
          <xdr:cNvSpPr txBox="1"/>
        </xdr:nvSpPr>
        <xdr:spPr>
          <a:xfrm>
            <a:off x="5703126" y="4573990"/>
            <a:ext cx="1268177"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0B08217B-D988-41BF-ACA6-265C229D1F55}" type="TxLink">
              <a:rPr lang="de-CH" sz="1100"/>
              <a:pPr/>
              <a:t>Action urgente</a:t>
            </a:fld>
            <a:endParaRPr lang="de-CH" sz="1100"/>
          </a:p>
        </xdr:txBody>
      </xdr:sp>
    </xdr:grpSp>
    <xdr:clientData/>
  </xdr:twoCellAnchor>
  <xdr:twoCellAnchor editAs="oneCell">
    <xdr:from>
      <xdr:col>0</xdr:col>
      <xdr:colOff>85725</xdr:colOff>
      <xdr:row>51</xdr:row>
      <xdr:rowOff>57150</xdr:rowOff>
    </xdr:from>
    <xdr:to>
      <xdr:col>0</xdr:col>
      <xdr:colOff>409725</xdr:colOff>
      <xdr:row>53</xdr:row>
      <xdr:rowOff>1615</xdr:rowOff>
    </xdr:to>
    <xdr:grpSp>
      <xdr:nvGrpSpPr>
        <xdr:cNvPr id="35" name="Gruppieren 34">
          <a:hlinkClick xmlns:r="http://schemas.openxmlformats.org/officeDocument/2006/relationships" r:id="rId1" tooltip="to top"/>
          <a:extLst>
            <a:ext uri="{FF2B5EF4-FFF2-40B4-BE49-F238E27FC236}">
              <a16:creationId xmlns:a16="http://schemas.microsoft.com/office/drawing/2014/main" id="{00000000-0008-0000-0F00-000023000000}"/>
            </a:ext>
          </a:extLst>
        </xdr:cNvPr>
        <xdr:cNvGrpSpPr/>
      </xdr:nvGrpSpPr>
      <xdr:grpSpPr>
        <a:xfrm>
          <a:off x="85725" y="12066270"/>
          <a:ext cx="324000" cy="310225"/>
          <a:chOff x="66675" y="4972050"/>
          <a:chExt cx="324000" cy="325465"/>
        </a:xfrm>
      </xdr:grpSpPr>
      <xdr:sp macro="" textlink="">
        <xdr:nvSpPr>
          <xdr:cNvPr id="36" name="Rechteck 35">
            <a:extLst>
              <a:ext uri="{FF2B5EF4-FFF2-40B4-BE49-F238E27FC236}">
                <a16:creationId xmlns:a16="http://schemas.microsoft.com/office/drawing/2014/main" id="{00000000-0008-0000-0F00-00002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7" name="Pfeil nach oben 36">
            <a:extLst>
              <a:ext uri="{FF2B5EF4-FFF2-40B4-BE49-F238E27FC236}">
                <a16:creationId xmlns:a16="http://schemas.microsoft.com/office/drawing/2014/main" id="{00000000-0008-0000-0F00-00002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3</xdr:row>
      <xdr:rowOff>0</xdr:rowOff>
    </xdr:from>
    <xdr:to>
      <xdr:col>0</xdr:col>
      <xdr:colOff>381150</xdr:colOff>
      <xdr:row>3</xdr:row>
      <xdr:rowOff>325465</xdr:rowOff>
    </xdr:to>
    <xdr:grpSp>
      <xdr:nvGrpSpPr>
        <xdr:cNvPr id="38" name="Gruppieren 37">
          <a:hlinkClick xmlns:r="http://schemas.openxmlformats.org/officeDocument/2006/relationships" r:id="rId2" tooltip="Graphic"/>
          <a:extLst>
            <a:ext uri="{FF2B5EF4-FFF2-40B4-BE49-F238E27FC236}">
              <a16:creationId xmlns:a16="http://schemas.microsoft.com/office/drawing/2014/main" id="{00000000-0008-0000-0F00-000026000000}"/>
            </a:ext>
          </a:extLst>
        </xdr:cNvPr>
        <xdr:cNvGrpSpPr/>
      </xdr:nvGrpSpPr>
      <xdr:grpSpPr>
        <a:xfrm>
          <a:off x="57150" y="1013460"/>
          <a:ext cx="324000" cy="325465"/>
          <a:chOff x="12382500" y="2152650"/>
          <a:chExt cx="324000" cy="325465"/>
        </a:xfrm>
      </xdr:grpSpPr>
      <xdr:sp macro="" textlink="">
        <xdr:nvSpPr>
          <xdr:cNvPr id="39" name="Rechteck 38">
            <a:extLst>
              <a:ext uri="{FF2B5EF4-FFF2-40B4-BE49-F238E27FC236}">
                <a16:creationId xmlns:a16="http://schemas.microsoft.com/office/drawing/2014/main" id="{00000000-0008-0000-0F00-000027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0" name="Grafik 39">
            <a:extLst>
              <a:ext uri="{FF2B5EF4-FFF2-40B4-BE49-F238E27FC236}">
                <a16:creationId xmlns:a16="http://schemas.microsoft.com/office/drawing/2014/main" id="{00000000-0008-0000-0F00-000028000000}"/>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190499</xdr:colOff>
      <xdr:row>20</xdr:row>
      <xdr:rowOff>171450</xdr:rowOff>
    </xdr:from>
    <xdr:to>
      <xdr:col>11</xdr:col>
      <xdr:colOff>173935</xdr:colOff>
      <xdr:row>50</xdr:row>
      <xdr:rowOff>38098</xdr:rowOff>
    </xdr:to>
    <xdr:graphicFrame macro="">
      <xdr:nvGraphicFramePr>
        <xdr:cNvPr id="26" name="Diagramm 25">
          <a:extLst>
            <a:ext uri="{FF2B5EF4-FFF2-40B4-BE49-F238E27FC236}">
              <a16:creationId xmlns:a16="http://schemas.microsoft.com/office/drawing/2014/main" id="{00000000-0008-0000-0F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editAs="oneCell">
        <xdr:from>
          <xdr:col>7</xdr:col>
          <xdr:colOff>28575</xdr:colOff>
          <xdr:row>0</xdr:row>
          <xdr:rowOff>19050</xdr:rowOff>
        </xdr:from>
        <xdr:to>
          <xdr:col>9</xdr:col>
          <xdr:colOff>0</xdr:colOff>
          <xdr:row>0</xdr:row>
          <xdr:rowOff>552450</xdr:rowOff>
        </xdr:to>
        <xdr:pic>
          <xdr:nvPicPr>
            <xdr:cNvPr id="47" name="Grafik 46">
              <a:extLst>
                <a:ext uri="{FF2B5EF4-FFF2-40B4-BE49-F238E27FC236}">
                  <a16:creationId xmlns:a16="http://schemas.microsoft.com/office/drawing/2014/main" id="{00000000-0008-0000-0F00-00002F000000}"/>
                </a:ext>
              </a:extLst>
            </xdr:cNvPr>
            <xdr:cNvPicPr>
              <a:picLocks noChangeAspect="1" noChangeArrowheads="1"/>
              <a:extLst>
                <a:ext uri="{84589F7E-364E-4C9E-8A38-B11213B215E9}">
                  <a14:cameraTool cellRange="Logo!$D$6" spid="_x0000_s217280"/>
                </a:ext>
              </a:extLst>
            </xdr:cNvPicPr>
          </xdr:nvPicPr>
          <xdr:blipFill>
            <a:blip xmlns:r="http://schemas.openxmlformats.org/officeDocument/2006/relationships" r:embed="rId5"/>
            <a:srcRect/>
            <a:stretch>
              <a:fillRect/>
            </a:stretch>
          </xdr:blipFill>
          <xdr:spPr bwMode="auto">
            <a:xfrm>
              <a:off x="6924675" y="19050"/>
              <a:ext cx="2171700" cy="533400"/>
            </a:xfrm>
            <a:prstGeom prst="rect">
              <a:avLst/>
            </a:prstGeom>
            <a:solidFill>
              <a:schemeClr val="bg1"/>
            </a:solidFill>
            <a:ln w="9525">
              <a:noFill/>
              <a:miter lim="800000"/>
              <a:headEnd/>
              <a:tailEnd/>
            </a:ln>
          </xdr:spPr>
        </xdr:pic>
        <xdr:clientData/>
      </xdr:twoCellAnchor>
    </mc:Choice>
    <mc:Fallback/>
  </mc:AlternateContent>
  <xdr:twoCellAnchor editAs="absolute">
    <xdr:from>
      <xdr:col>7</xdr:col>
      <xdr:colOff>1323975</xdr:colOff>
      <xdr:row>1</xdr:row>
      <xdr:rowOff>57150</xdr:rowOff>
    </xdr:from>
    <xdr:to>
      <xdr:col>7</xdr:col>
      <xdr:colOff>1513642</xdr:colOff>
      <xdr:row>1</xdr:row>
      <xdr:rowOff>237150</xdr:rowOff>
    </xdr:to>
    <xdr:sp macro="[0]!Register_ein" textlink="">
      <xdr:nvSpPr>
        <xdr:cNvPr id="42" name="Rechteck 78">
          <a:extLst>
            <a:ext uri="{FF2B5EF4-FFF2-40B4-BE49-F238E27FC236}">
              <a16:creationId xmlns:a16="http://schemas.microsoft.com/office/drawing/2014/main" id="{00000000-0008-0000-0F00-00002A000000}"/>
            </a:ext>
          </a:extLst>
        </xdr:cNvPr>
        <xdr:cNvSpPr>
          <a:spLocks noChangeAspect="1"/>
        </xdr:cNvSpPr>
      </xdr:nvSpPr>
      <xdr:spPr>
        <a:xfrm>
          <a:off x="8220075" y="62865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absolute">
    <xdr:from>
      <xdr:col>7</xdr:col>
      <xdr:colOff>1544002</xdr:colOff>
      <xdr:row>1</xdr:row>
      <xdr:rowOff>57150</xdr:rowOff>
    </xdr:from>
    <xdr:to>
      <xdr:col>7</xdr:col>
      <xdr:colOff>1723192</xdr:colOff>
      <xdr:row>1</xdr:row>
      <xdr:rowOff>237150</xdr:rowOff>
    </xdr:to>
    <xdr:sp macro="[0]!Register_aus" textlink="">
      <xdr:nvSpPr>
        <xdr:cNvPr id="43" name="Rechteck 84">
          <a:extLst>
            <a:ext uri="{FF2B5EF4-FFF2-40B4-BE49-F238E27FC236}">
              <a16:creationId xmlns:a16="http://schemas.microsoft.com/office/drawing/2014/main" id="{00000000-0008-0000-0F00-00002B000000}"/>
            </a:ext>
          </a:extLst>
        </xdr:cNvPr>
        <xdr:cNvSpPr>
          <a:spLocks noChangeAspect="1"/>
        </xdr:cNvSpPr>
      </xdr:nvSpPr>
      <xdr:spPr>
        <a:xfrm>
          <a:off x="8440102" y="62865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oneCell">
    <xdr:from>
      <xdr:col>8</xdr:col>
      <xdr:colOff>219075</xdr:colOff>
      <xdr:row>1</xdr:row>
      <xdr:rowOff>61912</xdr:rowOff>
    </xdr:from>
    <xdr:to>
      <xdr:col>8</xdr:col>
      <xdr:colOff>399075</xdr:colOff>
      <xdr:row>1</xdr:row>
      <xdr:rowOff>241912</xdr:rowOff>
    </xdr:to>
    <xdr:grpSp>
      <xdr:nvGrpSpPr>
        <xdr:cNvPr id="44" name="Gruppieren 47">
          <a:hlinkClick xmlns:r="http://schemas.openxmlformats.org/officeDocument/2006/relationships" r:id="rId6" tooltip="Help"/>
          <a:extLst>
            <a:ext uri="{FF2B5EF4-FFF2-40B4-BE49-F238E27FC236}">
              <a16:creationId xmlns:a16="http://schemas.microsoft.com/office/drawing/2014/main" id="{00000000-0008-0000-0F00-00002C000000}"/>
            </a:ext>
          </a:extLst>
        </xdr:cNvPr>
        <xdr:cNvGrpSpPr>
          <a:grpSpLocks noChangeAspect="1"/>
        </xdr:cNvGrpSpPr>
      </xdr:nvGrpSpPr>
      <xdr:grpSpPr>
        <a:xfrm>
          <a:off x="9119235" y="633412"/>
          <a:ext cx="180000" cy="180000"/>
          <a:chOff x="8105775" y="571500"/>
          <a:chExt cx="172800" cy="172800"/>
        </a:xfrm>
      </xdr:grpSpPr>
      <xdr:sp macro="" textlink="">
        <xdr:nvSpPr>
          <xdr:cNvPr id="53" name="Rechteck 48">
            <a:extLst>
              <a:ext uri="{FF2B5EF4-FFF2-40B4-BE49-F238E27FC236}">
                <a16:creationId xmlns:a16="http://schemas.microsoft.com/office/drawing/2014/main" id="{00000000-0008-0000-0F00-000035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4" name="Textfeld 49">
            <a:extLst>
              <a:ext uri="{FF2B5EF4-FFF2-40B4-BE49-F238E27FC236}">
                <a16:creationId xmlns:a16="http://schemas.microsoft.com/office/drawing/2014/main" id="{00000000-0008-0000-0F00-000036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0</xdr:row>
      <xdr:rowOff>200025</xdr:rowOff>
    </xdr:from>
    <xdr:to>
      <xdr:col>0</xdr:col>
      <xdr:colOff>381150</xdr:colOff>
      <xdr:row>0</xdr:row>
      <xdr:rowOff>525490</xdr:rowOff>
    </xdr:to>
    <xdr:grpSp>
      <xdr:nvGrpSpPr>
        <xdr:cNvPr id="46" name="Gruppieren 53">
          <a:hlinkClick xmlns:r="http://schemas.openxmlformats.org/officeDocument/2006/relationships" r:id="rId7" tooltip="back"/>
          <a:extLst>
            <a:ext uri="{FF2B5EF4-FFF2-40B4-BE49-F238E27FC236}">
              <a16:creationId xmlns:a16="http://schemas.microsoft.com/office/drawing/2014/main" id="{00000000-0008-0000-0F00-00002E000000}"/>
            </a:ext>
          </a:extLst>
        </xdr:cNvPr>
        <xdr:cNvGrpSpPr/>
      </xdr:nvGrpSpPr>
      <xdr:grpSpPr>
        <a:xfrm>
          <a:off x="57150" y="200025"/>
          <a:ext cx="324000" cy="325465"/>
          <a:chOff x="9191625" y="3009900"/>
          <a:chExt cx="324000" cy="325465"/>
        </a:xfrm>
      </xdr:grpSpPr>
      <xdr:sp macro="" textlink="">
        <xdr:nvSpPr>
          <xdr:cNvPr id="48" name="Rechteck 57">
            <a:extLst>
              <a:ext uri="{FF2B5EF4-FFF2-40B4-BE49-F238E27FC236}">
                <a16:creationId xmlns:a16="http://schemas.microsoft.com/office/drawing/2014/main" id="{00000000-0008-0000-0F00-000030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7" name="Pfeil nach links 58">
            <a:extLst>
              <a:ext uri="{FF2B5EF4-FFF2-40B4-BE49-F238E27FC236}">
                <a16:creationId xmlns:a16="http://schemas.microsoft.com/office/drawing/2014/main" id="{00000000-0008-0000-0F00-000039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9525</xdr:colOff>
      <xdr:row>1</xdr:row>
      <xdr:rowOff>57150</xdr:rowOff>
    </xdr:from>
    <xdr:to>
      <xdr:col>5</xdr:col>
      <xdr:colOff>1011216</xdr:colOff>
      <xdr:row>2</xdr:row>
      <xdr:rowOff>127200</xdr:rowOff>
    </xdr:to>
    <xdr:grpSp>
      <xdr:nvGrpSpPr>
        <xdr:cNvPr id="52" name="Gruppieren 51">
          <a:extLst>
            <a:ext uri="{FF2B5EF4-FFF2-40B4-BE49-F238E27FC236}">
              <a16:creationId xmlns:a16="http://schemas.microsoft.com/office/drawing/2014/main" id="{00000000-0008-0000-0F00-000034000000}"/>
            </a:ext>
          </a:extLst>
        </xdr:cNvPr>
        <xdr:cNvGrpSpPr/>
      </xdr:nvGrpSpPr>
      <xdr:grpSpPr>
        <a:xfrm>
          <a:off x="489585" y="628650"/>
          <a:ext cx="4971711" cy="351990"/>
          <a:chOff x="11239501" y="1990725"/>
          <a:chExt cx="4859316" cy="355800"/>
        </a:xfrm>
      </xdr:grpSpPr>
      <xdr:sp macro="" textlink="">
        <xdr:nvSpPr>
          <xdr:cNvPr id="55" name="Rechteck: obere Ecken abgerundet 13">
            <a:hlinkClick xmlns:r="http://schemas.openxmlformats.org/officeDocument/2006/relationships" r:id="rId8" tooltip="Go to"/>
            <a:extLst>
              <a:ext uri="{FF2B5EF4-FFF2-40B4-BE49-F238E27FC236}">
                <a16:creationId xmlns:a16="http://schemas.microsoft.com/office/drawing/2014/main" id="{00000000-0008-0000-0F00-000037000000}"/>
              </a:ext>
            </a:extLst>
          </xdr:cNvPr>
          <xdr:cNvSpPr/>
        </xdr:nvSpPr>
        <xdr:spPr>
          <a:xfrm>
            <a:off x="11239501" y="1990725"/>
            <a:ext cx="1178640"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Team</a:t>
            </a:r>
          </a:p>
        </xdr:txBody>
      </xdr:sp>
      <xdr:sp macro="" textlink="' '!A42">
        <xdr:nvSpPr>
          <xdr:cNvPr id="56" name="Rechteck: obere Ecken abgerundet 14">
            <a:hlinkClick xmlns:r="http://schemas.openxmlformats.org/officeDocument/2006/relationships" r:id="rId9" tooltip="Go to"/>
            <a:extLst>
              <a:ext uri="{FF2B5EF4-FFF2-40B4-BE49-F238E27FC236}">
                <a16:creationId xmlns:a16="http://schemas.microsoft.com/office/drawing/2014/main" id="{00000000-0008-0000-0F00-000038000000}"/>
              </a:ext>
            </a:extLst>
          </xdr:cNvPr>
          <xdr:cNvSpPr/>
        </xdr:nvSpPr>
        <xdr:spPr>
          <a:xfrm>
            <a:off x="12461921"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3C197A3B-565C-473A-93F8-801F1709354A}"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99">
        <xdr:nvSpPr>
          <xdr:cNvPr id="58" name="Rechteck: obere Ecken abgerundet 15">
            <a:hlinkClick xmlns:r="http://schemas.openxmlformats.org/officeDocument/2006/relationships" r:id="rId10" tooltip="Go to"/>
            <a:extLst>
              <a:ext uri="{FF2B5EF4-FFF2-40B4-BE49-F238E27FC236}">
                <a16:creationId xmlns:a16="http://schemas.microsoft.com/office/drawing/2014/main" id="{00000000-0008-0000-0F00-00003A000000}"/>
              </a:ext>
            </a:extLst>
          </xdr:cNvPr>
          <xdr:cNvSpPr/>
        </xdr:nvSpPr>
        <xdr:spPr>
          <a:xfrm>
            <a:off x="13688813"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1230FD-8943-445B-9552-F0932ADDF520}" type="TxLink">
              <a:rPr kumimoji="0" lang="en-US"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59" name="Rechteck: obere Ecken abgerundet 14">
            <a:hlinkClick xmlns:r="http://schemas.openxmlformats.org/officeDocument/2006/relationships" r:id="rId11" tooltip="Go to"/>
            <a:extLst>
              <a:ext uri="{FF2B5EF4-FFF2-40B4-BE49-F238E27FC236}">
                <a16:creationId xmlns:a16="http://schemas.microsoft.com/office/drawing/2014/main" id="{00000000-0008-0000-0F00-00003B000000}"/>
              </a:ext>
            </a:extLst>
          </xdr:cNvPr>
          <xdr:cNvSpPr/>
        </xdr:nvSpPr>
        <xdr:spPr>
          <a:xfrm>
            <a:off x="14915705" y="1990725"/>
            <a:ext cx="1183112" cy="355800"/>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0992573-BB86-480D-ABD9-91AE593779F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fPrintsWithSheet="0"/>
  </xdr:twoCellAnchor>
</xdr:wsDr>
</file>

<file path=xl/drawings/drawing17.xml><?xml version="1.0" encoding="utf-8"?>
<xdr:wsDr xmlns:xdr="http://schemas.openxmlformats.org/drawingml/2006/spreadsheetDrawing" xmlns:a="http://schemas.openxmlformats.org/drawingml/2006/main">
  <xdr:twoCellAnchor editAs="absolute">
    <xdr:from>
      <xdr:col>3</xdr:col>
      <xdr:colOff>2638424</xdr:colOff>
      <xdr:row>2</xdr:row>
      <xdr:rowOff>180975</xdr:rowOff>
    </xdr:from>
    <xdr:to>
      <xdr:col>10</xdr:col>
      <xdr:colOff>676274</xdr:colOff>
      <xdr:row>21</xdr:row>
      <xdr:rowOff>295275</xdr:rowOff>
    </xdr:to>
    <xdr:graphicFrame macro="">
      <xdr:nvGraphicFramePr>
        <xdr:cNvPr id="30" name="Diagramm 29">
          <a:extLst>
            <a:ext uri="{FF2B5EF4-FFF2-40B4-BE49-F238E27FC236}">
              <a16:creationId xmlns:a16="http://schemas.microsoft.com/office/drawing/2014/main" id="{00000000-0008-0000-10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1792537</xdr:colOff>
      <xdr:row>8</xdr:row>
      <xdr:rowOff>96219</xdr:rowOff>
    </xdr:from>
    <xdr:to>
      <xdr:col>3</xdr:col>
      <xdr:colOff>894499</xdr:colOff>
      <xdr:row>10</xdr:row>
      <xdr:rowOff>35088</xdr:rowOff>
    </xdr:to>
    <xdr:sp macro="" textlink="">
      <xdr:nvSpPr>
        <xdr:cNvPr id="2" name="Pfeil nach rechts 1">
          <a:extLst>
            <a:ext uri="{FF2B5EF4-FFF2-40B4-BE49-F238E27FC236}">
              <a16:creationId xmlns:a16="http://schemas.microsoft.com/office/drawing/2014/main" id="{00000000-0008-0000-1000-000002000000}"/>
            </a:ext>
          </a:extLst>
        </xdr:cNvPr>
        <xdr:cNvSpPr/>
      </xdr:nvSpPr>
      <xdr:spPr>
        <a:xfrm rot="5400000">
          <a:off x="2826646" y="2176785"/>
          <a:ext cx="319869" cy="902187"/>
        </a:xfrm>
        <a:prstGeom prst="rightArrow">
          <a:avLst>
            <a:gd name="adj1" fmla="val 0"/>
            <a:gd name="adj2" fmla="val 176042"/>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de-CH" sz="1100"/>
        </a:p>
      </xdr:txBody>
    </xdr:sp>
    <xdr:clientData/>
  </xdr:twoCellAnchor>
  <xdr:twoCellAnchor>
    <xdr:from>
      <xdr:col>2</xdr:col>
      <xdr:colOff>1631630</xdr:colOff>
      <xdr:row>3</xdr:row>
      <xdr:rowOff>200025</xdr:rowOff>
    </xdr:from>
    <xdr:to>
      <xdr:col>3</xdr:col>
      <xdr:colOff>1055405</xdr:colOff>
      <xdr:row>6</xdr:row>
      <xdr:rowOff>90718</xdr:rowOff>
    </xdr:to>
    <xdr:sp macro="" textlink="' '!A274">
      <xdr:nvSpPr>
        <xdr:cNvPr id="3" name="Abgerundetes Rechteck 2">
          <a:hlinkClick xmlns:r="http://schemas.openxmlformats.org/officeDocument/2006/relationships" r:id="rId2" tooltip="go to"/>
          <a:extLst>
            <a:ext uri="{FF2B5EF4-FFF2-40B4-BE49-F238E27FC236}">
              <a16:creationId xmlns:a16="http://schemas.microsoft.com/office/drawing/2014/main" id="{00000000-0008-0000-1000-000003000000}"/>
            </a:ext>
          </a:extLst>
        </xdr:cNvPr>
        <xdr:cNvSpPr/>
      </xdr:nvSpPr>
      <xdr:spPr>
        <a:xfrm>
          <a:off x="2374580" y="1543050"/>
          <a:ext cx="1224000" cy="538393"/>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fld id="{B3BC1D09-D697-46E1-8FDE-5AD6441B08C5}" type="TxLink">
            <a:rPr lang="de-CH" sz="1100" b="0">
              <a:latin typeface="Calibri Light" panose="020F0302020204030204" pitchFamily="34" charset="0"/>
              <a:cs typeface="Calibri Light" panose="020F0302020204030204" pitchFamily="34" charset="0"/>
            </a:rPr>
            <a:pPr algn="ctr"/>
            <a:t>Organizational feasibility</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1693706</xdr:colOff>
      <xdr:row>7</xdr:row>
      <xdr:rowOff>6729</xdr:rowOff>
    </xdr:from>
    <xdr:to>
      <xdr:col>3</xdr:col>
      <xdr:colOff>993329</xdr:colOff>
      <xdr:row>7</xdr:row>
      <xdr:rowOff>152247</xdr:rowOff>
    </xdr:to>
    <xdr:grpSp>
      <xdr:nvGrpSpPr>
        <xdr:cNvPr id="4" name="Gruppieren 3">
          <a:extLst>
            <a:ext uri="{FF2B5EF4-FFF2-40B4-BE49-F238E27FC236}">
              <a16:creationId xmlns:a16="http://schemas.microsoft.com/office/drawing/2014/main" id="{00000000-0008-0000-1000-000004000000}"/>
            </a:ext>
          </a:extLst>
        </xdr:cNvPr>
        <xdr:cNvGrpSpPr/>
      </xdr:nvGrpSpPr>
      <xdr:grpSpPr>
        <a:xfrm>
          <a:off x="2455706" y="2155569"/>
          <a:ext cx="1151283" cy="145518"/>
          <a:chOff x="492917" y="1313089"/>
          <a:chExt cx="860818" cy="229961"/>
        </a:xfrm>
      </xdr:grpSpPr>
      <xdr:sp macro="" textlink="$J$24">
        <xdr:nvSpPr>
          <xdr:cNvPr id="5" name="Abgerundetes Rechteck 4">
            <a:extLst>
              <a:ext uri="{FF2B5EF4-FFF2-40B4-BE49-F238E27FC236}">
                <a16:creationId xmlns:a16="http://schemas.microsoft.com/office/drawing/2014/main" id="{00000000-0008-0000-1000-000005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40BA085-0B38-4146-93E3-FA72B3D115EC}"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J$25">
        <xdr:nvSpPr>
          <xdr:cNvPr id="6" name="Abgerundetes Rechteck 5">
            <a:extLst>
              <a:ext uri="{FF2B5EF4-FFF2-40B4-BE49-F238E27FC236}">
                <a16:creationId xmlns:a16="http://schemas.microsoft.com/office/drawing/2014/main" id="{00000000-0008-0000-1000-000006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284209D-0BD2-4C9E-814A-42D2E5799EE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J$26">
        <xdr:nvSpPr>
          <xdr:cNvPr id="7" name="Abgerundetes Rechteck 6">
            <a:extLst>
              <a:ext uri="{FF2B5EF4-FFF2-40B4-BE49-F238E27FC236}">
                <a16:creationId xmlns:a16="http://schemas.microsoft.com/office/drawing/2014/main" id="{00000000-0008-0000-1000-000007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1F07D52C-B5BA-410C-8278-BFF78D641365}" type="TxLink">
              <a:rPr lang="de-CH" sz="800">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3</xdr:col>
      <xdr:colOff>1038114</xdr:colOff>
      <xdr:row>10</xdr:row>
      <xdr:rowOff>52089</xdr:rowOff>
    </xdr:from>
    <xdr:to>
      <xdr:col>3</xdr:col>
      <xdr:colOff>1377811</xdr:colOff>
      <xdr:row>14</xdr:row>
      <xdr:rowOff>139076</xdr:rowOff>
    </xdr:to>
    <xdr:sp macro="" textlink="">
      <xdr:nvSpPr>
        <xdr:cNvPr id="8" name="Pfeil nach rechts 7">
          <a:extLst>
            <a:ext uri="{FF2B5EF4-FFF2-40B4-BE49-F238E27FC236}">
              <a16:creationId xmlns:a16="http://schemas.microsoft.com/office/drawing/2014/main" id="{00000000-0008-0000-1000-000008000000}"/>
            </a:ext>
          </a:extLst>
        </xdr:cNvPr>
        <xdr:cNvSpPr/>
      </xdr:nvSpPr>
      <xdr:spPr>
        <a:xfrm rot="10800000">
          <a:off x="3581289" y="2804814"/>
          <a:ext cx="339697" cy="848987"/>
        </a:xfrm>
        <a:prstGeom prst="rightArrow">
          <a:avLst>
            <a:gd name="adj1" fmla="val 50000"/>
            <a:gd name="adj2" fmla="val 100000"/>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endParaRPr lang="de-CH" sz="1100"/>
        </a:p>
      </xdr:txBody>
    </xdr:sp>
    <xdr:clientData/>
  </xdr:twoCellAnchor>
  <xdr:twoCellAnchor>
    <xdr:from>
      <xdr:col>3</xdr:col>
      <xdr:colOff>1896605</xdr:colOff>
      <xdr:row>11</xdr:row>
      <xdr:rowOff>16083</xdr:rowOff>
    </xdr:from>
    <xdr:to>
      <xdr:col>4</xdr:col>
      <xdr:colOff>444080</xdr:colOff>
      <xdr:row>13</xdr:row>
      <xdr:rowOff>175083</xdr:rowOff>
    </xdr:to>
    <xdr:sp macro="" textlink="' '!A275">
      <xdr:nvSpPr>
        <xdr:cNvPr id="9" name="Abgerundetes Rechteck 3">
          <a:hlinkClick xmlns:r="http://schemas.openxmlformats.org/officeDocument/2006/relationships" r:id="rId3" tooltip="go to"/>
          <a:extLst>
            <a:ext uri="{FF2B5EF4-FFF2-40B4-BE49-F238E27FC236}">
              <a16:creationId xmlns:a16="http://schemas.microsoft.com/office/drawing/2014/main" id="{00000000-0008-0000-1000-000009000000}"/>
            </a:ext>
          </a:extLst>
        </xdr:cNvPr>
        <xdr:cNvSpPr/>
      </xdr:nvSpPr>
      <xdr:spPr>
        <a:xfrm>
          <a:off x="4439780" y="2959308"/>
          <a:ext cx="1224000" cy="5400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fld id="{E0F2FAE3-3788-4CC3-A8DF-D5EB0A3CE8D2}" type="TxLink">
            <a:rPr lang="de-CH" sz="1100" b="0">
              <a:latin typeface="Calibri Light" panose="020F0302020204030204" pitchFamily="34" charset="0"/>
              <a:cs typeface="Calibri Light" panose="020F0302020204030204" pitchFamily="34" charset="0"/>
            </a:rPr>
            <a:pPr algn="ctr"/>
            <a:t>Economic feasibility</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3</xdr:col>
      <xdr:colOff>1516900</xdr:colOff>
      <xdr:row>10</xdr:row>
      <xdr:rowOff>168862</xdr:rowOff>
    </xdr:from>
    <xdr:to>
      <xdr:col>3</xdr:col>
      <xdr:colOff>1811645</xdr:colOff>
      <xdr:row>14</xdr:row>
      <xdr:rowOff>22304</xdr:rowOff>
    </xdr:to>
    <xdr:grpSp>
      <xdr:nvGrpSpPr>
        <xdr:cNvPr id="10" name="Gruppieren 9">
          <a:extLst>
            <a:ext uri="{FF2B5EF4-FFF2-40B4-BE49-F238E27FC236}">
              <a16:creationId xmlns:a16="http://schemas.microsoft.com/office/drawing/2014/main" id="{00000000-0008-0000-1000-00000A000000}"/>
            </a:ext>
          </a:extLst>
        </xdr:cNvPr>
        <xdr:cNvGrpSpPr/>
      </xdr:nvGrpSpPr>
      <xdr:grpSpPr>
        <a:xfrm>
          <a:off x="4130560" y="2866342"/>
          <a:ext cx="294745" cy="584962"/>
          <a:chOff x="3790950" y="1448652"/>
          <a:chExt cx="289425" cy="609021"/>
        </a:xfrm>
      </xdr:grpSpPr>
      <xdr:sp macro="" textlink="$J$69">
        <xdr:nvSpPr>
          <xdr:cNvPr id="11" name="Abgerundetes Rechteck 10">
            <a:extLst>
              <a:ext uri="{FF2B5EF4-FFF2-40B4-BE49-F238E27FC236}">
                <a16:creationId xmlns:a16="http://schemas.microsoft.com/office/drawing/2014/main" id="{00000000-0008-0000-1000-00000B000000}"/>
              </a:ext>
            </a:extLst>
          </xdr:cNvPr>
          <xdr:cNvSpPr/>
        </xdr:nvSpPr>
        <xdr:spPr>
          <a:xfrm>
            <a:off x="3790950" y="1448652"/>
            <a:ext cx="286806"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417C2ED2-E968-4318-BBED-1904EF79E7F4}"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J$70">
        <xdr:nvSpPr>
          <xdr:cNvPr id="12" name="Abgerundetes Rechteck 11">
            <a:extLst>
              <a:ext uri="{FF2B5EF4-FFF2-40B4-BE49-F238E27FC236}">
                <a16:creationId xmlns:a16="http://schemas.microsoft.com/office/drawing/2014/main" id="{00000000-0008-0000-1000-00000C000000}"/>
              </a:ext>
            </a:extLst>
          </xdr:cNvPr>
          <xdr:cNvSpPr/>
        </xdr:nvSpPr>
        <xdr:spPr>
          <a:xfrm>
            <a:off x="3792085" y="1677252"/>
            <a:ext cx="286806"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F6A10812-B19A-4D69-B288-F65A3782FE37}"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J$71">
        <xdr:nvSpPr>
          <xdr:cNvPr id="13" name="Abgerundetes Rechteck 12">
            <a:extLst>
              <a:ext uri="{FF2B5EF4-FFF2-40B4-BE49-F238E27FC236}">
                <a16:creationId xmlns:a16="http://schemas.microsoft.com/office/drawing/2014/main" id="{00000000-0008-0000-1000-00000D000000}"/>
              </a:ext>
            </a:extLst>
          </xdr:cNvPr>
          <xdr:cNvSpPr/>
        </xdr:nvSpPr>
        <xdr:spPr>
          <a:xfrm>
            <a:off x="3793569" y="1914525"/>
            <a:ext cx="286806"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4C3DF6-DECA-49D0-8DDF-CFBD792D4768}" type="TxLink">
              <a:rPr lang="de-CH" sz="800">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1791988</xdr:colOff>
      <xdr:row>15</xdr:row>
      <xdr:rowOff>30517</xdr:rowOff>
    </xdr:from>
    <xdr:to>
      <xdr:col>3</xdr:col>
      <xdr:colOff>895049</xdr:colOff>
      <xdr:row>16</xdr:row>
      <xdr:rowOff>168894</xdr:rowOff>
    </xdr:to>
    <xdr:sp macro="" textlink="">
      <xdr:nvSpPr>
        <xdr:cNvPr id="14" name="Pfeil nach rechts 10">
          <a:extLst>
            <a:ext uri="{FF2B5EF4-FFF2-40B4-BE49-F238E27FC236}">
              <a16:creationId xmlns:a16="http://schemas.microsoft.com/office/drawing/2014/main" id="{00000000-0008-0000-1000-00000E000000}"/>
            </a:ext>
          </a:extLst>
        </xdr:cNvPr>
        <xdr:cNvSpPr/>
      </xdr:nvSpPr>
      <xdr:spPr>
        <a:xfrm rot="16200000">
          <a:off x="2822142" y="3448538"/>
          <a:ext cx="328877" cy="903286"/>
        </a:xfrm>
        <a:prstGeom prst="rightArrow">
          <a:avLst>
            <a:gd name="adj1" fmla="val 50000"/>
            <a:gd name="adj2" fmla="val 100000"/>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de-CH" sz="1100"/>
        </a:p>
      </xdr:txBody>
    </xdr:sp>
    <xdr:clientData/>
  </xdr:twoCellAnchor>
  <xdr:twoCellAnchor>
    <xdr:from>
      <xdr:col>2</xdr:col>
      <xdr:colOff>1631630</xdr:colOff>
      <xdr:row>18</xdr:row>
      <xdr:rowOff>122780</xdr:rowOff>
    </xdr:from>
    <xdr:to>
      <xdr:col>3</xdr:col>
      <xdr:colOff>1055405</xdr:colOff>
      <xdr:row>21</xdr:row>
      <xdr:rowOff>91280</xdr:rowOff>
    </xdr:to>
    <xdr:sp macro="" textlink="' '!A276">
      <xdr:nvSpPr>
        <xdr:cNvPr id="15" name="Abgerundetes Rechteck 4">
          <a:hlinkClick xmlns:r="http://schemas.openxmlformats.org/officeDocument/2006/relationships" r:id="rId4" tooltip="go to"/>
          <a:extLst>
            <a:ext uri="{FF2B5EF4-FFF2-40B4-BE49-F238E27FC236}">
              <a16:creationId xmlns:a16="http://schemas.microsoft.com/office/drawing/2014/main" id="{00000000-0008-0000-1000-00000F000000}"/>
            </a:ext>
          </a:extLst>
        </xdr:cNvPr>
        <xdr:cNvSpPr/>
      </xdr:nvSpPr>
      <xdr:spPr>
        <a:xfrm>
          <a:off x="2374580" y="4399505"/>
          <a:ext cx="1224000" cy="54000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fld id="{D1FCFE7D-BC8E-406A-BD86-B4686F5ED611}" type="TxLink">
            <a:rPr lang="de-CH" sz="1100" b="0">
              <a:latin typeface="Calibri Light" panose="020F0302020204030204" pitchFamily="34" charset="0"/>
              <a:cs typeface="Calibri Light" panose="020F0302020204030204" pitchFamily="34" charset="0"/>
            </a:rPr>
            <a:pPr algn="ctr"/>
            <a:t>Technical feasibility</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1693706</xdr:colOff>
      <xdr:row>17</xdr:row>
      <xdr:rowOff>65315</xdr:rowOff>
    </xdr:from>
    <xdr:to>
      <xdr:col>3</xdr:col>
      <xdr:colOff>993329</xdr:colOff>
      <xdr:row>18</xdr:row>
      <xdr:rowOff>20333</xdr:rowOff>
    </xdr:to>
    <xdr:grpSp>
      <xdr:nvGrpSpPr>
        <xdr:cNvPr id="16" name="Gruppieren 15">
          <a:extLst>
            <a:ext uri="{FF2B5EF4-FFF2-40B4-BE49-F238E27FC236}">
              <a16:creationId xmlns:a16="http://schemas.microsoft.com/office/drawing/2014/main" id="{00000000-0008-0000-1000-000010000000}"/>
            </a:ext>
          </a:extLst>
        </xdr:cNvPr>
        <xdr:cNvGrpSpPr/>
      </xdr:nvGrpSpPr>
      <xdr:grpSpPr>
        <a:xfrm>
          <a:off x="2455706" y="4042955"/>
          <a:ext cx="1151283" cy="137898"/>
          <a:chOff x="492917" y="1313089"/>
          <a:chExt cx="860818" cy="229961"/>
        </a:xfrm>
      </xdr:grpSpPr>
      <xdr:sp macro="" textlink="$J$39">
        <xdr:nvSpPr>
          <xdr:cNvPr id="17" name="Abgerundetes Rechteck 16">
            <a:extLst>
              <a:ext uri="{FF2B5EF4-FFF2-40B4-BE49-F238E27FC236}">
                <a16:creationId xmlns:a16="http://schemas.microsoft.com/office/drawing/2014/main" id="{00000000-0008-0000-1000-000011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D73D8A7-AC45-4510-B614-B4C38A85C3A2}"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J$40">
        <xdr:nvSpPr>
          <xdr:cNvPr id="18" name="Abgerundetes Rechteck 17">
            <a:extLst>
              <a:ext uri="{FF2B5EF4-FFF2-40B4-BE49-F238E27FC236}">
                <a16:creationId xmlns:a16="http://schemas.microsoft.com/office/drawing/2014/main" id="{00000000-0008-0000-1000-000012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2D1D30C-62B7-41EB-87B4-F07AEFFBE258}"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J$41">
        <xdr:nvSpPr>
          <xdr:cNvPr id="19" name="Abgerundetes Rechteck 18">
            <a:extLst>
              <a:ext uri="{FF2B5EF4-FFF2-40B4-BE49-F238E27FC236}">
                <a16:creationId xmlns:a16="http://schemas.microsoft.com/office/drawing/2014/main" id="{00000000-0008-0000-1000-000013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7EF0C20C-C32F-4DA5-8356-7ECA318CD99D}"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1313044</xdr:colOff>
      <xdr:row>10</xdr:row>
      <xdr:rowOff>52090</xdr:rowOff>
    </xdr:from>
    <xdr:to>
      <xdr:col>2</xdr:col>
      <xdr:colOff>1657888</xdr:colOff>
      <xdr:row>14</xdr:row>
      <xdr:rowOff>139077</xdr:rowOff>
    </xdr:to>
    <xdr:sp macro="" textlink="">
      <xdr:nvSpPr>
        <xdr:cNvPr id="20" name="Pfeil nach rechts 7">
          <a:extLst>
            <a:ext uri="{FF2B5EF4-FFF2-40B4-BE49-F238E27FC236}">
              <a16:creationId xmlns:a16="http://schemas.microsoft.com/office/drawing/2014/main" id="{00000000-0008-0000-1000-000014000000}"/>
            </a:ext>
          </a:extLst>
        </xdr:cNvPr>
        <xdr:cNvSpPr/>
      </xdr:nvSpPr>
      <xdr:spPr>
        <a:xfrm>
          <a:off x="2055994" y="2804815"/>
          <a:ext cx="344844" cy="848987"/>
        </a:xfrm>
        <a:prstGeom prst="rightArrow">
          <a:avLst>
            <a:gd name="adj1" fmla="val 0"/>
            <a:gd name="adj2" fmla="val 100000"/>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endParaRPr lang="de-CH" sz="1100" b="1"/>
        </a:p>
      </xdr:txBody>
    </xdr:sp>
    <xdr:clientData/>
  </xdr:twoCellAnchor>
  <xdr:twoCellAnchor>
    <xdr:from>
      <xdr:col>0</xdr:col>
      <xdr:colOff>380439</xdr:colOff>
      <xdr:row>11</xdr:row>
      <xdr:rowOff>16083</xdr:rowOff>
    </xdr:from>
    <xdr:to>
      <xdr:col>2</xdr:col>
      <xdr:colOff>861489</xdr:colOff>
      <xdr:row>13</xdr:row>
      <xdr:rowOff>175083</xdr:rowOff>
    </xdr:to>
    <xdr:sp macro="" textlink="' '!A278">
      <xdr:nvSpPr>
        <xdr:cNvPr id="21" name="Abgerundetes Rechteck 20">
          <a:hlinkClick xmlns:r="http://schemas.openxmlformats.org/officeDocument/2006/relationships" r:id="rId5" tooltip="go to"/>
          <a:extLst>
            <a:ext uri="{FF2B5EF4-FFF2-40B4-BE49-F238E27FC236}">
              <a16:creationId xmlns:a16="http://schemas.microsoft.com/office/drawing/2014/main" id="{00000000-0008-0000-1000-000015000000}"/>
            </a:ext>
          </a:extLst>
        </xdr:cNvPr>
        <xdr:cNvSpPr/>
      </xdr:nvSpPr>
      <xdr:spPr>
        <a:xfrm>
          <a:off x="380439" y="2959308"/>
          <a:ext cx="1224000" cy="540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fld id="{69E5B5F0-6FEF-4C05-BCB5-426625C143F0}" type="TxLink">
            <a:rPr lang="de-CH" sz="1100" b="0">
              <a:latin typeface="Calibri Light" panose="020F0302020204030204" pitchFamily="34" charset="0"/>
              <a:cs typeface="Calibri Light" panose="020F0302020204030204" pitchFamily="34" charset="0"/>
            </a:rPr>
            <a:pPr algn="ctr"/>
            <a:t>Legal feasibility</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940612</xdr:colOff>
      <xdr:row>10</xdr:row>
      <xdr:rowOff>168862</xdr:rowOff>
    </xdr:from>
    <xdr:to>
      <xdr:col>2</xdr:col>
      <xdr:colOff>1235357</xdr:colOff>
      <xdr:row>14</xdr:row>
      <xdr:rowOff>22304</xdr:rowOff>
    </xdr:to>
    <xdr:grpSp>
      <xdr:nvGrpSpPr>
        <xdr:cNvPr id="22" name="Gruppieren 21">
          <a:extLst>
            <a:ext uri="{FF2B5EF4-FFF2-40B4-BE49-F238E27FC236}">
              <a16:creationId xmlns:a16="http://schemas.microsoft.com/office/drawing/2014/main" id="{00000000-0008-0000-1000-000016000000}"/>
            </a:ext>
          </a:extLst>
        </xdr:cNvPr>
        <xdr:cNvGrpSpPr/>
      </xdr:nvGrpSpPr>
      <xdr:grpSpPr>
        <a:xfrm>
          <a:off x="1702612" y="2866342"/>
          <a:ext cx="294745" cy="584962"/>
          <a:chOff x="3790950" y="1448652"/>
          <a:chExt cx="289425" cy="609021"/>
        </a:xfrm>
      </xdr:grpSpPr>
      <xdr:sp macro="" textlink="$J$54">
        <xdr:nvSpPr>
          <xdr:cNvPr id="23" name="Abgerundetes Rechteck 22">
            <a:extLst>
              <a:ext uri="{FF2B5EF4-FFF2-40B4-BE49-F238E27FC236}">
                <a16:creationId xmlns:a16="http://schemas.microsoft.com/office/drawing/2014/main" id="{00000000-0008-0000-1000-000017000000}"/>
              </a:ext>
            </a:extLst>
          </xdr:cNvPr>
          <xdr:cNvSpPr/>
        </xdr:nvSpPr>
        <xdr:spPr>
          <a:xfrm>
            <a:off x="3790950" y="1448652"/>
            <a:ext cx="286806"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53DE0D1-7FBE-4ACF-A65E-5ACB780B22A9}"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J$55">
        <xdr:nvSpPr>
          <xdr:cNvPr id="24" name="Abgerundetes Rechteck 23">
            <a:extLst>
              <a:ext uri="{FF2B5EF4-FFF2-40B4-BE49-F238E27FC236}">
                <a16:creationId xmlns:a16="http://schemas.microsoft.com/office/drawing/2014/main" id="{00000000-0008-0000-1000-000018000000}"/>
              </a:ext>
            </a:extLst>
          </xdr:cNvPr>
          <xdr:cNvSpPr/>
        </xdr:nvSpPr>
        <xdr:spPr>
          <a:xfrm>
            <a:off x="3792085" y="1677252"/>
            <a:ext cx="286806"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6B4FD1F-133F-43F2-A94C-EC15842FF59B}"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J$56">
        <xdr:nvSpPr>
          <xdr:cNvPr id="25" name="Abgerundetes Rechteck 24">
            <a:extLst>
              <a:ext uri="{FF2B5EF4-FFF2-40B4-BE49-F238E27FC236}">
                <a16:creationId xmlns:a16="http://schemas.microsoft.com/office/drawing/2014/main" id="{00000000-0008-0000-1000-000019000000}"/>
              </a:ext>
            </a:extLst>
          </xdr:cNvPr>
          <xdr:cNvSpPr/>
        </xdr:nvSpPr>
        <xdr:spPr>
          <a:xfrm>
            <a:off x="3793569" y="1914525"/>
            <a:ext cx="286806"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8CF7855C-9466-4504-AC19-4FB233375FAF}" type="TxLink">
              <a:rPr lang="de-CH" sz="800">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1738565</xdr:colOff>
      <xdr:row>10</xdr:row>
      <xdr:rowOff>96379</xdr:rowOff>
    </xdr:from>
    <xdr:to>
      <xdr:col>3</xdr:col>
      <xdr:colOff>948470</xdr:colOff>
      <xdr:row>14</xdr:row>
      <xdr:rowOff>94787</xdr:rowOff>
    </xdr:to>
    <xdr:sp macro="" textlink="' '!A277">
      <xdr:nvSpPr>
        <xdr:cNvPr id="26" name="Abgerundetes Rechteck 25">
          <a:hlinkClick xmlns:r="http://schemas.openxmlformats.org/officeDocument/2006/relationships" r:id="rId6" tooltip="go to"/>
          <a:extLst>
            <a:ext uri="{FF2B5EF4-FFF2-40B4-BE49-F238E27FC236}">
              <a16:creationId xmlns:a16="http://schemas.microsoft.com/office/drawing/2014/main" id="{00000000-0008-0000-1000-00001A000000}"/>
            </a:ext>
          </a:extLst>
        </xdr:cNvPr>
        <xdr:cNvSpPr/>
      </xdr:nvSpPr>
      <xdr:spPr>
        <a:xfrm>
          <a:off x="2481515" y="2849104"/>
          <a:ext cx="1010130" cy="760408"/>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rtlCol="0" anchor="t"/>
        <a:lstStyle/>
        <a:p>
          <a:pPr algn="ctr"/>
          <a:fld id="{15DF6345-0C49-41E2-85D4-F32FD8F68961}" type="TxLink">
            <a:rPr lang="de-CH" sz="1100" b="0">
              <a:latin typeface="Calibri Light" panose="020F0302020204030204" pitchFamily="34" charset="0"/>
              <a:cs typeface="Calibri Light" panose="020F0302020204030204" pitchFamily="34" charset="0"/>
            </a:rPr>
            <a:pPr algn="ctr"/>
            <a:t>Resources and time</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1790144</xdr:colOff>
      <xdr:row>13</xdr:row>
      <xdr:rowOff>31250</xdr:rowOff>
    </xdr:from>
    <xdr:to>
      <xdr:col>3</xdr:col>
      <xdr:colOff>229187</xdr:colOff>
      <xdr:row>13</xdr:row>
      <xdr:rowOff>166076</xdr:rowOff>
    </xdr:to>
    <xdr:sp macro="" textlink="$J$84">
      <xdr:nvSpPr>
        <xdr:cNvPr id="27" name="Abgerundetes Rechteck 26">
          <a:extLst>
            <a:ext uri="{FF2B5EF4-FFF2-40B4-BE49-F238E27FC236}">
              <a16:creationId xmlns:a16="http://schemas.microsoft.com/office/drawing/2014/main" id="{00000000-0008-0000-1000-00001B000000}"/>
            </a:ext>
          </a:extLst>
        </xdr:cNvPr>
        <xdr:cNvSpPr/>
      </xdr:nvSpPr>
      <xdr:spPr>
        <a:xfrm>
          <a:off x="2533094" y="3355475"/>
          <a:ext cx="239268" cy="134826"/>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2501752-FFC2-4965-9449-B50BBC4C10E3}" type="TxLink">
            <a:rPr lang="de-CH" sz="800" b="0" i="0" u="none" strike="noStrike">
              <a:solidFill>
                <a:srgbClr val="000000"/>
              </a:solidFill>
              <a:latin typeface="Calibri"/>
            </a:rPr>
            <a:pPr algn="ctr"/>
            <a:t>0</a:t>
          </a:fld>
          <a:endParaRPr lang="de-CH" sz="800"/>
        </a:p>
      </xdr:txBody>
    </xdr:sp>
    <xdr:clientData/>
  </xdr:twoCellAnchor>
  <xdr:twoCellAnchor>
    <xdr:from>
      <xdr:col>3</xdr:col>
      <xdr:colOff>324607</xdr:colOff>
      <xdr:row>13</xdr:row>
      <xdr:rowOff>31250</xdr:rowOff>
    </xdr:from>
    <xdr:to>
      <xdr:col>3</xdr:col>
      <xdr:colOff>563875</xdr:colOff>
      <xdr:row>13</xdr:row>
      <xdr:rowOff>166076</xdr:rowOff>
    </xdr:to>
    <xdr:sp macro="" textlink="$J$85">
      <xdr:nvSpPr>
        <xdr:cNvPr id="28" name="Abgerundetes Rechteck 27">
          <a:extLst>
            <a:ext uri="{FF2B5EF4-FFF2-40B4-BE49-F238E27FC236}">
              <a16:creationId xmlns:a16="http://schemas.microsoft.com/office/drawing/2014/main" id="{00000000-0008-0000-1000-00001C000000}"/>
            </a:ext>
          </a:extLst>
        </xdr:cNvPr>
        <xdr:cNvSpPr/>
      </xdr:nvSpPr>
      <xdr:spPr>
        <a:xfrm>
          <a:off x="2867782" y="3355475"/>
          <a:ext cx="239268" cy="134826"/>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A6C81F0-F8CF-44BF-9046-A8FAA93AE5B5}" type="TxLink">
            <a:rPr lang="de-CH" sz="800" b="0" i="0" u="none" strike="noStrike">
              <a:solidFill>
                <a:srgbClr val="000000"/>
              </a:solidFill>
              <a:latin typeface="Calibri"/>
            </a:rPr>
            <a:pPr algn="ctr"/>
            <a:t>0</a:t>
          </a:fld>
          <a:endParaRPr lang="de-CH" sz="800"/>
        </a:p>
      </xdr:txBody>
    </xdr:sp>
    <xdr:clientData/>
  </xdr:twoCellAnchor>
  <xdr:twoCellAnchor>
    <xdr:from>
      <xdr:col>3</xdr:col>
      <xdr:colOff>651639</xdr:colOff>
      <xdr:row>13</xdr:row>
      <xdr:rowOff>30447</xdr:rowOff>
    </xdr:from>
    <xdr:to>
      <xdr:col>3</xdr:col>
      <xdr:colOff>890907</xdr:colOff>
      <xdr:row>13</xdr:row>
      <xdr:rowOff>165273</xdr:rowOff>
    </xdr:to>
    <xdr:sp macro="" textlink="$J$86">
      <xdr:nvSpPr>
        <xdr:cNvPr id="29" name="Abgerundetes Rechteck 28">
          <a:extLst>
            <a:ext uri="{FF2B5EF4-FFF2-40B4-BE49-F238E27FC236}">
              <a16:creationId xmlns:a16="http://schemas.microsoft.com/office/drawing/2014/main" id="{00000000-0008-0000-1000-00001D000000}"/>
            </a:ext>
          </a:extLst>
        </xdr:cNvPr>
        <xdr:cNvSpPr/>
      </xdr:nvSpPr>
      <xdr:spPr>
        <a:xfrm>
          <a:off x="3194814" y="3354672"/>
          <a:ext cx="239268" cy="134826"/>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8D210B0-1696-4886-B27B-2E0B62D2750B}" type="TxLink">
            <a:rPr lang="de-CH" sz="800"/>
            <a:pPr algn="ctr"/>
            <a:t>0</a:t>
          </a:fld>
          <a:endParaRPr lang="de-CH" sz="800"/>
        </a:p>
      </xdr:txBody>
    </xdr:sp>
    <xdr:clientData/>
  </xdr:twoCellAnchor>
  <xdr:twoCellAnchor editAs="oneCell">
    <xdr:from>
      <xdr:col>0</xdr:col>
      <xdr:colOff>57150</xdr:colOff>
      <xdr:row>37</xdr:row>
      <xdr:rowOff>0</xdr:rowOff>
    </xdr:from>
    <xdr:to>
      <xdr:col>0</xdr:col>
      <xdr:colOff>381150</xdr:colOff>
      <xdr:row>38</xdr:row>
      <xdr:rowOff>58765</xdr:rowOff>
    </xdr:to>
    <xdr:grpSp>
      <xdr:nvGrpSpPr>
        <xdr:cNvPr id="39" name="Gruppieren 38">
          <a:hlinkClick xmlns:r="http://schemas.openxmlformats.org/officeDocument/2006/relationships" r:id="rId7"/>
          <a:extLst>
            <a:ext uri="{FF2B5EF4-FFF2-40B4-BE49-F238E27FC236}">
              <a16:creationId xmlns:a16="http://schemas.microsoft.com/office/drawing/2014/main" id="{00000000-0008-0000-1000-000027000000}"/>
            </a:ext>
          </a:extLst>
        </xdr:cNvPr>
        <xdr:cNvGrpSpPr/>
      </xdr:nvGrpSpPr>
      <xdr:grpSpPr>
        <a:xfrm>
          <a:off x="57150" y="9928860"/>
          <a:ext cx="324000" cy="325465"/>
          <a:chOff x="66675" y="4972050"/>
          <a:chExt cx="324000" cy="325465"/>
        </a:xfrm>
      </xdr:grpSpPr>
      <xdr:sp macro="" textlink="">
        <xdr:nvSpPr>
          <xdr:cNvPr id="40" name="Rechteck 39">
            <a:extLst>
              <a:ext uri="{FF2B5EF4-FFF2-40B4-BE49-F238E27FC236}">
                <a16:creationId xmlns:a16="http://schemas.microsoft.com/office/drawing/2014/main" id="{00000000-0008-0000-1000-00002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1" name="Pfeil nach oben 40">
            <a:extLst>
              <a:ext uri="{FF2B5EF4-FFF2-40B4-BE49-F238E27FC236}">
                <a16:creationId xmlns:a16="http://schemas.microsoft.com/office/drawing/2014/main" id="{00000000-0008-0000-1000-00002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52</xdr:row>
      <xdr:rowOff>0</xdr:rowOff>
    </xdr:from>
    <xdr:to>
      <xdr:col>0</xdr:col>
      <xdr:colOff>381150</xdr:colOff>
      <xdr:row>53</xdr:row>
      <xdr:rowOff>58765</xdr:rowOff>
    </xdr:to>
    <xdr:grpSp>
      <xdr:nvGrpSpPr>
        <xdr:cNvPr id="42" name="Gruppieren 41">
          <a:hlinkClick xmlns:r="http://schemas.openxmlformats.org/officeDocument/2006/relationships" r:id="rId7"/>
          <a:extLst>
            <a:ext uri="{FF2B5EF4-FFF2-40B4-BE49-F238E27FC236}">
              <a16:creationId xmlns:a16="http://schemas.microsoft.com/office/drawing/2014/main" id="{00000000-0008-0000-1000-00002A000000}"/>
            </a:ext>
          </a:extLst>
        </xdr:cNvPr>
        <xdr:cNvGrpSpPr/>
      </xdr:nvGrpSpPr>
      <xdr:grpSpPr>
        <a:xfrm>
          <a:off x="57150" y="14234160"/>
          <a:ext cx="324000" cy="325465"/>
          <a:chOff x="66675" y="4972050"/>
          <a:chExt cx="324000" cy="325465"/>
        </a:xfrm>
      </xdr:grpSpPr>
      <xdr:sp macro="" textlink="">
        <xdr:nvSpPr>
          <xdr:cNvPr id="43" name="Rechteck 42">
            <a:extLst>
              <a:ext uri="{FF2B5EF4-FFF2-40B4-BE49-F238E27FC236}">
                <a16:creationId xmlns:a16="http://schemas.microsoft.com/office/drawing/2014/main" id="{00000000-0008-0000-1000-00002B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4" name="Pfeil nach oben 43">
            <a:extLst>
              <a:ext uri="{FF2B5EF4-FFF2-40B4-BE49-F238E27FC236}">
                <a16:creationId xmlns:a16="http://schemas.microsoft.com/office/drawing/2014/main" id="{00000000-0008-0000-1000-00002C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67</xdr:row>
      <xdr:rowOff>0</xdr:rowOff>
    </xdr:from>
    <xdr:to>
      <xdr:col>0</xdr:col>
      <xdr:colOff>381150</xdr:colOff>
      <xdr:row>68</xdr:row>
      <xdr:rowOff>58765</xdr:rowOff>
    </xdr:to>
    <xdr:grpSp>
      <xdr:nvGrpSpPr>
        <xdr:cNvPr id="45" name="Gruppieren 44">
          <a:hlinkClick xmlns:r="http://schemas.openxmlformats.org/officeDocument/2006/relationships" r:id="rId7"/>
          <a:extLst>
            <a:ext uri="{FF2B5EF4-FFF2-40B4-BE49-F238E27FC236}">
              <a16:creationId xmlns:a16="http://schemas.microsoft.com/office/drawing/2014/main" id="{00000000-0008-0000-1000-00002D000000}"/>
            </a:ext>
          </a:extLst>
        </xdr:cNvPr>
        <xdr:cNvGrpSpPr/>
      </xdr:nvGrpSpPr>
      <xdr:grpSpPr>
        <a:xfrm>
          <a:off x="57150" y="18531840"/>
          <a:ext cx="324000" cy="325465"/>
          <a:chOff x="66675" y="4972050"/>
          <a:chExt cx="324000" cy="325465"/>
        </a:xfrm>
      </xdr:grpSpPr>
      <xdr:sp macro="" textlink="">
        <xdr:nvSpPr>
          <xdr:cNvPr id="46" name="Rechteck 45">
            <a:extLst>
              <a:ext uri="{FF2B5EF4-FFF2-40B4-BE49-F238E27FC236}">
                <a16:creationId xmlns:a16="http://schemas.microsoft.com/office/drawing/2014/main" id="{00000000-0008-0000-1000-00002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7" name="Pfeil nach oben 46">
            <a:extLst>
              <a:ext uri="{FF2B5EF4-FFF2-40B4-BE49-F238E27FC236}">
                <a16:creationId xmlns:a16="http://schemas.microsoft.com/office/drawing/2014/main" id="{00000000-0008-0000-1000-00002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82</xdr:row>
      <xdr:rowOff>0</xdr:rowOff>
    </xdr:from>
    <xdr:to>
      <xdr:col>0</xdr:col>
      <xdr:colOff>381150</xdr:colOff>
      <xdr:row>83</xdr:row>
      <xdr:rowOff>58765</xdr:rowOff>
    </xdr:to>
    <xdr:grpSp>
      <xdr:nvGrpSpPr>
        <xdr:cNvPr id="48" name="Gruppieren 47">
          <a:hlinkClick xmlns:r="http://schemas.openxmlformats.org/officeDocument/2006/relationships" r:id="rId7"/>
          <a:extLst>
            <a:ext uri="{FF2B5EF4-FFF2-40B4-BE49-F238E27FC236}">
              <a16:creationId xmlns:a16="http://schemas.microsoft.com/office/drawing/2014/main" id="{00000000-0008-0000-1000-000030000000}"/>
            </a:ext>
          </a:extLst>
        </xdr:cNvPr>
        <xdr:cNvGrpSpPr/>
      </xdr:nvGrpSpPr>
      <xdr:grpSpPr>
        <a:xfrm>
          <a:off x="57150" y="22814280"/>
          <a:ext cx="324000" cy="325465"/>
          <a:chOff x="66675" y="4972050"/>
          <a:chExt cx="324000" cy="325465"/>
        </a:xfrm>
      </xdr:grpSpPr>
      <xdr:sp macro="" textlink="">
        <xdr:nvSpPr>
          <xdr:cNvPr id="49" name="Rechteck 48">
            <a:extLst>
              <a:ext uri="{FF2B5EF4-FFF2-40B4-BE49-F238E27FC236}">
                <a16:creationId xmlns:a16="http://schemas.microsoft.com/office/drawing/2014/main" id="{00000000-0008-0000-1000-000031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0" name="Pfeil nach oben 49">
            <a:extLst>
              <a:ext uri="{FF2B5EF4-FFF2-40B4-BE49-F238E27FC236}">
                <a16:creationId xmlns:a16="http://schemas.microsoft.com/office/drawing/2014/main" id="{00000000-0008-0000-1000-000032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93</xdr:row>
      <xdr:rowOff>0</xdr:rowOff>
    </xdr:from>
    <xdr:to>
      <xdr:col>0</xdr:col>
      <xdr:colOff>381150</xdr:colOff>
      <xdr:row>94</xdr:row>
      <xdr:rowOff>30190</xdr:rowOff>
    </xdr:to>
    <xdr:grpSp>
      <xdr:nvGrpSpPr>
        <xdr:cNvPr id="51" name="Gruppieren 50">
          <a:hlinkClick xmlns:r="http://schemas.openxmlformats.org/officeDocument/2006/relationships" r:id="rId7" tooltip="Top"/>
          <a:extLst>
            <a:ext uri="{FF2B5EF4-FFF2-40B4-BE49-F238E27FC236}">
              <a16:creationId xmlns:a16="http://schemas.microsoft.com/office/drawing/2014/main" id="{00000000-0008-0000-1000-000033000000}"/>
            </a:ext>
          </a:extLst>
        </xdr:cNvPr>
        <xdr:cNvGrpSpPr/>
      </xdr:nvGrpSpPr>
      <xdr:grpSpPr>
        <a:xfrm>
          <a:off x="57150" y="26273760"/>
          <a:ext cx="324000" cy="327370"/>
          <a:chOff x="66675" y="4972050"/>
          <a:chExt cx="324000" cy="325465"/>
        </a:xfrm>
      </xdr:grpSpPr>
      <xdr:sp macro="" textlink="">
        <xdr:nvSpPr>
          <xdr:cNvPr id="52" name="Rechteck 51">
            <a:extLst>
              <a:ext uri="{FF2B5EF4-FFF2-40B4-BE49-F238E27FC236}">
                <a16:creationId xmlns:a16="http://schemas.microsoft.com/office/drawing/2014/main" id="{00000000-0008-0000-1000-00003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3" name="Pfeil nach oben 52">
            <a:extLst>
              <a:ext uri="{FF2B5EF4-FFF2-40B4-BE49-F238E27FC236}">
                <a16:creationId xmlns:a16="http://schemas.microsoft.com/office/drawing/2014/main" id="{00000000-0008-0000-1000-00003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1524000</xdr:colOff>
          <xdr:row>0</xdr:row>
          <xdr:rowOff>0</xdr:rowOff>
        </xdr:from>
        <xdr:to>
          <xdr:col>8</xdr:col>
          <xdr:colOff>409575</xdr:colOff>
          <xdr:row>0</xdr:row>
          <xdr:rowOff>533400</xdr:rowOff>
        </xdr:to>
        <xdr:pic>
          <xdr:nvPicPr>
            <xdr:cNvPr id="60" name="Grafik 59">
              <a:extLst>
                <a:ext uri="{FF2B5EF4-FFF2-40B4-BE49-F238E27FC236}">
                  <a16:creationId xmlns:a16="http://schemas.microsoft.com/office/drawing/2014/main" id="{00000000-0008-0000-1000-00003C000000}"/>
                </a:ext>
              </a:extLst>
            </xdr:cNvPr>
            <xdr:cNvPicPr>
              <a:picLocks noChangeAspect="1" noChangeArrowheads="1"/>
              <a:extLst>
                <a:ext uri="{84589F7E-364E-4C9E-8A38-B11213B215E9}">
                  <a14:cameraTool cellRange="Logo!$D$6" spid="_x0000_s220362"/>
                </a:ext>
              </a:extLst>
            </xdr:cNvPicPr>
          </xdr:nvPicPr>
          <xdr:blipFill>
            <a:blip xmlns:r="http://schemas.openxmlformats.org/officeDocument/2006/relationships" r:embed="rId8"/>
            <a:srcRect/>
            <a:stretch>
              <a:fillRect/>
            </a:stretch>
          </xdr:blipFill>
          <xdr:spPr bwMode="auto">
            <a:xfrm>
              <a:off x="7877175" y="0"/>
              <a:ext cx="2171700" cy="533400"/>
            </a:xfrm>
            <a:prstGeom prst="rect">
              <a:avLst/>
            </a:prstGeom>
            <a:solidFill>
              <a:schemeClr val="bg1"/>
            </a:solidFill>
            <a:ln w="9525">
              <a:noFill/>
              <a:miter lim="800000"/>
              <a:headEnd/>
              <a:tailEnd/>
            </a:ln>
          </xdr:spPr>
        </xdr:pic>
        <xdr:clientData/>
      </xdr:twoCellAnchor>
    </mc:Choice>
    <mc:Fallback/>
  </mc:AlternateContent>
  <xdr:twoCellAnchor>
    <xdr:from>
      <xdr:col>7</xdr:col>
      <xdr:colOff>2847975</xdr:colOff>
      <xdr:row>2</xdr:row>
      <xdr:rowOff>47625</xdr:rowOff>
    </xdr:from>
    <xdr:to>
      <xdr:col>8</xdr:col>
      <xdr:colOff>370500</xdr:colOff>
      <xdr:row>2</xdr:row>
      <xdr:rowOff>232387</xdr:rowOff>
    </xdr:to>
    <xdr:grpSp>
      <xdr:nvGrpSpPr>
        <xdr:cNvPr id="33" name="Gruppieren 32">
          <a:extLst>
            <a:ext uri="{FF2B5EF4-FFF2-40B4-BE49-F238E27FC236}">
              <a16:creationId xmlns:a16="http://schemas.microsoft.com/office/drawing/2014/main" id="{00000000-0008-0000-1000-000021000000}"/>
            </a:ext>
          </a:extLst>
        </xdr:cNvPr>
        <xdr:cNvGrpSpPr/>
      </xdr:nvGrpSpPr>
      <xdr:grpSpPr>
        <a:xfrm>
          <a:off x="9363075" y="1144905"/>
          <a:ext cx="890565" cy="184762"/>
          <a:chOff x="9124950" y="609600"/>
          <a:chExt cx="799125" cy="184762"/>
        </a:xfrm>
      </xdr:grpSpPr>
      <xdr:sp macro="[0]!Register_ein" textlink="">
        <xdr:nvSpPr>
          <xdr:cNvPr id="55" name="Rechteck 78">
            <a:extLst>
              <a:ext uri="{FF2B5EF4-FFF2-40B4-BE49-F238E27FC236}">
                <a16:creationId xmlns:a16="http://schemas.microsoft.com/office/drawing/2014/main" id="{00000000-0008-0000-1000-000037000000}"/>
              </a:ext>
            </a:extLst>
          </xdr:cNvPr>
          <xdr:cNvSpPr>
            <a:spLocks noChangeAspect="1"/>
          </xdr:cNvSpPr>
        </xdr:nvSpPr>
        <xdr:spPr>
          <a:xfrm>
            <a:off x="9124950" y="60960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56" name="Rechteck 84">
            <a:extLst>
              <a:ext uri="{FF2B5EF4-FFF2-40B4-BE49-F238E27FC236}">
                <a16:creationId xmlns:a16="http://schemas.microsoft.com/office/drawing/2014/main" id="{00000000-0008-0000-1000-000038000000}"/>
              </a:ext>
            </a:extLst>
          </xdr:cNvPr>
          <xdr:cNvSpPr>
            <a:spLocks noChangeAspect="1"/>
          </xdr:cNvSpPr>
        </xdr:nvSpPr>
        <xdr:spPr>
          <a:xfrm>
            <a:off x="9344977" y="60960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nvGrpSpPr>
          <xdr:cNvPr id="57" name="Gruppieren 47">
            <a:hlinkClick xmlns:r="http://schemas.openxmlformats.org/officeDocument/2006/relationships" r:id="rId9" tooltip="Help"/>
            <a:extLst>
              <a:ext uri="{FF2B5EF4-FFF2-40B4-BE49-F238E27FC236}">
                <a16:creationId xmlns:a16="http://schemas.microsoft.com/office/drawing/2014/main" id="{00000000-0008-0000-1000-000039000000}"/>
              </a:ext>
            </a:extLst>
          </xdr:cNvPr>
          <xdr:cNvGrpSpPr>
            <a:grpSpLocks noChangeAspect="1"/>
          </xdr:cNvGrpSpPr>
        </xdr:nvGrpSpPr>
        <xdr:grpSpPr>
          <a:xfrm>
            <a:off x="9744075" y="614362"/>
            <a:ext cx="180000" cy="180000"/>
            <a:chOff x="8105775" y="571500"/>
            <a:chExt cx="172800" cy="172800"/>
          </a:xfrm>
        </xdr:grpSpPr>
        <xdr:sp macro="" textlink="">
          <xdr:nvSpPr>
            <xdr:cNvPr id="66" name="Rechteck 48">
              <a:extLst>
                <a:ext uri="{FF2B5EF4-FFF2-40B4-BE49-F238E27FC236}">
                  <a16:creationId xmlns:a16="http://schemas.microsoft.com/office/drawing/2014/main" id="{00000000-0008-0000-1000-00004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7" name="Textfeld 49">
              <a:extLst>
                <a:ext uri="{FF2B5EF4-FFF2-40B4-BE49-F238E27FC236}">
                  <a16:creationId xmlns:a16="http://schemas.microsoft.com/office/drawing/2014/main" id="{00000000-0008-0000-1000-00004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grpSp>
    <xdr:clientData fPrintsWithSheet="0"/>
  </xdr:twoCellAnchor>
  <xdr:twoCellAnchor editAs="oneCell">
    <xdr:from>
      <xdr:col>0</xdr:col>
      <xdr:colOff>57150</xdr:colOff>
      <xdr:row>0</xdr:row>
      <xdr:rowOff>161925</xdr:rowOff>
    </xdr:from>
    <xdr:to>
      <xdr:col>0</xdr:col>
      <xdr:colOff>381150</xdr:colOff>
      <xdr:row>0</xdr:row>
      <xdr:rowOff>487390</xdr:rowOff>
    </xdr:to>
    <xdr:grpSp>
      <xdr:nvGrpSpPr>
        <xdr:cNvPr id="71" name="Gruppieren 70">
          <a:hlinkClick xmlns:r="http://schemas.openxmlformats.org/officeDocument/2006/relationships" r:id="rId10" tooltip="Home"/>
          <a:extLst>
            <a:ext uri="{FF2B5EF4-FFF2-40B4-BE49-F238E27FC236}">
              <a16:creationId xmlns:a16="http://schemas.microsoft.com/office/drawing/2014/main" id="{00000000-0008-0000-1000-000047000000}"/>
            </a:ext>
          </a:extLst>
        </xdr:cNvPr>
        <xdr:cNvGrpSpPr/>
      </xdr:nvGrpSpPr>
      <xdr:grpSpPr>
        <a:xfrm>
          <a:off x="57150" y="161925"/>
          <a:ext cx="324000" cy="325465"/>
          <a:chOff x="12729063" y="1298331"/>
          <a:chExt cx="324000" cy="323267"/>
        </a:xfrm>
      </xdr:grpSpPr>
      <xdr:sp macro="" textlink="">
        <xdr:nvSpPr>
          <xdr:cNvPr id="72" name="Rechteck 71">
            <a:extLst>
              <a:ext uri="{FF2B5EF4-FFF2-40B4-BE49-F238E27FC236}">
                <a16:creationId xmlns:a16="http://schemas.microsoft.com/office/drawing/2014/main" id="{00000000-0008-0000-1000-000048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73" name="Grafik 72" descr="http://www.clker.com/cliparts/Z/I/5/L/X/x/white-house-md.png">
            <a:extLst>
              <a:ext uri="{FF2B5EF4-FFF2-40B4-BE49-F238E27FC236}">
                <a16:creationId xmlns:a16="http://schemas.microsoft.com/office/drawing/2014/main" id="{00000000-0008-0000-1000-000049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1</xdr:col>
      <xdr:colOff>9525</xdr:colOff>
      <xdr:row>1</xdr:row>
      <xdr:rowOff>161925</xdr:rowOff>
    </xdr:from>
    <xdr:to>
      <xdr:col>2</xdr:col>
      <xdr:colOff>1027152</xdr:colOff>
      <xdr:row>1</xdr:row>
      <xdr:rowOff>485776</xdr:rowOff>
    </xdr:to>
    <xdr:sp macro="" textlink="' '!A354">
      <xdr:nvSpPr>
        <xdr:cNvPr id="62" name="Rechteck: obere Ecken abgerundet 14">
          <a:hlinkClick xmlns:r="http://schemas.openxmlformats.org/officeDocument/2006/relationships" r:id="rId12" tooltip="Go to"/>
          <a:extLst>
            <a:ext uri="{FF2B5EF4-FFF2-40B4-BE49-F238E27FC236}">
              <a16:creationId xmlns:a16="http://schemas.microsoft.com/office/drawing/2014/main" id="{00000000-0008-0000-1000-00003E000000}"/>
            </a:ext>
          </a:extLst>
        </xdr:cNvPr>
        <xdr:cNvSpPr/>
      </xdr:nvSpPr>
      <xdr:spPr>
        <a:xfrm>
          <a:off x="476250" y="714375"/>
          <a:ext cx="1293852" cy="323851"/>
        </a:xfrm>
        <a:prstGeom prst="round2SameRect">
          <a:avLst/>
        </a:prstGeom>
        <a:gradFill>
          <a:gsLst>
            <a:gs pos="0">
              <a:srgbClr val="3379CD"/>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197C67BD-1058-40E3-8FD7-995D5853C536}" type="TxLink">
            <a:rPr kumimoji="0" lang="en-US"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Stakeholder</a:t>
          </a:fld>
          <a:endParaRPr kumimoji="0" lang="de-CH"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1075150</xdr:colOff>
      <xdr:row>1</xdr:row>
      <xdr:rowOff>161925</xdr:rowOff>
    </xdr:from>
    <xdr:to>
      <xdr:col>3</xdr:col>
      <xdr:colOff>568777</xdr:colOff>
      <xdr:row>1</xdr:row>
      <xdr:rowOff>485776</xdr:rowOff>
    </xdr:to>
    <xdr:sp macro="" textlink="">
      <xdr:nvSpPr>
        <xdr:cNvPr id="63" name="Rechteck: obere Ecken abgerundet 15">
          <a:hlinkClick xmlns:r="http://schemas.openxmlformats.org/officeDocument/2006/relationships" r:id="rId13" tooltip="Go to"/>
          <a:extLst>
            <a:ext uri="{FF2B5EF4-FFF2-40B4-BE49-F238E27FC236}">
              <a16:creationId xmlns:a16="http://schemas.microsoft.com/office/drawing/2014/main" id="{00000000-0008-0000-1000-00003F000000}"/>
            </a:ext>
          </a:extLst>
        </xdr:cNvPr>
        <xdr:cNvSpPr/>
      </xdr:nvSpPr>
      <xdr:spPr>
        <a:xfrm>
          <a:off x="1818100" y="714375"/>
          <a:ext cx="1293852" cy="323851"/>
        </a:xfrm>
        <a:prstGeom prst="round2SameRect">
          <a:avLst/>
        </a:prstGeom>
        <a:gradFill>
          <a:gsLst>
            <a:gs pos="0">
              <a:srgbClr val="3379CD"/>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SWOT</a:t>
          </a:r>
        </a:p>
      </xdr:txBody>
    </xdr:sp>
    <xdr:clientData/>
  </xdr:twoCellAnchor>
  <xdr:twoCellAnchor>
    <xdr:from>
      <xdr:col>3</xdr:col>
      <xdr:colOff>616773</xdr:colOff>
      <xdr:row>1</xdr:row>
      <xdr:rowOff>161925</xdr:rowOff>
    </xdr:from>
    <xdr:to>
      <xdr:col>3</xdr:col>
      <xdr:colOff>1910625</xdr:colOff>
      <xdr:row>1</xdr:row>
      <xdr:rowOff>485776</xdr:rowOff>
    </xdr:to>
    <xdr:sp macro="" textlink="' '!A26">
      <xdr:nvSpPr>
        <xdr:cNvPr id="64" name="Rechteck: obere Ecken abgerundet 21">
          <a:hlinkClick xmlns:r="http://schemas.openxmlformats.org/officeDocument/2006/relationships" r:id="rId14" tooltip="Go to"/>
          <a:extLst>
            <a:ext uri="{FF2B5EF4-FFF2-40B4-BE49-F238E27FC236}">
              <a16:creationId xmlns:a16="http://schemas.microsoft.com/office/drawing/2014/main" id="{00000000-0008-0000-1000-000040000000}"/>
            </a:ext>
          </a:extLst>
        </xdr:cNvPr>
        <xdr:cNvSpPr/>
      </xdr:nvSpPr>
      <xdr:spPr>
        <a:xfrm>
          <a:off x="3159948" y="714375"/>
          <a:ext cx="1293852" cy="323851"/>
        </a:xfrm>
        <a:prstGeom prst="round2SameRect">
          <a:avLst/>
        </a:prstGeom>
        <a:gradFill>
          <a:gsLst>
            <a:gs pos="0">
              <a:srgbClr val="3379CD"/>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8D85195D-624A-4BA0-8786-3DC11AB63062}"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Risks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xdr:twoCellAnchor>
  <xdr:twoCellAnchor>
    <xdr:from>
      <xdr:col>3</xdr:col>
      <xdr:colOff>1954173</xdr:colOff>
      <xdr:row>1</xdr:row>
      <xdr:rowOff>161925</xdr:rowOff>
    </xdr:from>
    <xdr:to>
      <xdr:col>4</xdr:col>
      <xdr:colOff>571500</xdr:colOff>
      <xdr:row>1</xdr:row>
      <xdr:rowOff>485776</xdr:rowOff>
    </xdr:to>
    <xdr:sp macro="" textlink="">
      <xdr:nvSpPr>
        <xdr:cNvPr id="87" name="Rechteck: obere Ecken abgerundet 21">
          <a:hlinkClick xmlns:r="http://schemas.openxmlformats.org/officeDocument/2006/relationships" r:id="rId15" tooltip="Go to"/>
          <a:extLst>
            <a:ext uri="{FF2B5EF4-FFF2-40B4-BE49-F238E27FC236}">
              <a16:creationId xmlns:a16="http://schemas.microsoft.com/office/drawing/2014/main" id="{00000000-0008-0000-1000-000057000000}"/>
            </a:ext>
          </a:extLst>
        </xdr:cNvPr>
        <xdr:cNvSpPr/>
      </xdr:nvSpPr>
      <xdr:spPr>
        <a:xfrm>
          <a:off x="4497348" y="714375"/>
          <a:ext cx="1293852" cy="323851"/>
        </a:xfrm>
        <a:prstGeom prst="round2SameRect">
          <a:avLst/>
        </a:prstGeom>
        <a:gradFill>
          <a:gsLst>
            <a:gs pos="0">
              <a:srgbClr val="3379CD"/>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t>COM</a:t>
          </a:r>
        </a:p>
      </xdr:txBody>
    </xdr:sp>
    <xdr:clientData/>
  </xdr:twoCellAnchor>
  <xdr:twoCellAnchor>
    <xdr:from>
      <xdr:col>7</xdr:col>
      <xdr:colOff>228600</xdr:colOff>
      <xdr:row>1</xdr:row>
      <xdr:rowOff>180975</xdr:rowOff>
    </xdr:from>
    <xdr:to>
      <xdr:col>8</xdr:col>
      <xdr:colOff>367997</xdr:colOff>
      <xdr:row>1</xdr:row>
      <xdr:rowOff>504826</xdr:rowOff>
    </xdr:to>
    <xdr:grpSp>
      <xdr:nvGrpSpPr>
        <xdr:cNvPr id="34" name="Gruppieren 33">
          <a:extLst>
            <a:ext uri="{FF2B5EF4-FFF2-40B4-BE49-F238E27FC236}">
              <a16:creationId xmlns:a16="http://schemas.microsoft.com/office/drawing/2014/main" id="{00000000-0008-0000-1000-000022000000}"/>
            </a:ext>
          </a:extLst>
        </xdr:cNvPr>
        <xdr:cNvGrpSpPr/>
      </xdr:nvGrpSpPr>
      <xdr:grpSpPr>
        <a:xfrm>
          <a:off x="6743700" y="729615"/>
          <a:ext cx="3507437" cy="323851"/>
          <a:chOff x="6343650" y="733425"/>
          <a:chExt cx="3415997" cy="323851"/>
        </a:xfrm>
      </xdr:grpSpPr>
      <xdr:sp macro="" textlink="' '!A42">
        <xdr:nvSpPr>
          <xdr:cNvPr id="68" name="Rechteck: obere Ecken abgerundet 14">
            <a:hlinkClick xmlns:r="http://schemas.openxmlformats.org/officeDocument/2006/relationships" r:id="rId16" tooltip="Go to"/>
            <a:extLst>
              <a:ext uri="{FF2B5EF4-FFF2-40B4-BE49-F238E27FC236}">
                <a16:creationId xmlns:a16="http://schemas.microsoft.com/office/drawing/2014/main" id="{00000000-0008-0000-1000-000044000000}"/>
              </a:ext>
            </a:extLst>
          </xdr:cNvPr>
          <xdr:cNvSpPr/>
        </xdr:nvSpPr>
        <xdr:spPr>
          <a:xfrm>
            <a:off x="6343650" y="733425"/>
            <a:ext cx="1107626" cy="323851"/>
          </a:xfrm>
          <a:prstGeom prst="round2SameRect">
            <a:avLst/>
          </a:prstGeom>
          <a:gradFill>
            <a:gsLst>
              <a:gs pos="0">
                <a:srgbClr val="3379CD"/>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DF180037-2256-4E48-9582-5F5F25A3206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Vision/Story</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99">
        <xdr:nvSpPr>
          <xdr:cNvPr id="70" name="Rechteck: obere Ecken abgerundet 21">
            <a:hlinkClick xmlns:r="http://schemas.openxmlformats.org/officeDocument/2006/relationships" r:id="rId17" tooltip="Go to"/>
            <a:extLst>
              <a:ext uri="{FF2B5EF4-FFF2-40B4-BE49-F238E27FC236}">
                <a16:creationId xmlns:a16="http://schemas.microsoft.com/office/drawing/2014/main" id="{00000000-0008-0000-1000-000046000000}"/>
              </a:ext>
            </a:extLst>
          </xdr:cNvPr>
          <xdr:cNvSpPr/>
        </xdr:nvSpPr>
        <xdr:spPr>
          <a:xfrm>
            <a:off x="7489971" y="733425"/>
            <a:ext cx="1107626" cy="323851"/>
          </a:xfrm>
          <a:prstGeom prst="round2SameRect">
            <a:avLst/>
          </a:prstGeom>
          <a:gradFill>
            <a:gsLst>
              <a:gs pos="0">
                <a:srgbClr val="3379CD"/>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B30CCE5D-7603-4D52-AF6F-92F43715BA50}" type="TxLink">
              <a:rPr kumimoji="0" lang="en-US"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Product Backlog</a:t>
            </a:fld>
            <a:endParaRPr kumimoji="0" lang="de-CH" sz="11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16">
        <xdr:nvSpPr>
          <xdr:cNvPr id="76" name="Rechteck: obere Ecken abgerundet 21">
            <a:hlinkClick xmlns:r="http://schemas.openxmlformats.org/officeDocument/2006/relationships" r:id="rId18" tooltip="Go to"/>
            <a:extLst>
              <a:ext uri="{FF2B5EF4-FFF2-40B4-BE49-F238E27FC236}">
                <a16:creationId xmlns:a16="http://schemas.microsoft.com/office/drawing/2014/main" id="{00000000-0008-0000-1000-00004C000000}"/>
              </a:ext>
            </a:extLst>
          </xdr:cNvPr>
          <xdr:cNvSpPr/>
        </xdr:nvSpPr>
        <xdr:spPr>
          <a:xfrm>
            <a:off x="8652021" y="733425"/>
            <a:ext cx="1107626" cy="323851"/>
          </a:xfrm>
          <a:prstGeom prst="round2SameRect">
            <a:avLst/>
          </a:prstGeom>
          <a:gradFill>
            <a:gsLst>
              <a:gs pos="0">
                <a:srgbClr val="3379CD"/>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54CEBFAF-5400-4620-8F09-CC26E78D84E0}" type="TxLink">
              <a:rPr kumimoji="0" lang="en-US"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Sprint Backlog</a:t>
            </a:fld>
            <a:endParaRPr kumimoji="0" lang="de-CH" sz="12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76200</xdr:colOff>
      <xdr:row>0</xdr:row>
      <xdr:rowOff>57150</xdr:rowOff>
    </xdr:from>
    <xdr:to>
      <xdr:col>0</xdr:col>
      <xdr:colOff>400200</xdr:colOff>
      <xdr:row>0</xdr:row>
      <xdr:rowOff>382615</xdr:rowOff>
    </xdr:to>
    <xdr:grpSp>
      <xdr:nvGrpSpPr>
        <xdr:cNvPr id="5" name="Gruppieren 53">
          <a:hlinkClick xmlns:r="http://schemas.openxmlformats.org/officeDocument/2006/relationships" r:id="rId1" tooltip="back"/>
          <a:extLst>
            <a:ext uri="{FF2B5EF4-FFF2-40B4-BE49-F238E27FC236}">
              <a16:creationId xmlns:a16="http://schemas.microsoft.com/office/drawing/2014/main" id="{00000000-0008-0000-1100-000005000000}"/>
            </a:ext>
          </a:extLst>
        </xdr:cNvPr>
        <xdr:cNvGrpSpPr/>
      </xdr:nvGrpSpPr>
      <xdr:grpSpPr>
        <a:xfrm>
          <a:off x="76200" y="57150"/>
          <a:ext cx="324000" cy="325465"/>
          <a:chOff x="9191625" y="3009900"/>
          <a:chExt cx="324000" cy="325465"/>
        </a:xfrm>
      </xdr:grpSpPr>
      <xdr:sp macro="" textlink="">
        <xdr:nvSpPr>
          <xdr:cNvPr id="6" name="Rechteck 57">
            <a:extLst>
              <a:ext uri="{FF2B5EF4-FFF2-40B4-BE49-F238E27FC236}">
                <a16:creationId xmlns:a16="http://schemas.microsoft.com/office/drawing/2014/main" id="{00000000-0008-0000-11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58">
            <a:extLst>
              <a:ext uri="{FF2B5EF4-FFF2-40B4-BE49-F238E27FC236}">
                <a16:creationId xmlns:a16="http://schemas.microsoft.com/office/drawing/2014/main" id="{00000000-0008-0000-11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16</xdr:col>
          <xdr:colOff>104776</xdr:colOff>
          <xdr:row>0</xdr:row>
          <xdr:rowOff>9526</xdr:rowOff>
        </xdr:from>
        <xdr:to>
          <xdr:col>23</xdr:col>
          <xdr:colOff>200026</xdr:colOff>
          <xdr:row>0</xdr:row>
          <xdr:rowOff>421274</xdr:rowOff>
        </xdr:to>
        <xdr:pic>
          <xdr:nvPicPr>
            <xdr:cNvPr id="8" name="Grafik 7">
              <a:extLst>
                <a:ext uri="{FF2B5EF4-FFF2-40B4-BE49-F238E27FC236}">
                  <a16:creationId xmlns:a16="http://schemas.microsoft.com/office/drawing/2014/main" id="{00000000-0008-0000-1100-000008000000}"/>
                </a:ext>
              </a:extLst>
            </xdr:cNvPr>
            <xdr:cNvPicPr>
              <a:picLocks noChangeAspect="1" noChangeArrowheads="1"/>
              <a:extLst>
                <a:ext uri="{84589F7E-364E-4C9E-8A38-B11213B215E9}">
                  <a14:cameraTool cellRange="Logo!$D$6" spid="_x0000_s345909"/>
                </a:ext>
              </a:extLst>
            </xdr:cNvPicPr>
          </xdr:nvPicPr>
          <xdr:blipFill>
            <a:blip xmlns:r="http://schemas.openxmlformats.org/officeDocument/2006/relationships" r:embed="rId2"/>
            <a:srcRect/>
            <a:stretch>
              <a:fillRect/>
            </a:stretch>
          </xdr:blipFill>
          <xdr:spPr bwMode="auto">
            <a:xfrm>
              <a:off x="4010026" y="9526"/>
              <a:ext cx="1676400" cy="411748"/>
            </a:xfrm>
            <a:prstGeom prst="rect">
              <a:avLst/>
            </a:prstGeom>
            <a:solidFill>
              <a:schemeClr val="bg1"/>
            </a:solidFill>
            <a:ln w="9525">
              <a:noFill/>
              <a:miter lim="800000"/>
              <a:headEnd/>
              <a:tailEnd/>
            </a:ln>
          </xdr:spPr>
        </xdr:pic>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0</xdr:col>
      <xdr:colOff>107950</xdr:colOff>
      <xdr:row>0</xdr:row>
      <xdr:rowOff>104775</xdr:rowOff>
    </xdr:from>
    <xdr:to>
      <xdr:col>0</xdr:col>
      <xdr:colOff>431950</xdr:colOff>
      <xdr:row>2</xdr:row>
      <xdr:rowOff>49240</xdr:rowOff>
    </xdr:to>
    <xdr:grpSp>
      <xdr:nvGrpSpPr>
        <xdr:cNvPr id="2" name="Gruppieren 1">
          <a:hlinkClick xmlns:r="http://schemas.openxmlformats.org/officeDocument/2006/relationships" r:id="rId1" tooltip="Home"/>
          <a:extLst>
            <a:ext uri="{FF2B5EF4-FFF2-40B4-BE49-F238E27FC236}">
              <a16:creationId xmlns:a16="http://schemas.microsoft.com/office/drawing/2014/main" id="{00000000-0008-0000-1200-000002000000}"/>
            </a:ext>
          </a:extLst>
        </xdr:cNvPr>
        <xdr:cNvGrpSpPr/>
      </xdr:nvGrpSpPr>
      <xdr:grpSpPr>
        <a:xfrm>
          <a:off x="107950" y="104775"/>
          <a:ext cx="324000" cy="310225"/>
          <a:chOff x="12729063" y="1298331"/>
          <a:chExt cx="324000" cy="323267"/>
        </a:xfrm>
      </xdr:grpSpPr>
      <xdr:sp macro="" textlink="">
        <xdr:nvSpPr>
          <xdr:cNvPr id="3" name="Rechteck 2">
            <a:extLst>
              <a:ext uri="{FF2B5EF4-FFF2-40B4-BE49-F238E27FC236}">
                <a16:creationId xmlns:a16="http://schemas.microsoft.com/office/drawing/2014/main" id="{00000000-0008-0000-12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1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696907</xdr:colOff>
      <xdr:row>5</xdr:row>
      <xdr:rowOff>152401</xdr:rowOff>
    </xdr:from>
    <xdr:to>
      <xdr:col>3</xdr:col>
      <xdr:colOff>2142700</xdr:colOff>
      <xdr:row>5</xdr:row>
      <xdr:rowOff>402049</xdr:rowOff>
    </xdr:to>
    <xdr:pic>
      <xdr:nvPicPr>
        <xdr:cNvPr id="7" name="Grafik 6">
          <a:extLst>
            <a:ext uri="{FF2B5EF4-FFF2-40B4-BE49-F238E27FC236}">
              <a16:creationId xmlns:a16="http://schemas.microsoft.com/office/drawing/2014/main" id="{00000000-0008-0000-1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68532" y="1028701"/>
          <a:ext cx="1445793" cy="249648"/>
        </a:xfrm>
        <a:prstGeom prst="rect">
          <a:avLst/>
        </a:prstGeom>
      </xdr:spPr>
    </xdr:pic>
    <xdr:clientData fLocksWithSheet="0"/>
  </xdr:twoCellAnchor>
  <xdr:twoCellAnchor editAs="absolute">
    <xdr:from>
      <xdr:col>3</xdr:col>
      <xdr:colOff>720725</xdr:colOff>
      <xdr:row>12</xdr:row>
      <xdr:rowOff>228600</xdr:rowOff>
    </xdr:from>
    <xdr:to>
      <xdr:col>6</xdr:col>
      <xdr:colOff>381000</xdr:colOff>
      <xdr:row>22</xdr:row>
      <xdr:rowOff>9075</xdr:rowOff>
    </xdr:to>
    <xdr:grpSp>
      <xdr:nvGrpSpPr>
        <xdr:cNvPr id="6" name="Gruppieren 3">
          <a:extLst>
            <a:ext uri="{FF2B5EF4-FFF2-40B4-BE49-F238E27FC236}">
              <a16:creationId xmlns:a16="http://schemas.microsoft.com/office/drawing/2014/main" id="{00000000-0008-0000-1200-000006000000}"/>
            </a:ext>
          </a:extLst>
        </xdr:cNvPr>
        <xdr:cNvGrpSpPr/>
      </xdr:nvGrpSpPr>
      <xdr:grpSpPr>
        <a:xfrm>
          <a:off x="2336165" y="2613660"/>
          <a:ext cx="2708275" cy="1601655"/>
          <a:chOff x="21566" y="2342251"/>
          <a:chExt cx="4398393" cy="2883381"/>
        </a:xfrm>
      </xdr:grpSpPr>
      <xdr:graphicFrame macro="">
        <xdr:nvGraphicFramePr>
          <xdr:cNvPr id="8" name="Diagramm 4">
            <a:extLst>
              <a:ext uri="{FF2B5EF4-FFF2-40B4-BE49-F238E27FC236}">
                <a16:creationId xmlns:a16="http://schemas.microsoft.com/office/drawing/2014/main" id="{00000000-0008-0000-1200-000008000000}"/>
              </a:ext>
            </a:extLst>
          </xdr:cNvPr>
          <xdr:cNvGraphicFramePr/>
        </xdr:nvGraphicFramePr>
        <xdr:xfrm>
          <a:off x="21566" y="2342251"/>
          <a:ext cx="4398393" cy="2883381"/>
        </xdr:xfrm>
        <a:graphic>
          <a:graphicData uri="http://schemas.openxmlformats.org/drawingml/2006/chart">
            <c:chart xmlns:c="http://schemas.openxmlformats.org/drawingml/2006/chart" xmlns:r="http://schemas.openxmlformats.org/officeDocument/2006/relationships" r:id="rId4"/>
          </a:graphicData>
        </a:graphic>
      </xdr:graphicFrame>
      <xdr:graphicFrame macro="">
        <xdr:nvGraphicFramePr>
          <xdr:cNvPr id="9" name="Diagramm 5">
            <a:extLst>
              <a:ext uri="{FF2B5EF4-FFF2-40B4-BE49-F238E27FC236}">
                <a16:creationId xmlns:a16="http://schemas.microsoft.com/office/drawing/2014/main" id="{00000000-0008-0000-1200-000009000000}"/>
              </a:ext>
            </a:extLst>
          </xdr:cNvPr>
          <xdr:cNvGraphicFramePr>
            <a:graphicFrameLocks noChangeAspect="1"/>
          </xdr:cNvGraphicFramePr>
        </xdr:nvGraphicFramePr>
        <xdr:xfrm>
          <a:off x="258795" y="2471648"/>
          <a:ext cx="3932566" cy="2589363"/>
        </xdr:xfrm>
        <a:graphic>
          <a:graphicData uri="http://schemas.openxmlformats.org/drawingml/2006/chart">
            <c:chart xmlns:c="http://schemas.openxmlformats.org/drawingml/2006/chart" xmlns:r="http://schemas.openxmlformats.org/officeDocument/2006/relationships" r:id="rId5"/>
          </a:graphicData>
        </a:graphic>
      </xdr:graphicFrame>
      <xdr:cxnSp macro="">
        <xdr:nvCxnSpPr>
          <xdr:cNvPr id="10" name="Gerader Verbinder 6">
            <a:extLst>
              <a:ext uri="{FF2B5EF4-FFF2-40B4-BE49-F238E27FC236}">
                <a16:creationId xmlns:a16="http://schemas.microsoft.com/office/drawing/2014/main" id="{00000000-0008-0000-1200-00000A000000}"/>
              </a:ext>
            </a:extLst>
          </xdr:cNvPr>
          <xdr:cNvCxnSpPr/>
        </xdr:nvCxnSpPr>
        <xdr:spPr>
          <a:xfrm>
            <a:off x="775658" y="3775654"/>
            <a:ext cx="2933341" cy="8627"/>
          </a:xfrm>
          <a:prstGeom prst="line">
            <a:avLst/>
          </a:prstGeom>
          <a:ln w="9525"/>
        </xdr:spPr>
        <xdr:style>
          <a:lnRef idx="3">
            <a:schemeClr val="dk1"/>
          </a:lnRef>
          <a:fillRef idx="0">
            <a:schemeClr val="dk1"/>
          </a:fillRef>
          <a:effectRef idx="2">
            <a:schemeClr val="dk1"/>
          </a:effectRef>
          <a:fontRef idx="minor">
            <a:schemeClr val="tx1"/>
          </a:fontRef>
        </xdr:style>
      </xdr:cxnSp>
      <xdr:sp macro="" textlink="">
        <xdr:nvSpPr>
          <xdr:cNvPr id="11" name="Kreis 13">
            <a:extLst>
              <a:ext uri="{FF2B5EF4-FFF2-40B4-BE49-F238E27FC236}">
                <a16:creationId xmlns:a16="http://schemas.microsoft.com/office/drawing/2014/main" id="{00000000-0008-0000-1200-00000B000000}"/>
              </a:ext>
            </a:extLst>
          </xdr:cNvPr>
          <xdr:cNvSpPr/>
        </xdr:nvSpPr>
        <xdr:spPr>
          <a:xfrm rot="10800000">
            <a:off x="2135992" y="3640523"/>
            <a:ext cx="189063" cy="242979"/>
          </a:xfrm>
          <a:prstGeom prst="pie">
            <a:avLst>
              <a:gd name="adj1" fmla="val 0"/>
              <a:gd name="adj2" fmla="val 10763427"/>
            </a:avLst>
          </a:prstGeom>
          <a:solidFill>
            <a:schemeClr val="tx1"/>
          </a:solidFill>
          <a:ln>
            <a:no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solidFill>
                <a:schemeClr val="tx1"/>
              </a:solidFill>
            </a:endParaRPr>
          </a:p>
        </xdr:txBody>
      </xdr:sp>
    </xdr:grpSp>
    <xdr:clientData/>
  </xdr:twoCellAnchor>
  <xdr:twoCellAnchor>
    <xdr:from>
      <xdr:col>5</xdr:col>
      <xdr:colOff>604112</xdr:colOff>
      <xdr:row>1</xdr:row>
      <xdr:rowOff>31750</xdr:rowOff>
    </xdr:from>
    <xdr:to>
      <xdr:col>5</xdr:col>
      <xdr:colOff>776839</xdr:colOff>
      <xdr:row>2</xdr:row>
      <xdr:rowOff>20400</xdr:rowOff>
    </xdr:to>
    <xdr:grpSp>
      <xdr:nvGrpSpPr>
        <xdr:cNvPr id="19" name="Gruppieren 18">
          <a:hlinkClick xmlns:r="http://schemas.openxmlformats.org/officeDocument/2006/relationships" r:id="rId6" tooltip="Help"/>
          <a:extLst>
            <a:ext uri="{FF2B5EF4-FFF2-40B4-BE49-F238E27FC236}">
              <a16:creationId xmlns:a16="http://schemas.microsoft.com/office/drawing/2014/main" id="{00000000-0008-0000-1200-000013000000}"/>
            </a:ext>
          </a:extLst>
        </xdr:cNvPr>
        <xdr:cNvGrpSpPr/>
      </xdr:nvGrpSpPr>
      <xdr:grpSpPr>
        <a:xfrm>
          <a:off x="4475072" y="214630"/>
          <a:ext cx="172727" cy="171530"/>
          <a:chOff x="8105776" y="571500"/>
          <a:chExt cx="172800" cy="172800"/>
        </a:xfrm>
      </xdr:grpSpPr>
      <xdr:sp macro="" textlink="">
        <xdr:nvSpPr>
          <xdr:cNvPr id="26" name="Rechteck 25">
            <a:extLst>
              <a:ext uri="{FF2B5EF4-FFF2-40B4-BE49-F238E27FC236}">
                <a16:creationId xmlns:a16="http://schemas.microsoft.com/office/drawing/2014/main" id="{00000000-0008-0000-1200-00001A000000}"/>
              </a:ext>
            </a:extLst>
          </xdr:cNvPr>
          <xdr:cNvSpPr>
            <a:spLocks noChangeAspect="1"/>
          </xdr:cNvSpPr>
        </xdr:nvSpPr>
        <xdr:spPr>
          <a:xfrm>
            <a:off x="8105776"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7" name="Textfeld 26">
            <a:extLst>
              <a:ext uri="{FF2B5EF4-FFF2-40B4-BE49-F238E27FC236}">
                <a16:creationId xmlns:a16="http://schemas.microsoft.com/office/drawing/2014/main" id="{00000000-0008-0000-1200-00001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xdr:twoCellAnchor>
  <xdr:twoCellAnchor>
    <xdr:from>
      <xdr:col>5</xdr:col>
      <xdr:colOff>367461</xdr:colOff>
      <xdr:row>1</xdr:row>
      <xdr:rowOff>31750</xdr:rowOff>
    </xdr:from>
    <xdr:to>
      <xdr:col>5</xdr:col>
      <xdr:colOff>550983</xdr:colOff>
      <xdr:row>2</xdr:row>
      <xdr:rowOff>31200</xdr:rowOff>
    </xdr:to>
    <xdr:sp macro="[0]!Protokoll_aus" textlink="">
      <xdr:nvSpPr>
        <xdr:cNvPr id="22" name="Rechteck 21">
          <a:hlinkClick xmlns:r="http://schemas.openxmlformats.org/officeDocument/2006/relationships" r:id="rId7" tooltip="Download new file"/>
          <a:extLst>
            <a:ext uri="{FF2B5EF4-FFF2-40B4-BE49-F238E27FC236}">
              <a16:creationId xmlns:a16="http://schemas.microsoft.com/office/drawing/2014/main" id="{00000000-0008-0000-1200-000016000000}"/>
            </a:ext>
          </a:extLst>
        </xdr:cNvPr>
        <xdr:cNvSpPr>
          <a:spLocks/>
        </xdr:cNvSpPr>
      </xdr:nvSpPr>
      <xdr:spPr>
        <a:xfrm>
          <a:off x="4310811" y="215900"/>
          <a:ext cx="183522" cy="1836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3600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2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sym typeface="Wingdings 2" panose="05020102010507070707" pitchFamily="18" charset="2"/>
            </a:rPr>
            <a:t></a:t>
          </a:r>
          <a:endParaRPr kumimoji="0" lang="de-CH" sz="12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5</xdr:col>
          <xdr:colOff>563880</xdr:colOff>
          <xdr:row>10</xdr:row>
          <xdr:rowOff>182880</xdr:rowOff>
        </xdr:from>
        <xdr:to>
          <xdr:col>6</xdr:col>
          <xdr:colOff>7620</xdr:colOff>
          <xdr:row>11</xdr:row>
          <xdr:rowOff>175260</xdr:rowOff>
        </xdr:to>
        <xdr:sp macro="" textlink="">
          <xdr:nvSpPr>
            <xdr:cNvPr id="516097" name="Check Box 1" descr="h" hidden="1">
              <a:extLst>
                <a:ext uri="{63B3BB69-23CF-44E3-9099-C40C66FF867C}">
                  <a14:compatExt spid="_x0000_s516097"/>
                </a:ext>
                <a:ext uri="{FF2B5EF4-FFF2-40B4-BE49-F238E27FC236}">
                  <a16:creationId xmlns:a16="http://schemas.microsoft.com/office/drawing/2014/main" id="{00000000-0008-0000-1200-000001E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twoCellAnchor editAs="oneCell">
    <xdr:from>
      <xdr:col>12</xdr:col>
      <xdr:colOff>419100</xdr:colOff>
      <xdr:row>18</xdr:row>
      <xdr:rowOff>76200</xdr:rowOff>
    </xdr:from>
    <xdr:to>
      <xdr:col>12</xdr:col>
      <xdr:colOff>695325</xdr:colOff>
      <xdr:row>39</xdr:row>
      <xdr:rowOff>152400</xdr:rowOff>
    </xdr:to>
    <xdr:grpSp>
      <xdr:nvGrpSpPr>
        <xdr:cNvPr id="13" name="Gruppieren 12">
          <a:extLst>
            <a:ext uri="{FF2B5EF4-FFF2-40B4-BE49-F238E27FC236}">
              <a16:creationId xmlns:a16="http://schemas.microsoft.com/office/drawing/2014/main" id="{00000000-0008-0000-1200-00000D000000}"/>
            </a:ext>
          </a:extLst>
        </xdr:cNvPr>
        <xdr:cNvGrpSpPr/>
      </xdr:nvGrpSpPr>
      <xdr:grpSpPr>
        <a:xfrm>
          <a:off x="6598920" y="3520440"/>
          <a:ext cx="276225" cy="3947160"/>
          <a:chOff x="6762750" y="3543300"/>
          <a:chExt cx="276225" cy="4095750"/>
        </a:xfrm>
      </xdr:grpSpPr>
      <xdr:sp macro="" textlink="">
        <xdr:nvSpPr>
          <xdr:cNvPr id="12" name="Ellipse 11">
            <a:extLst>
              <a:ext uri="{FF2B5EF4-FFF2-40B4-BE49-F238E27FC236}">
                <a16:creationId xmlns:a16="http://schemas.microsoft.com/office/drawing/2014/main" id="{00000000-0008-0000-1200-00000C000000}"/>
              </a:ext>
            </a:extLst>
          </xdr:cNvPr>
          <xdr:cNvSpPr/>
        </xdr:nvSpPr>
        <xdr:spPr>
          <a:xfrm>
            <a:off x="6762750" y="3543300"/>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1</a:t>
            </a:r>
          </a:p>
        </xdr:txBody>
      </xdr:sp>
      <xdr:sp macro="" textlink="">
        <xdr:nvSpPr>
          <xdr:cNvPr id="49" name="Ellipse 48">
            <a:extLst>
              <a:ext uri="{FF2B5EF4-FFF2-40B4-BE49-F238E27FC236}">
                <a16:creationId xmlns:a16="http://schemas.microsoft.com/office/drawing/2014/main" id="{00000000-0008-0000-1200-000031000000}"/>
              </a:ext>
            </a:extLst>
          </xdr:cNvPr>
          <xdr:cNvSpPr/>
        </xdr:nvSpPr>
        <xdr:spPr>
          <a:xfrm>
            <a:off x="6762750" y="4307205"/>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2</a:t>
            </a:r>
          </a:p>
        </xdr:txBody>
      </xdr:sp>
      <xdr:sp macro="" textlink="">
        <xdr:nvSpPr>
          <xdr:cNvPr id="50" name="Ellipse 49">
            <a:extLst>
              <a:ext uri="{FF2B5EF4-FFF2-40B4-BE49-F238E27FC236}">
                <a16:creationId xmlns:a16="http://schemas.microsoft.com/office/drawing/2014/main" id="{00000000-0008-0000-1200-000032000000}"/>
              </a:ext>
            </a:extLst>
          </xdr:cNvPr>
          <xdr:cNvSpPr/>
        </xdr:nvSpPr>
        <xdr:spPr>
          <a:xfrm>
            <a:off x="6762750" y="5071110"/>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3</a:t>
            </a:r>
          </a:p>
        </xdr:txBody>
      </xdr:sp>
      <xdr:sp macro="" textlink="">
        <xdr:nvSpPr>
          <xdr:cNvPr id="51" name="Ellipse 50">
            <a:extLst>
              <a:ext uri="{FF2B5EF4-FFF2-40B4-BE49-F238E27FC236}">
                <a16:creationId xmlns:a16="http://schemas.microsoft.com/office/drawing/2014/main" id="{00000000-0008-0000-1200-000033000000}"/>
              </a:ext>
            </a:extLst>
          </xdr:cNvPr>
          <xdr:cNvSpPr/>
        </xdr:nvSpPr>
        <xdr:spPr>
          <a:xfrm>
            <a:off x="6762750" y="5835015"/>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4</a:t>
            </a:r>
          </a:p>
        </xdr:txBody>
      </xdr:sp>
      <xdr:sp macro="" textlink="">
        <xdr:nvSpPr>
          <xdr:cNvPr id="52" name="Ellipse 51">
            <a:extLst>
              <a:ext uri="{FF2B5EF4-FFF2-40B4-BE49-F238E27FC236}">
                <a16:creationId xmlns:a16="http://schemas.microsoft.com/office/drawing/2014/main" id="{00000000-0008-0000-1200-000034000000}"/>
              </a:ext>
            </a:extLst>
          </xdr:cNvPr>
          <xdr:cNvSpPr/>
        </xdr:nvSpPr>
        <xdr:spPr>
          <a:xfrm>
            <a:off x="6762750" y="6598920"/>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5</a:t>
            </a:r>
          </a:p>
        </xdr:txBody>
      </xdr:sp>
      <xdr:sp macro="" textlink="">
        <xdr:nvSpPr>
          <xdr:cNvPr id="53" name="Ellipse 52">
            <a:extLst>
              <a:ext uri="{FF2B5EF4-FFF2-40B4-BE49-F238E27FC236}">
                <a16:creationId xmlns:a16="http://schemas.microsoft.com/office/drawing/2014/main" id="{00000000-0008-0000-1200-000035000000}"/>
              </a:ext>
            </a:extLst>
          </xdr:cNvPr>
          <xdr:cNvSpPr/>
        </xdr:nvSpPr>
        <xdr:spPr>
          <a:xfrm>
            <a:off x="6762750" y="7362825"/>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6</a:t>
            </a:r>
          </a:p>
        </xdr:txBody>
      </xdr:sp>
    </xdr:grpSp>
    <xdr:clientData/>
  </xdr:twoCellAnchor>
  <xdr:twoCellAnchor editAs="oneCell">
    <xdr:from>
      <xdr:col>13</xdr:col>
      <xdr:colOff>2667000</xdr:colOff>
      <xdr:row>18</xdr:row>
      <xdr:rowOff>57150</xdr:rowOff>
    </xdr:from>
    <xdr:to>
      <xdr:col>14</xdr:col>
      <xdr:colOff>238125</xdr:colOff>
      <xdr:row>39</xdr:row>
      <xdr:rowOff>133350</xdr:rowOff>
    </xdr:to>
    <xdr:grpSp>
      <xdr:nvGrpSpPr>
        <xdr:cNvPr id="14" name="Gruppieren 13">
          <a:extLst>
            <a:ext uri="{FF2B5EF4-FFF2-40B4-BE49-F238E27FC236}">
              <a16:creationId xmlns:a16="http://schemas.microsoft.com/office/drawing/2014/main" id="{00000000-0008-0000-1200-00000E000000}"/>
            </a:ext>
          </a:extLst>
        </xdr:cNvPr>
        <xdr:cNvGrpSpPr/>
      </xdr:nvGrpSpPr>
      <xdr:grpSpPr>
        <a:xfrm>
          <a:off x="9639300" y="3501390"/>
          <a:ext cx="352425" cy="3947160"/>
          <a:chOff x="9848850" y="3524250"/>
          <a:chExt cx="276225" cy="4095750"/>
        </a:xfrm>
      </xdr:grpSpPr>
      <xdr:sp macro="" textlink="">
        <xdr:nvSpPr>
          <xdr:cNvPr id="54" name="Ellipse 53">
            <a:extLst>
              <a:ext uri="{FF2B5EF4-FFF2-40B4-BE49-F238E27FC236}">
                <a16:creationId xmlns:a16="http://schemas.microsoft.com/office/drawing/2014/main" id="{00000000-0008-0000-1200-000036000000}"/>
              </a:ext>
            </a:extLst>
          </xdr:cNvPr>
          <xdr:cNvSpPr/>
        </xdr:nvSpPr>
        <xdr:spPr>
          <a:xfrm>
            <a:off x="9848850" y="3524250"/>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7</a:t>
            </a:r>
          </a:p>
        </xdr:txBody>
      </xdr:sp>
      <xdr:sp macro="" textlink="">
        <xdr:nvSpPr>
          <xdr:cNvPr id="55" name="Ellipse 54">
            <a:extLst>
              <a:ext uri="{FF2B5EF4-FFF2-40B4-BE49-F238E27FC236}">
                <a16:creationId xmlns:a16="http://schemas.microsoft.com/office/drawing/2014/main" id="{00000000-0008-0000-1200-000037000000}"/>
              </a:ext>
            </a:extLst>
          </xdr:cNvPr>
          <xdr:cNvSpPr/>
        </xdr:nvSpPr>
        <xdr:spPr>
          <a:xfrm>
            <a:off x="9848850" y="4288155"/>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8</a:t>
            </a:r>
          </a:p>
        </xdr:txBody>
      </xdr:sp>
      <xdr:sp macro="" textlink="">
        <xdr:nvSpPr>
          <xdr:cNvPr id="56" name="Ellipse 55">
            <a:extLst>
              <a:ext uri="{FF2B5EF4-FFF2-40B4-BE49-F238E27FC236}">
                <a16:creationId xmlns:a16="http://schemas.microsoft.com/office/drawing/2014/main" id="{00000000-0008-0000-1200-000038000000}"/>
              </a:ext>
            </a:extLst>
          </xdr:cNvPr>
          <xdr:cNvSpPr/>
        </xdr:nvSpPr>
        <xdr:spPr>
          <a:xfrm>
            <a:off x="9848850" y="5052060"/>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fr-CH" sz="1400" baseline="0">
                <a:solidFill>
                  <a:schemeClr val="bg1"/>
                </a:solidFill>
              </a:rPr>
              <a:t>9</a:t>
            </a:r>
          </a:p>
        </xdr:txBody>
      </xdr:sp>
      <xdr:sp macro="" textlink="">
        <xdr:nvSpPr>
          <xdr:cNvPr id="57" name="Ellipse 56">
            <a:extLst>
              <a:ext uri="{FF2B5EF4-FFF2-40B4-BE49-F238E27FC236}">
                <a16:creationId xmlns:a16="http://schemas.microsoft.com/office/drawing/2014/main" id="{00000000-0008-0000-1200-000039000000}"/>
              </a:ext>
            </a:extLst>
          </xdr:cNvPr>
          <xdr:cNvSpPr/>
        </xdr:nvSpPr>
        <xdr:spPr>
          <a:xfrm>
            <a:off x="9848850" y="5815965"/>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36000" rIns="0" bIns="36000" numCol="1" spcCol="0" rtlCol="0" fromWordArt="0" anchor="ctr" anchorCtr="0" forceAA="0" compatLnSpc="1">
            <a:prstTxWarp prst="textNoShape">
              <a:avLst/>
            </a:prstTxWarp>
            <a:noAutofit/>
          </a:bodyPr>
          <a:lstStyle/>
          <a:p>
            <a:pPr algn="ctr"/>
            <a:r>
              <a:rPr lang="fr-CH" sz="1400" baseline="0">
                <a:solidFill>
                  <a:schemeClr val="bg1"/>
                </a:solidFill>
              </a:rPr>
              <a:t>10</a:t>
            </a:r>
          </a:p>
        </xdr:txBody>
      </xdr:sp>
      <xdr:sp macro="" textlink="">
        <xdr:nvSpPr>
          <xdr:cNvPr id="58" name="Ellipse 57">
            <a:extLst>
              <a:ext uri="{FF2B5EF4-FFF2-40B4-BE49-F238E27FC236}">
                <a16:creationId xmlns:a16="http://schemas.microsoft.com/office/drawing/2014/main" id="{00000000-0008-0000-1200-00003A000000}"/>
              </a:ext>
            </a:extLst>
          </xdr:cNvPr>
          <xdr:cNvSpPr/>
        </xdr:nvSpPr>
        <xdr:spPr>
          <a:xfrm>
            <a:off x="9848850" y="6579870"/>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36000" rIns="0" bIns="36000" numCol="1" spcCol="0" rtlCol="0" fromWordArt="0" anchor="ctr" anchorCtr="0" forceAA="0" compatLnSpc="1">
            <a:prstTxWarp prst="textNoShape">
              <a:avLst/>
            </a:prstTxWarp>
            <a:noAutofit/>
          </a:bodyPr>
          <a:lstStyle/>
          <a:p>
            <a:pPr algn="ctr"/>
            <a:r>
              <a:rPr lang="fr-CH" sz="1400" baseline="0">
                <a:solidFill>
                  <a:schemeClr val="bg1"/>
                </a:solidFill>
              </a:rPr>
              <a:t>11</a:t>
            </a:r>
          </a:p>
        </xdr:txBody>
      </xdr:sp>
      <xdr:sp macro="" textlink="">
        <xdr:nvSpPr>
          <xdr:cNvPr id="59" name="Ellipse 58">
            <a:extLst>
              <a:ext uri="{FF2B5EF4-FFF2-40B4-BE49-F238E27FC236}">
                <a16:creationId xmlns:a16="http://schemas.microsoft.com/office/drawing/2014/main" id="{00000000-0008-0000-1200-00003B000000}"/>
              </a:ext>
            </a:extLst>
          </xdr:cNvPr>
          <xdr:cNvSpPr/>
        </xdr:nvSpPr>
        <xdr:spPr>
          <a:xfrm>
            <a:off x="9848850" y="7343775"/>
            <a:ext cx="276225" cy="276225"/>
          </a:xfrm>
          <a:prstGeom prst="ellipse">
            <a:avLst/>
          </a:prstGeom>
          <a:solidFill>
            <a:srgbClr val="3984A3"/>
          </a:soli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36000" rIns="0" bIns="36000" numCol="1" spcCol="0" rtlCol="0" fromWordArt="0" anchor="ctr" anchorCtr="0" forceAA="0" compatLnSpc="1">
            <a:prstTxWarp prst="textNoShape">
              <a:avLst/>
            </a:prstTxWarp>
            <a:noAutofit/>
          </a:bodyPr>
          <a:lstStyle/>
          <a:p>
            <a:pPr algn="ctr"/>
            <a:r>
              <a:rPr lang="fr-CH" sz="1400" baseline="0">
                <a:solidFill>
                  <a:schemeClr val="bg1"/>
                </a:solidFill>
              </a:rPr>
              <a:t>12</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s\iSerge\Dropbox\@fileswork\@Unterricht\@iManagement\009_Qualit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F7">
            <v>20</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ctrlProp" Target="../ctrlProps/ctrlProp3.xml"/><Relationship Id="rId2" Type="http://schemas.openxmlformats.org/officeDocument/2006/relationships/hyperlink" Target="mailto:abc@def" TargetMode="External"/><Relationship Id="rId1" Type="http://schemas.openxmlformats.org/officeDocument/2006/relationships/hyperlink" Target="mailto:x.y@hevs.ch" TargetMode="External"/><Relationship Id="rId6" Type="http://schemas.openxmlformats.org/officeDocument/2006/relationships/ctrlProp" Target="../ctrlProps/ctrlProp2.xml"/><Relationship Id="rId5" Type="http://schemas.openxmlformats.org/officeDocument/2006/relationships/vmlDrawing" Target="../drawings/vmlDrawing3.vm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CN516"/>
  <sheetViews>
    <sheetView zoomScaleNormal="100" workbookViewId="0">
      <selection activeCell="X1" sqref="X1"/>
    </sheetView>
  </sheetViews>
  <sheetFormatPr baseColWidth="10" defaultColWidth="11.44140625" defaultRowHeight="13.8" x14ac:dyDescent="0.3"/>
  <cols>
    <col min="1" max="1" width="37.5546875" style="57" customWidth="1"/>
    <col min="2" max="2" width="15.6640625" style="6" hidden="1" customWidth="1"/>
    <col min="3" max="3" width="41" style="58" bestFit="1" customWidth="1"/>
    <col min="4" max="6" width="45.88671875" style="58" customWidth="1"/>
    <col min="7" max="7" width="11.44140625" style="863"/>
    <col min="8" max="21" width="11.44140625" style="2"/>
    <col min="22" max="22" width="14.88671875" style="2" customWidth="1"/>
    <col min="23" max="23" width="14.88671875" style="2" hidden="1" customWidth="1"/>
    <col min="24" max="24" width="14.88671875" style="2" customWidth="1"/>
    <col min="25" max="28" width="11.44140625" style="2"/>
    <col min="29" max="29" width="11.44140625" style="863"/>
    <col min="30" max="43" width="11.44140625" style="2"/>
    <col min="44" max="44" width="14.88671875" style="2" customWidth="1"/>
    <col min="45" max="45" width="14.88671875" style="2" hidden="1" customWidth="1"/>
    <col min="46" max="46" width="14.88671875" style="2" customWidth="1"/>
    <col min="47" max="50" width="11.44140625" style="2"/>
    <col min="51" max="51" width="11.44140625" style="863"/>
    <col min="52" max="65" width="11.44140625" style="2"/>
    <col min="66" max="66" width="14.88671875" style="2" customWidth="1"/>
    <col min="67" max="67" width="14.88671875" style="2" hidden="1" customWidth="1"/>
    <col min="68" max="68" width="14.88671875" style="2" customWidth="1"/>
    <col min="69" max="72" width="11.44140625" style="2"/>
    <col min="73" max="73" width="11.44140625" style="863"/>
    <col min="74" max="87" width="11.44140625" style="2"/>
    <col min="88" max="88" width="14.88671875" style="2" customWidth="1"/>
    <col min="89" max="89" width="14.88671875" style="2" hidden="1" customWidth="1"/>
    <col min="90" max="90" width="14.88671875" style="2" customWidth="1"/>
    <col min="91" max="92" width="11.44140625" style="2"/>
    <col min="93" max="253" width="11.44140625" style="6"/>
    <col min="254" max="254" width="41.5546875" style="6" customWidth="1"/>
    <col min="255" max="255" width="12.88671875" style="6" customWidth="1"/>
    <col min="256" max="260" width="34" style="6" customWidth="1"/>
    <col min="261" max="509" width="11.44140625" style="6"/>
    <col min="510" max="510" width="41.5546875" style="6" customWidth="1"/>
    <col min="511" max="511" width="12.88671875" style="6" customWidth="1"/>
    <col min="512" max="516" width="34" style="6" customWidth="1"/>
    <col min="517" max="765" width="11.44140625" style="6"/>
    <col min="766" max="766" width="41.5546875" style="6" customWidth="1"/>
    <col min="767" max="767" width="12.88671875" style="6" customWidth="1"/>
    <col min="768" max="772" width="34" style="6" customWidth="1"/>
    <col min="773" max="1021" width="11.44140625" style="6"/>
    <col min="1022" max="1022" width="41.5546875" style="6" customWidth="1"/>
    <col min="1023" max="1023" width="12.88671875" style="6" customWidth="1"/>
    <col min="1024" max="1028" width="34" style="6" customWidth="1"/>
    <col min="1029" max="1277" width="11.44140625" style="6"/>
    <col min="1278" max="1278" width="41.5546875" style="6" customWidth="1"/>
    <col min="1279" max="1279" width="12.88671875" style="6" customWidth="1"/>
    <col min="1280" max="1284" width="34" style="6" customWidth="1"/>
    <col min="1285" max="1533" width="11.44140625" style="6"/>
    <col min="1534" max="1534" width="41.5546875" style="6" customWidth="1"/>
    <col min="1535" max="1535" width="12.88671875" style="6" customWidth="1"/>
    <col min="1536" max="1540" width="34" style="6" customWidth="1"/>
    <col min="1541" max="1789" width="11.44140625" style="6"/>
    <col min="1790" max="1790" width="41.5546875" style="6" customWidth="1"/>
    <col min="1791" max="1791" width="12.88671875" style="6" customWidth="1"/>
    <col min="1792" max="1796" width="34" style="6" customWidth="1"/>
    <col min="1797" max="2045" width="11.44140625" style="6"/>
    <col min="2046" max="2046" width="41.5546875" style="6" customWidth="1"/>
    <col min="2047" max="2047" width="12.88671875" style="6" customWidth="1"/>
    <col min="2048" max="2052" width="34" style="6" customWidth="1"/>
    <col min="2053" max="2301" width="11.44140625" style="6"/>
    <col min="2302" max="2302" width="41.5546875" style="6" customWidth="1"/>
    <col min="2303" max="2303" width="12.88671875" style="6" customWidth="1"/>
    <col min="2304" max="2308" width="34" style="6" customWidth="1"/>
    <col min="2309" max="2557" width="11.44140625" style="6"/>
    <col min="2558" max="2558" width="41.5546875" style="6" customWidth="1"/>
    <col min="2559" max="2559" width="12.88671875" style="6" customWidth="1"/>
    <col min="2560" max="2564" width="34" style="6" customWidth="1"/>
    <col min="2565" max="2813" width="11.44140625" style="6"/>
    <col min="2814" max="2814" width="41.5546875" style="6" customWidth="1"/>
    <col min="2815" max="2815" width="12.88671875" style="6" customWidth="1"/>
    <col min="2816" max="2820" width="34" style="6" customWidth="1"/>
    <col min="2821" max="3069" width="11.44140625" style="6"/>
    <col min="3070" max="3070" width="41.5546875" style="6" customWidth="1"/>
    <col min="3071" max="3071" width="12.88671875" style="6" customWidth="1"/>
    <col min="3072" max="3076" width="34" style="6" customWidth="1"/>
    <col min="3077" max="3325" width="11.44140625" style="6"/>
    <col min="3326" max="3326" width="41.5546875" style="6" customWidth="1"/>
    <col min="3327" max="3327" width="12.88671875" style="6" customWidth="1"/>
    <col min="3328" max="3332" width="34" style="6" customWidth="1"/>
    <col min="3333" max="3581" width="11.44140625" style="6"/>
    <col min="3582" max="3582" width="41.5546875" style="6" customWidth="1"/>
    <col min="3583" max="3583" width="12.88671875" style="6" customWidth="1"/>
    <col min="3584" max="3588" width="34" style="6" customWidth="1"/>
    <col min="3589" max="3837" width="11.44140625" style="6"/>
    <col min="3838" max="3838" width="41.5546875" style="6" customWidth="1"/>
    <col min="3839" max="3839" width="12.88671875" style="6" customWidth="1"/>
    <col min="3840" max="3844" width="34" style="6" customWidth="1"/>
    <col min="3845" max="4093" width="11.44140625" style="6"/>
    <col min="4094" max="4094" width="41.5546875" style="6" customWidth="1"/>
    <col min="4095" max="4095" width="12.88671875" style="6" customWidth="1"/>
    <col min="4096" max="4100" width="34" style="6" customWidth="1"/>
    <col min="4101" max="4349" width="11.44140625" style="6"/>
    <col min="4350" max="4350" width="41.5546875" style="6" customWidth="1"/>
    <col min="4351" max="4351" width="12.88671875" style="6" customWidth="1"/>
    <col min="4352" max="4356" width="34" style="6" customWidth="1"/>
    <col min="4357" max="4605" width="11.44140625" style="6"/>
    <col min="4606" max="4606" width="41.5546875" style="6" customWidth="1"/>
    <col min="4607" max="4607" width="12.88671875" style="6" customWidth="1"/>
    <col min="4608" max="4612" width="34" style="6" customWidth="1"/>
    <col min="4613" max="4861" width="11.44140625" style="6"/>
    <col min="4862" max="4862" width="41.5546875" style="6" customWidth="1"/>
    <col min="4863" max="4863" width="12.88671875" style="6" customWidth="1"/>
    <col min="4864" max="4868" width="34" style="6" customWidth="1"/>
    <col min="4869" max="5117" width="11.44140625" style="6"/>
    <col min="5118" max="5118" width="41.5546875" style="6" customWidth="1"/>
    <col min="5119" max="5119" width="12.88671875" style="6" customWidth="1"/>
    <col min="5120" max="5124" width="34" style="6" customWidth="1"/>
    <col min="5125" max="5373" width="11.44140625" style="6"/>
    <col min="5374" max="5374" width="41.5546875" style="6" customWidth="1"/>
    <col min="5375" max="5375" width="12.88671875" style="6" customWidth="1"/>
    <col min="5376" max="5380" width="34" style="6" customWidth="1"/>
    <col min="5381" max="5629" width="11.44140625" style="6"/>
    <col min="5630" max="5630" width="41.5546875" style="6" customWidth="1"/>
    <col min="5631" max="5631" width="12.88671875" style="6" customWidth="1"/>
    <col min="5632" max="5636" width="34" style="6" customWidth="1"/>
    <col min="5637" max="5885" width="11.44140625" style="6"/>
    <col min="5886" max="5886" width="41.5546875" style="6" customWidth="1"/>
    <col min="5887" max="5887" width="12.88671875" style="6" customWidth="1"/>
    <col min="5888" max="5892" width="34" style="6" customWidth="1"/>
    <col min="5893" max="6141" width="11.44140625" style="6"/>
    <col min="6142" max="6142" width="41.5546875" style="6" customWidth="1"/>
    <col min="6143" max="6143" width="12.88671875" style="6" customWidth="1"/>
    <col min="6144" max="6148" width="34" style="6" customWidth="1"/>
    <col min="6149" max="6397" width="11.44140625" style="6"/>
    <col min="6398" max="6398" width="41.5546875" style="6" customWidth="1"/>
    <col min="6399" max="6399" width="12.88671875" style="6" customWidth="1"/>
    <col min="6400" max="6404" width="34" style="6" customWidth="1"/>
    <col min="6405" max="6653" width="11.44140625" style="6"/>
    <col min="6654" max="6654" width="41.5546875" style="6" customWidth="1"/>
    <col min="6655" max="6655" width="12.88671875" style="6" customWidth="1"/>
    <col min="6656" max="6660" width="34" style="6" customWidth="1"/>
    <col min="6661" max="6909" width="11.44140625" style="6"/>
    <col min="6910" max="6910" width="41.5546875" style="6" customWidth="1"/>
    <col min="6911" max="6911" width="12.88671875" style="6" customWidth="1"/>
    <col min="6912" max="6916" width="34" style="6" customWidth="1"/>
    <col min="6917" max="7165" width="11.44140625" style="6"/>
    <col min="7166" max="7166" width="41.5546875" style="6" customWidth="1"/>
    <col min="7167" max="7167" width="12.88671875" style="6" customWidth="1"/>
    <col min="7168" max="7172" width="34" style="6" customWidth="1"/>
    <col min="7173" max="7421" width="11.44140625" style="6"/>
    <col min="7422" max="7422" width="41.5546875" style="6" customWidth="1"/>
    <col min="7423" max="7423" width="12.88671875" style="6" customWidth="1"/>
    <col min="7424" max="7428" width="34" style="6" customWidth="1"/>
    <col min="7429" max="7677" width="11.44140625" style="6"/>
    <col min="7678" max="7678" width="41.5546875" style="6" customWidth="1"/>
    <col min="7679" max="7679" width="12.88671875" style="6" customWidth="1"/>
    <col min="7680" max="7684" width="34" style="6" customWidth="1"/>
    <col min="7685" max="7933" width="11.44140625" style="6"/>
    <col min="7934" max="7934" width="41.5546875" style="6" customWidth="1"/>
    <col min="7935" max="7935" width="12.88671875" style="6" customWidth="1"/>
    <col min="7936" max="7940" width="34" style="6" customWidth="1"/>
    <col min="7941" max="8189" width="11.44140625" style="6"/>
    <col min="8190" max="8190" width="41.5546875" style="6" customWidth="1"/>
    <col min="8191" max="8191" width="12.88671875" style="6" customWidth="1"/>
    <col min="8192" max="8196" width="34" style="6" customWidth="1"/>
    <col min="8197" max="8445" width="11.44140625" style="6"/>
    <col min="8446" max="8446" width="41.5546875" style="6" customWidth="1"/>
    <col min="8447" max="8447" width="12.88671875" style="6" customWidth="1"/>
    <col min="8448" max="8452" width="34" style="6" customWidth="1"/>
    <col min="8453" max="8701" width="11.44140625" style="6"/>
    <col min="8702" max="8702" width="41.5546875" style="6" customWidth="1"/>
    <col min="8703" max="8703" width="12.88671875" style="6" customWidth="1"/>
    <col min="8704" max="8708" width="34" style="6" customWidth="1"/>
    <col min="8709" max="8957" width="11.44140625" style="6"/>
    <col min="8958" max="8958" width="41.5546875" style="6" customWidth="1"/>
    <col min="8959" max="8959" width="12.88671875" style="6" customWidth="1"/>
    <col min="8960" max="8964" width="34" style="6" customWidth="1"/>
    <col min="8965" max="9213" width="11.44140625" style="6"/>
    <col min="9214" max="9214" width="41.5546875" style="6" customWidth="1"/>
    <col min="9215" max="9215" width="12.88671875" style="6" customWidth="1"/>
    <col min="9216" max="9220" width="34" style="6" customWidth="1"/>
    <col min="9221" max="9469" width="11.44140625" style="6"/>
    <col min="9470" max="9470" width="41.5546875" style="6" customWidth="1"/>
    <col min="9471" max="9471" width="12.88671875" style="6" customWidth="1"/>
    <col min="9472" max="9476" width="34" style="6" customWidth="1"/>
    <col min="9477" max="9725" width="11.44140625" style="6"/>
    <col min="9726" max="9726" width="41.5546875" style="6" customWidth="1"/>
    <col min="9727" max="9727" width="12.88671875" style="6" customWidth="1"/>
    <col min="9728" max="9732" width="34" style="6" customWidth="1"/>
    <col min="9733" max="9981" width="11.44140625" style="6"/>
    <col min="9982" max="9982" width="41.5546875" style="6" customWidth="1"/>
    <col min="9983" max="9983" width="12.88671875" style="6" customWidth="1"/>
    <col min="9984" max="9988" width="34" style="6" customWidth="1"/>
    <col min="9989" max="10237" width="11.44140625" style="6"/>
    <col min="10238" max="10238" width="41.5546875" style="6" customWidth="1"/>
    <col min="10239" max="10239" width="12.88671875" style="6" customWidth="1"/>
    <col min="10240" max="10244" width="34" style="6" customWidth="1"/>
    <col min="10245" max="10493" width="11.44140625" style="6"/>
    <col min="10494" max="10494" width="41.5546875" style="6" customWidth="1"/>
    <col min="10495" max="10495" width="12.88671875" style="6" customWidth="1"/>
    <col min="10496" max="10500" width="34" style="6" customWidth="1"/>
    <col min="10501" max="10749" width="11.44140625" style="6"/>
    <col min="10750" max="10750" width="41.5546875" style="6" customWidth="1"/>
    <col min="10751" max="10751" width="12.88671875" style="6" customWidth="1"/>
    <col min="10752" max="10756" width="34" style="6" customWidth="1"/>
    <col min="10757" max="11005" width="11.44140625" style="6"/>
    <col min="11006" max="11006" width="41.5546875" style="6" customWidth="1"/>
    <col min="11007" max="11007" width="12.88671875" style="6" customWidth="1"/>
    <col min="11008" max="11012" width="34" style="6" customWidth="1"/>
    <col min="11013" max="11261" width="11.44140625" style="6"/>
    <col min="11262" max="11262" width="41.5546875" style="6" customWidth="1"/>
    <col min="11263" max="11263" width="12.88671875" style="6" customWidth="1"/>
    <col min="11264" max="11268" width="34" style="6" customWidth="1"/>
    <col min="11269" max="11517" width="11.44140625" style="6"/>
    <col min="11518" max="11518" width="41.5546875" style="6" customWidth="1"/>
    <col min="11519" max="11519" width="12.88671875" style="6" customWidth="1"/>
    <col min="11520" max="11524" width="34" style="6" customWidth="1"/>
    <col min="11525" max="11773" width="11.44140625" style="6"/>
    <col min="11774" max="11774" width="41.5546875" style="6" customWidth="1"/>
    <col min="11775" max="11775" width="12.88671875" style="6" customWidth="1"/>
    <col min="11776" max="11780" width="34" style="6" customWidth="1"/>
    <col min="11781" max="12029" width="11.44140625" style="6"/>
    <col min="12030" max="12030" width="41.5546875" style="6" customWidth="1"/>
    <col min="12031" max="12031" width="12.88671875" style="6" customWidth="1"/>
    <col min="12032" max="12036" width="34" style="6" customWidth="1"/>
    <col min="12037" max="12285" width="11.44140625" style="6"/>
    <col min="12286" max="12286" width="41.5546875" style="6" customWidth="1"/>
    <col min="12287" max="12287" width="12.88671875" style="6" customWidth="1"/>
    <col min="12288" max="12292" width="34" style="6" customWidth="1"/>
    <col min="12293" max="12541" width="11.44140625" style="6"/>
    <col min="12542" max="12542" width="41.5546875" style="6" customWidth="1"/>
    <col min="12543" max="12543" width="12.88671875" style="6" customWidth="1"/>
    <col min="12544" max="12548" width="34" style="6" customWidth="1"/>
    <col min="12549" max="12797" width="11.44140625" style="6"/>
    <col min="12798" max="12798" width="41.5546875" style="6" customWidth="1"/>
    <col min="12799" max="12799" width="12.88671875" style="6" customWidth="1"/>
    <col min="12800" max="12804" width="34" style="6" customWidth="1"/>
    <col min="12805" max="13053" width="11.44140625" style="6"/>
    <col min="13054" max="13054" width="41.5546875" style="6" customWidth="1"/>
    <col min="13055" max="13055" width="12.88671875" style="6" customWidth="1"/>
    <col min="13056" max="13060" width="34" style="6" customWidth="1"/>
    <col min="13061" max="13309" width="11.44140625" style="6"/>
    <col min="13310" max="13310" width="41.5546875" style="6" customWidth="1"/>
    <col min="13311" max="13311" width="12.88671875" style="6" customWidth="1"/>
    <col min="13312" max="13316" width="34" style="6" customWidth="1"/>
    <col min="13317" max="13565" width="11.44140625" style="6"/>
    <col min="13566" max="13566" width="41.5546875" style="6" customWidth="1"/>
    <col min="13567" max="13567" width="12.88671875" style="6" customWidth="1"/>
    <col min="13568" max="13572" width="34" style="6" customWidth="1"/>
    <col min="13573" max="13821" width="11.44140625" style="6"/>
    <col min="13822" max="13822" width="41.5546875" style="6" customWidth="1"/>
    <col min="13823" max="13823" width="12.88671875" style="6" customWidth="1"/>
    <col min="13824" max="13828" width="34" style="6" customWidth="1"/>
    <col min="13829" max="14077" width="11.44140625" style="6"/>
    <col min="14078" max="14078" width="41.5546875" style="6" customWidth="1"/>
    <col min="14079" max="14079" width="12.88671875" style="6" customWidth="1"/>
    <col min="14080" max="14084" width="34" style="6" customWidth="1"/>
    <col min="14085" max="14333" width="11.44140625" style="6"/>
    <col min="14334" max="14334" width="41.5546875" style="6" customWidth="1"/>
    <col min="14335" max="14335" width="12.88671875" style="6" customWidth="1"/>
    <col min="14336" max="14340" width="34" style="6" customWidth="1"/>
    <col min="14341" max="14589" width="11.44140625" style="6"/>
    <col min="14590" max="14590" width="41.5546875" style="6" customWidth="1"/>
    <col min="14591" max="14591" width="12.88671875" style="6" customWidth="1"/>
    <col min="14592" max="14596" width="34" style="6" customWidth="1"/>
    <col min="14597" max="14845" width="11.44140625" style="6"/>
    <col min="14846" max="14846" width="41.5546875" style="6" customWidth="1"/>
    <col min="14847" max="14847" width="12.88671875" style="6" customWidth="1"/>
    <col min="14848" max="14852" width="34" style="6" customWidth="1"/>
    <col min="14853" max="15101" width="11.44140625" style="6"/>
    <col min="15102" max="15102" width="41.5546875" style="6" customWidth="1"/>
    <col min="15103" max="15103" width="12.88671875" style="6" customWidth="1"/>
    <col min="15104" max="15108" width="34" style="6" customWidth="1"/>
    <col min="15109" max="15357" width="11.44140625" style="6"/>
    <col min="15358" max="15358" width="41.5546875" style="6" customWidth="1"/>
    <col min="15359" max="15359" width="12.88671875" style="6" customWidth="1"/>
    <col min="15360" max="15364" width="34" style="6" customWidth="1"/>
    <col min="15365" max="15613" width="11.44140625" style="6"/>
    <col min="15614" max="15614" width="41.5546875" style="6" customWidth="1"/>
    <col min="15615" max="15615" width="12.88671875" style="6" customWidth="1"/>
    <col min="15616" max="15620" width="34" style="6" customWidth="1"/>
    <col min="15621" max="15869" width="11.44140625" style="6"/>
    <col min="15870" max="15870" width="41.5546875" style="6" customWidth="1"/>
    <col min="15871" max="15871" width="12.88671875" style="6" customWidth="1"/>
    <col min="15872" max="15876" width="34" style="6" customWidth="1"/>
    <col min="15877" max="16125" width="11.44140625" style="6"/>
    <col min="16126" max="16126" width="41.5546875" style="6" customWidth="1"/>
    <col min="16127" max="16127" width="12.88671875" style="6" customWidth="1"/>
    <col min="16128" max="16132" width="34" style="6" customWidth="1"/>
    <col min="16133" max="16384" width="11.44140625" style="6"/>
  </cols>
  <sheetData>
    <row r="1" spans="1:24" x14ac:dyDescent="0.3">
      <c r="A1" s="3" t="str">
        <f ca="1">OFFSET($C1,0,$B$4-1)</f>
        <v>English</v>
      </c>
      <c r="B1" s="4"/>
      <c r="C1" s="5" t="s">
        <v>121</v>
      </c>
      <c r="D1" s="5" t="s">
        <v>128</v>
      </c>
      <c r="E1" s="5" t="s">
        <v>285</v>
      </c>
      <c r="F1" s="875" t="s">
        <v>284</v>
      </c>
      <c r="X1" s="1091"/>
    </row>
    <row r="2" spans="1:24" x14ac:dyDescent="0.3">
      <c r="A2" s="7" t="s">
        <v>122</v>
      </c>
      <c r="B2" s="8"/>
      <c r="C2" s="9" t="s">
        <v>123</v>
      </c>
      <c r="D2" s="9" t="s">
        <v>124</v>
      </c>
      <c r="E2" s="9" t="s">
        <v>125</v>
      </c>
      <c r="F2" s="876" t="s">
        <v>126</v>
      </c>
    </row>
    <row r="3" spans="1:24" x14ac:dyDescent="0.3">
      <c r="A3" s="7" t="s">
        <v>127</v>
      </c>
      <c r="B3" s="895"/>
      <c r="C3" s="10" t="s">
        <v>121</v>
      </c>
      <c r="D3" s="10" t="s">
        <v>128</v>
      </c>
      <c r="E3" s="10" t="s">
        <v>285</v>
      </c>
      <c r="F3" s="877" t="s">
        <v>284</v>
      </c>
    </row>
    <row r="4" spans="1:24" ht="12.75" hidden="1" customHeight="1" x14ac:dyDescent="0.3">
      <c r="A4" s="865"/>
      <c r="B4" s="1">
        <v>3</v>
      </c>
      <c r="C4" s="11"/>
      <c r="D4" s="11"/>
      <c r="E4" s="11"/>
      <c r="F4" s="878"/>
      <c r="W4" s="2">
        <v>69763</v>
      </c>
    </row>
    <row r="5" spans="1:24" s="16" customFormat="1" ht="26.4" x14ac:dyDescent="0.3">
      <c r="A5" s="12" t="str">
        <f t="shared" ref="A5:A73" ca="1" si="0">OFFSET($C5,0,$B$4-1)</f>
        <v xml:space="preserve">P R O J E C T   M A N A G E M E N T
</v>
      </c>
      <c r="B5" s="13"/>
      <c r="C5" s="14" t="s">
        <v>283</v>
      </c>
      <c r="D5" s="14" t="s">
        <v>757</v>
      </c>
      <c r="E5" s="14" t="s">
        <v>596</v>
      </c>
      <c r="F5" s="879" t="s">
        <v>364</v>
      </c>
      <c r="G5" s="15"/>
      <c r="H5" s="15"/>
      <c r="I5" s="15"/>
      <c r="J5" s="15"/>
      <c r="K5" s="15"/>
      <c r="L5" s="15"/>
      <c r="M5" s="15"/>
      <c r="N5" s="15"/>
      <c r="O5" s="15"/>
      <c r="P5" s="15"/>
      <c r="Q5" s="15"/>
      <c r="R5" s="15"/>
      <c r="S5" s="15"/>
      <c r="T5" s="15"/>
      <c r="U5" s="15"/>
      <c r="V5" s="15"/>
      <c r="W5" s="864">
        <f>B4</f>
        <v>3</v>
      </c>
    </row>
    <row r="6" spans="1:24" x14ac:dyDescent="0.3">
      <c r="A6" s="17" t="str">
        <f t="shared" ca="1" si="0"/>
        <v>Initialisation</v>
      </c>
      <c r="B6" s="18"/>
      <c r="C6" s="19" t="s">
        <v>199</v>
      </c>
      <c r="D6" s="19" t="s">
        <v>133</v>
      </c>
      <c r="E6" s="19" t="s">
        <v>133</v>
      </c>
      <c r="F6" s="880" t="s">
        <v>392</v>
      </c>
    </row>
    <row r="7" spans="1:24" x14ac:dyDescent="0.3">
      <c r="A7" s="21" t="str">
        <f t="shared" ca="1" si="0"/>
        <v>Planning</v>
      </c>
      <c r="B7" s="18"/>
      <c r="C7" s="22" t="s">
        <v>129</v>
      </c>
      <c r="D7" s="22" t="s">
        <v>134</v>
      </c>
      <c r="E7" s="22" t="s">
        <v>482</v>
      </c>
      <c r="F7" s="875" t="s">
        <v>393</v>
      </c>
      <c r="W7" s="2" t="s">
        <v>121</v>
      </c>
    </row>
    <row r="8" spans="1:24" x14ac:dyDescent="0.3">
      <c r="A8" s="21" t="str">
        <f t="shared" ca="1" si="0"/>
        <v>Decision</v>
      </c>
      <c r="B8" s="18"/>
      <c r="C8" s="22" t="s">
        <v>1138</v>
      </c>
      <c r="D8" s="22" t="s">
        <v>1139</v>
      </c>
      <c r="E8" s="22" t="s">
        <v>1140</v>
      </c>
      <c r="F8" s="875" t="s">
        <v>1141</v>
      </c>
      <c r="W8" s="2" t="s">
        <v>128</v>
      </c>
    </row>
    <row r="9" spans="1:24" x14ac:dyDescent="0.3">
      <c r="A9" s="21" t="str">
        <f t="shared" ca="1" si="0"/>
        <v>Implementation</v>
      </c>
      <c r="B9" s="18"/>
      <c r="C9" s="22" t="s">
        <v>131</v>
      </c>
      <c r="D9" s="22" t="s">
        <v>135</v>
      </c>
      <c r="E9" s="22" t="s">
        <v>483</v>
      </c>
      <c r="F9" s="875" t="s">
        <v>394</v>
      </c>
      <c r="W9" s="2" t="s">
        <v>285</v>
      </c>
    </row>
    <row r="10" spans="1:24" x14ac:dyDescent="0.3">
      <c r="A10" s="21" t="str">
        <f t="shared" ca="1" si="0"/>
        <v>Conclusion</v>
      </c>
      <c r="B10" s="18"/>
      <c r="C10" s="22" t="s">
        <v>132</v>
      </c>
      <c r="D10" s="22" t="s">
        <v>136</v>
      </c>
      <c r="E10" s="22" t="s">
        <v>484</v>
      </c>
      <c r="F10" s="875" t="s">
        <v>395</v>
      </c>
      <c r="W10" s="2" t="s">
        <v>284</v>
      </c>
    </row>
    <row r="11" spans="1:24" x14ac:dyDescent="0.3">
      <c r="A11" s="21" t="str">
        <f t="shared" ca="1" si="0"/>
        <v>Roadmap</v>
      </c>
      <c r="B11" s="18"/>
      <c r="C11" s="22" t="s">
        <v>1260</v>
      </c>
      <c r="D11" s="22" t="s">
        <v>1260</v>
      </c>
      <c r="E11" s="22" t="s">
        <v>1260</v>
      </c>
      <c r="F11" s="875" t="s">
        <v>1260</v>
      </c>
    </row>
    <row r="12" spans="1:24" x14ac:dyDescent="0.3">
      <c r="A12" s="21" t="str">
        <f t="shared" ca="1" si="0"/>
        <v>Gantt</v>
      </c>
      <c r="B12" s="18"/>
      <c r="C12" s="22" t="s">
        <v>625</v>
      </c>
      <c r="D12" s="22" t="s">
        <v>625</v>
      </c>
      <c r="E12" s="22" t="s">
        <v>625</v>
      </c>
      <c r="F12" s="875" t="s">
        <v>625</v>
      </c>
    </row>
    <row r="13" spans="1:24" x14ac:dyDescent="0.3">
      <c r="A13" s="21" t="str">
        <f t="shared" ca="1" si="0"/>
        <v>Problem analysis</v>
      </c>
      <c r="B13" s="18"/>
      <c r="C13" s="22" t="s">
        <v>36</v>
      </c>
      <c r="D13" s="22" t="s">
        <v>82</v>
      </c>
      <c r="E13" s="22" t="s">
        <v>485</v>
      </c>
      <c r="F13" s="875" t="s">
        <v>396</v>
      </c>
    </row>
    <row r="14" spans="1:24" x14ac:dyDescent="0.3">
      <c r="A14" s="21" t="str">
        <f t="shared" ca="1" si="0"/>
        <v>SWOT analysis</v>
      </c>
      <c r="B14" s="18"/>
      <c r="C14" s="22" t="s">
        <v>630</v>
      </c>
      <c r="D14" s="22" t="s">
        <v>83</v>
      </c>
      <c r="E14" s="22" t="s">
        <v>486</v>
      </c>
      <c r="F14" s="875" t="s">
        <v>619</v>
      </c>
    </row>
    <row r="15" spans="1:24" x14ac:dyDescent="0.3">
      <c r="A15" s="21" t="str">
        <f t="shared" ca="1" si="0"/>
        <v>Budget</v>
      </c>
      <c r="B15" s="18"/>
      <c r="C15" s="22" t="s">
        <v>30</v>
      </c>
      <c r="D15" s="22" t="s">
        <v>30</v>
      </c>
      <c r="E15" s="22" t="s">
        <v>30</v>
      </c>
      <c r="F15" s="875" t="s">
        <v>30</v>
      </c>
    </row>
    <row r="16" spans="1:24" x14ac:dyDescent="0.3">
      <c r="A16" s="21" t="str">
        <f t="shared" ca="1" si="0"/>
        <v>Project charter</v>
      </c>
      <c r="B16" s="18"/>
      <c r="C16" s="22" t="s">
        <v>66</v>
      </c>
      <c r="D16" s="22" t="s">
        <v>160</v>
      </c>
      <c r="E16" s="22" t="s">
        <v>487</v>
      </c>
      <c r="F16" s="875" t="s">
        <v>397</v>
      </c>
    </row>
    <row r="17" spans="1:6" x14ac:dyDescent="0.3">
      <c r="A17" s="21" t="str">
        <f t="shared" ca="1" si="0"/>
        <v>Go/NoGo</v>
      </c>
      <c r="B17" s="18"/>
      <c r="C17" s="22" t="s">
        <v>39</v>
      </c>
      <c r="D17" s="22" t="s">
        <v>39</v>
      </c>
      <c r="E17" s="22" t="s">
        <v>39</v>
      </c>
      <c r="F17" s="875" t="s">
        <v>39</v>
      </c>
    </row>
    <row r="18" spans="1:6" x14ac:dyDescent="0.3">
      <c r="A18" s="21" t="str">
        <f t="shared" ca="1" si="0"/>
        <v>Project team</v>
      </c>
      <c r="B18" s="18"/>
      <c r="C18" s="22" t="s">
        <v>38</v>
      </c>
      <c r="D18" s="22" t="s">
        <v>161</v>
      </c>
      <c r="E18" s="22" t="s">
        <v>488</v>
      </c>
      <c r="F18" s="875" t="s">
        <v>398</v>
      </c>
    </row>
    <row r="19" spans="1:6" x14ac:dyDescent="0.3">
      <c r="A19" s="21" t="str">
        <f t="shared" ca="1" si="0"/>
        <v>Rough planning</v>
      </c>
      <c r="B19" s="18"/>
      <c r="C19" s="22" t="s">
        <v>37</v>
      </c>
      <c r="D19" s="22" t="s">
        <v>84</v>
      </c>
      <c r="E19" s="22" t="s">
        <v>489</v>
      </c>
      <c r="F19" s="875" t="s">
        <v>399</v>
      </c>
    </row>
    <row r="20" spans="1:6" x14ac:dyDescent="0.3">
      <c r="A20" s="21" t="str">
        <f t="shared" ca="1" si="0"/>
        <v>Feasibility</v>
      </c>
      <c r="B20" s="18"/>
      <c r="C20" s="22" t="s">
        <v>620</v>
      </c>
      <c r="D20" s="22" t="s">
        <v>621</v>
      </c>
      <c r="E20" s="22" t="s">
        <v>622</v>
      </c>
      <c r="F20" s="875" t="s">
        <v>623</v>
      </c>
    </row>
    <row r="21" spans="1:6" x14ac:dyDescent="0.3">
      <c r="A21" s="21" t="str">
        <f t="shared" ca="1" si="0"/>
        <v>Comunication</v>
      </c>
      <c r="B21" s="18"/>
      <c r="C21" s="22" t="s">
        <v>742</v>
      </c>
      <c r="D21" s="22" t="s">
        <v>743</v>
      </c>
      <c r="E21" s="22" t="s">
        <v>744</v>
      </c>
      <c r="F21" s="875" t="s">
        <v>624</v>
      </c>
    </row>
    <row r="22" spans="1:6" x14ac:dyDescent="0.3">
      <c r="A22" s="21" t="str">
        <f t="shared" ca="1" si="0"/>
        <v>Define sub-projects</v>
      </c>
      <c r="B22" s="18"/>
      <c r="C22" s="22" t="s">
        <v>40</v>
      </c>
      <c r="D22" s="22" t="s">
        <v>85</v>
      </c>
      <c r="E22" s="22" t="s">
        <v>490</v>
      </c>
      <c r="F22" s="875" t="s">
        <v>400</v>
      </c>
    </row>
    <row r="23" spans="1:6" x14ac:dyDescent="0.3">
      <c r="A23" s="21" t="str">
        <f t="shared" ca="1" si="0"/>
        <v>Determine responsibilities</v>
      </c>
      <c r="B23" s="18"/>
      <c r="C23" s="22" t="s">
        <v>41</v>
      </c>
      <c r="D23" s="22" t="s">
        <v>162</v>
      </c>
      <c r="E23" s="22" t="s">
        <v>491</v>
      </c>
      <c r="F23" s="875" t="s">
        <v>401</v>
      </c>
    </row>
    <row r="24" spans="1:6" x14ac:dyDescent="0.3">
      <c r="A24" s="21" t="str">
        <f t="shared" ca="1" si="0"/>
        <v>Determine interfaces</v>
      </c>
      <c r="B24" s="18"/>
      <c r="C24" s="22" t="s">
        <v>42</v>
      </c>
      <c r="D24" s="22" t="s">
        <v>86</v>
      </c>
      <c r="E24" s="22" t="s">
        <v>492</v>
      </c>
      <c r="F24" s="875" t="s">
        <v>402</v>
      </c>
    </row>
    <row r="25" spans="1:6" x14ac:dyDescent="0.3">
      <c r="A25" s="21" t="str">
        <f t="shared" ca="1" si="0"/>
        <v>Determine working packages</v>
      </c>
      <c r="B25" s="18"/>
      <c r="C25" s="22" t="s">
        <v>43</v>
      </c>
      <c r="D25" s="22" t="s">
        <v>87</v>
      </c>
      <c r="E25" s="22" t="s">
        <v>493</v>
      </c>
      <c r="F25" s="875" t="s">
        <v>403</v>
      </c>
    </row>
    <row r="26" spans="1:6" x14ac:dyDescent="0.3">
      <c r="A26" s="21" t="str">
        <f t="shared" ca="1" si="0"/>
        <v>Risks</v>
      </c>
      <c r="B26" s="18"/>
      <c r="C26" s="22" t="s">
        <v>628</v>
      </c>
      <c r="D26" s="22" t="s">
        <v>626</v>
      </c>
      <c r="E26" s="22" t="s">
        <v>629</v>
      </c>
      <c r="F26" s="875" t="s">
        <v>627</v>
      </c>
    </row>
    <row r="27" spans="1:6" x14ac:dyDescent="0.3">
      <c r="A27" s="21" t="str">
        <f t="shared" ca="1" si="0"/>
        <v>Detailed planning</v>
      </c>
      <c r="B27" s="18"/>
      <c r="C27" s="22" t="s">
        <v>26</v>
      </c>
      <c r="D27" s="22" t="s">
        <v>97</v>
      </c>
      <c r="E27" s="22" t="s">
        <v>494</v>
      </c>
      <c r="F27" s="875" t="s">
        <v>404</v>
      </c>
    </row>
    <row r="28" spans="1:6" x14ac:dyDescent="0.3">
      <c r="A28" s="21" t="str">
        <f t="shared" ca="1" si="0"/>
        <v>Go/NoGo</v>
      </c>
      <c r="B28" s="18"/>
      <c r="C28" s="22" t="s">
        <v>39</v>
      </c>
      <c r="D28" s="22" t="s">
        <v>39</v>
      </c>
      <c r="E28" s="22" t="s">
        <v>39</v>
      </c>
      <c r="F28" s="875" t="s">
        <v>39</v>
      </c>
    </row>
    <row r="29" spans="1:6" x14ac:dyDescent="0.3">
      <c r="A29" s="21" t="str">
        <f t="shared" ca="1" si="0"/>
        <v>Rough concept</v>
      </c>
      <c r="B29" s="18"/>
      <c r="C29" s="22" t="s">
        <v>67</v>
      </c>
      <c r="D29" s="22" t="s">
        <v>88</v>
      </c>
      <c r="E29" s="22" t="s">
        <v>495</v>
      </c>
      <c r="F29" s="875" t="s">
        <v>405</v>
      </c>
    </row>
    <row r="30" spans="1:6" x14ac:dyDescent="0.3">
      <c r="A30" s="21" t="str">
        <f t="shared" ca="1" si="0"/>
        <v>Go/NoGo rough concept</v>
      </c>
      <c r="B30" s="18"/>
      <c r="C30" s="22" t="s">
        <v>52</v>
      </c>
      <c r="D30" s="22" t="s">
        <v>198</v>
      </c>
      <c r="E30" s="22" t="s">
        <v>496</v>
      </c>
      <c r="F30" s="875" t="s">
        <v>406</v>
      </c>
    </row>
    <row r="31" spans="1:6" x14ac:dyDescent="0.3">
      <c r="A31" s="21" t="str">
        <f t="shared" ca="1" si="0"/>
        <v>Detailed concept</v>
      </c>
      <c r="B31" s="18"/>
      <c r="C31" s="22" t="s">
        <v>68</v>
      </c>
      <c r="D31" s="22" t="s">
        <v>89</v>
      </c>
      <c r="E31" s="22" t="s">
        <v>497</v>
      </c>
      <c r="F31" s="875" t="s">
        <v>407</v>
      </c>
    </row>
    <row r="32" spans="1:6" x14ac:dyDescent="0.3">
      <c r="A32" s="21" t="str">
        <f t="shared" ca="1" si="0"/>
        <v>Go/NoGo</v>
      </c>
      <c r="B32" s="18"/>
      <c r="C32" s="22" t="s">
        <v>39</v>
      </c>
      <c r="D32" s="22" t="s">
        <v>39</v>
      </c>
      <c r="E32" s="22" t="s">
        <v>39</v>
      </c>
      <c r="F32" s="875" t="s">
        <v>39</v>
      </c>
    </row>
    <row r="33" spans="1:6" x14ac:dyDescent="0.3">
      <c r="A33" s="21" t="str">
        <f t="shared" ca="1" si="0"/>
        <v>Implement detailed concept</v>
      </c>
      <c r="B33" s="18"/>
      <c r="C33" s="22" t="s">
        <v>44</v>
      </c>
      <c r="D33" s="22" t="s">
        <v>358</v>
      </c>
      <c r="E33" s="22" t="s">
        <v>498</v>
      </c>
      <c r="F33" s="875" t="s">
        <v>408</v>
      </c>
    </row>
    <row r="34" spans="1:6" x14ac:dyDescent="0.3">
      <c r="A34" s="21" t="str">
        <f t="shared" ca="1" si="0"/>
        <v>Project monitoring</v>
      </c>
      <c r="B34" s="18"/>
      <c r="C34" s="22" t="s">
        <v>45</v>
      </c>
      <c r="D34" s="22" t="s">
        <v>163</v>
      </c>
      <c r="E34" s="22" t="s">
        <v>499</v>
      </c>
      <c r="F34" s="875" t="s">
        <v>409</v>
      </c>
    </row>
    <row r="35" spans="1:6" x14ac:dyDescent="0.3">
      <c r="A35" s="21" t="str">
        <f t="shared" ca="1" si="0"/>
        <v>Ensure partial results</v>
      </c>
      <c r="B35" s="18"/>
      <c r="C35" s="22" t="s">
        <v>51</v>
      </c>
      <c r="D35" s="22" t="s">
        <v>90</v>
      </c>
      <c r="E35" s="22" t="s">
        <v>500</v>
      </c>
      <c r="F35" s="875" t="s">
        <v>410</v>
      </c>
    </row>
    <row r="36" spans="1:6" x14ac:dyDescent="0.3">
      <c r="A36" s="21" t="str">
        <f t="shared" ca="1" si="0"/>
        <v>Update planning activities</v>
      </c>
      <c r="B36" s="18"/>
      <c r="C36" s="22" t="s">
        <v>46</v>
      </c>
      <c r="D36" s="22" t="s">
        <v>91</v>
      </c>
      <c r="E36" s="22" t="s">
        <v>501</v>
      </c>
      <c r="F36" s="875" t="s">
        <v>411</v>
      </c>
    </row>
    <row r="37" spans="1:6" x14ac:dyDescent="0.3">
      <c r="A37" s="21" t="str">
        <f t="shared" ca="1" si="0"/>
        <v>Inform client</v>
      </c>
      <c r="B37" s="18"/>
      <c r="C37" s="22" t="s">
        <v>47</v>
      </c>
      <c r="D37" s="22" t="s">
        <v>92</v>
      </c>
      <c r="E37" s="22" t="s">
        <v>502</v>
      </c>
      <c r="F37" s="875" t="s">
        <v>412</v>
      </c>
    </row>
    <row r="38" spans="1:6" x14ac:dyDescent="0.3">
      <c r="A38" s="21" t="str">
        <f t="shared" ca="1" si="0"/>
        <v>Project status</v>
      </c>
      <c r="B38" s="18"/>
      <c r="C38" s="22" t="s">
        <v>176</v>
      </c>
      <c r="D38" s="22" t="s">
        <v>177</v>
      </c>
      <c r="E38" s="22" t="s">
        <v>503</v>
      </c>
      <c r="F38" s="875" t="s">
        <v>413</v>
      </c>
    </row>
    <row r="39" spans="1:6" x14ac:dyDescent="0.3">
      <c r="A39" s="21" t="str">
        <f t="shared" ca="1" si="0"/>
        <v>Final report</v>
      </c>
      <c r="B39" s="18"/>
      <c r="C39" s="22" t="s">
        <v>48</v>
      </c>
      <c r="D39" s="22" t="s">
        <v>94</v>
      </c>
      <c r="E39" s="22" t="s">
        <v>504</v>
      </c>
      <c r="F39" s="875" t="s">
        <v>414</v>
      </c>
    </row>
    <row r="40" spans="1:6" x14ac:dyDescent="0.3">
      <c r="A40" s="21" t="str">
        <f t="shared" ca="1" si="0"/>
        <v>Project termination</v>
      </c>
      <c r="B40" s="18"/>
      <c r="C40" s="22" t="s">
        <v>49</v>
      </c>
      <c r="D40" s="22" t="s">
        <v>164</v>
      </c>
      <c r="E40" s="22" t="s">
        <v>505</v>
      </c>
      <c r="F40" s="875" t="s">
        <v>415</v>
      </c>
    </row>
    <row r="41" spans="1:6" x14ac:dyDescent="0.3">
      <c r="A41" s="21" t="str">
        <f t="shared" ca="1" si="0"/>
        <v>Ensure results</v>
      </c>
      <c r="B41" s="18"/>
      <c r="C41" s="22" t="s">
        <v>50</v>
      </c>
      <c r="D41" s="22" t="s">
        <v>93</v>
      </c>
      <c r="E41" s="22" t="s">
        <v>506</v>
      </c>
      <c r="F41" s="875" t="s">
        <v>416</v>
      </c>
    </row>
    <row r="42" spans="1:6" x14ac:dyDescent="0.3">
      <c r="A42" s="21" t="str">
        <f t="shared" ca="1" si="0"/>
        <v>Vision/Story</v>
      </c>
      <c r="B42" s="18"/>
      <c r="C42" s="22" t="s">
        <v>1280</v>
      </c>
      <c r="D42" s="22" t="s">
        <v>1280</v>
      </c>
      <c r="E42" s="22" t="s">
        <v>1280</v>
      </c>
      <c r="F42" s="22" t="s">
        <v>1280</v>
      </c>
    </row>
    <row r="43" spans="1:6" x14ac:dyDescent="0.3">
      <c r="A43" s="21" t="str">
        <f t="shared" ca="1" si="0"/>
        <v>Concept</v>
      </c>
      <c r="B43" s="18"/>
      <c r="C43" s="22" t="s">
        <v>130</v>
      </c>
      <c r="D43" s="22" t="s">
        <v>138</v>
      </c>
      <c r="E43" s="22" t="s">
        <v>138</v>
      </c>
      <c r="F43" s="875" t="s">
        <v>417</v>
      </c>
    </row>
    <row r="44" spans="1:6" x14ac:dyDescent="0.3">
      <c r="A44" s="21" t="str">
        <f t="shared" ca="1" si="0"/>
        <v>Status</v>
      </c>
      <c r="B44" s="18"/>
      <c r="C44" s="22" t="s">
        <v>1</v>
      </c>
      <c r="D44" s="22" t="s">
        <v>139</v>
      </c>
      <c r="E44" s="22" t="s">
        <v>258</v>
      </c>
      <c r="F44" s="875" t="s">
        <v>418</v>
      </c>
    </row>
    <row r="45" spans="1:6" x14ac:dyDescent="0.3">
      <c r="A45" s="21" t="str">
        <f t="shared" ca="1" si="0"/>
        <v>Final report</v>
      </c>
      <c r="B45" s="18"/>
      <c r="C45" s="22" t="s">
        <v>137</v>
      </c>
      <c r="D45" s="22" t="s">
        <v>94</v>
      </c>
      <c r="E45" s="22" t="s">
        <v>504</v>
      </c>
      <c r="F45" s="875" t="s">
        <v>414</v>
      </c>
    </row>
    <row r="46" spans="1:6" x14ac:dyDescent="0.3">
      <c r="A46" s="24" t="str">
        <f t="shared" ca="1" si="0"/>
        <v>Gantt</v>
      </c>
      <c r="B46" s="18"/>
      <c r="C46" s="25" t="s">
        <v>625</v>
      </c>
      <c r="D46" s="25" t="s">
        <v>625</v>
      </c>
      <c r="E46" s="25" t="s">
        <v>625</v>
      </c>
      <c r="F46" s="881" t="s">
        <v>625</v>
      </c>
    </row>
    <row r="47" spans="1:6" x14ac:dyDescent="0.3">
      <c r="A47" s="24" t="str">
        <f t="shared" ca="1" si="0"/>
        <v>Your logo:</v>
      </c>
      <c r="B47" s="18"/>
      <c r="C47" s="25" t="s">
        <v>900</v>
      </c>
      <c r="D47" s="25" t="s">
        <v>901</v>
      </c>
      <c r="E47" s="25" t="s">
        <v>902</v>
      </c>
      <c r="F47" s="881" t="s">
        <v>903</v>
      </c>
    </row>
    <row r="48" spans="1:6" x14ac:dyDescent="0.3">
      <c r="A48" s="21" t="str">
        <f t="shared" ca="1" si="0"/>
        <v>External res.</v>
      </c>
      <c r="B48" s="18"/>
      <c r="C48" s="22" t="s">
        <v>1075</v>
      </c>
      <c r="D48" s="22" t="s">
        <v>1076</v>
      </c>
      <c r="E48" s="22" t="s">
        <v>1077</v>
      </c>
      <c r="F48" s="875" t="s">
        <v>1100</v>
      </c>
    </row>
    <row r="49" spans="1:6" x14ac:dyDescent="0.3">
      <c r="A49" s="24" t="str">
        <f t="shared" ca="1" si="0"/>
        <v>Internal res.</v>
      </c>
      <c r="B49" s="18"/>
      <c r="C49" s="25" t="s">
        <v>1078</v>
      </c>
      <c r="D49" s="25" t="s">
        <v>1079</v>
      </c>
      <c r="E49" s="25" t="s">
        <v>1080</v>
      </c>
      <c r="F49" s="881" t="s">
        <v>1081</v>
      </c>
    </row>
    <row r="50" spans="1:6" x14ac:dyDescent="0.3">
      <c r="A50" s="21" t="str">
        <f t="shared" ca="1" si="0"/>
        <v>CHF? h?</v>
      </c>
      <c r="B50" s="18"/>
      <c r="C50" s="22" t="s">
        <v>1255</v>
      </c>
      <c r="D50" s="22" t="s">
        <v>1255</v>
      </c>
      <c r="E50" s="22" t="s">
        <v>1255</v>
      </c>
      <c r="F50" s="875" t="s">
        <v>1255</v>
      </c>
    </row>
    <row r="51" spans="1:6" x14ac:dyDescent="0.3">
      <c r="A51" s="24" t="str">
        <f t="shared" ca="1" si="0"/>
        <v>Public sector</v>
      </c>
      <c r="B51" s="18"/>
      <c r="C51" s="25" t="s">
        <v>1257</v>
      </c>
      <c r="D51" s="25" t="s">
        <v>1256</v>
      </c>
      <c r="E51" s="25" t="s">
        <v>1258</v>
      </c>
      <c r="F51" s="881" t="s">
        <v>1259</v>
      </c>
    </row>
    <row r="52" spans="1:6" x14ac:dyDescent="0.3">
      <c r="A52" s="24" t="str">
        <f t="shared" ca="1" si="0"/>
        <v>Rough</v>
      </c>
      <c r="B52" s="852"/>
      <c r="C52" s="58" t="s">
        <v>1263</v>
      </c>
      <c r="D52" s="58" t="s">
        <v>1265</v>
      </c>
      <c r="E52" s="58" t="s">
        <v>1267</v>
      </c>
      <c r="F52" s="58" t="s">
        <v>1268</v>
      </c>
    </row>
    <row r="53" spans="1:6" x14ac:dyDescent="0.3">
      <c r="A53" s="24" t="str">
        <f t="shared" ca="1" si="0"/>
        <v>Detail</v>
      </c>
      <c r="B53" s="852"/>
      <c r="C53" s="58" t="s">
        <v>1264</v>
      </c>
      <c r="D53" s="58" t="s">
        <v>1266</v>
      </c>
      <c r="E53" s="58" t="s">
        <v>1264</v>
      </c>
      <c r="F53" s="58" t="s">
        <v>1269</v>
      </c>
    </row>
    <row r="54" spans="1:6" x14ac:dyDescent="0.3">
      <c r="A54" s="24"/>
      <c r="B54" s="852"/>
    </row>
    <row r="55" spans="1:6" s="30" customFormat="1" x14ac:dyDescent="0.3">
      <c r="A55" s="26" t="str">
        <f t="shared" ca="1" si="0"/>
        <v>P R O J E C T   C H A R T E R</v>
      </c>
      <c r="B55" s="27"/>
      <c r="C55" s="14" t="s">
        <v>202</v>
      </c>
      <c r="D55" s="14" t="s">
        <v>203</v>
      </c>
      <c r="E55" s="14" t="s">
        <v>507</v>
      </c>
      <c r="F55" s="879" t="s">
        <v>363</v>
      </c>
    </row>
    <row r="56" spans="1:6" x14ac:dyDescent="0.3">
      <c r="A56" s="17" t="str">
        <f t="shared" ca="1" si="0"/>
        <v>Project number:</v>
      </c>
      <c r="B56" s="18"/>
      <c r="C56" s="19" t="s">
        <v>2</v>
      </c>
      <c r="D56" s="19" t="s">
        <v>360</v>
      </c>
      <c r="E56" s="19" t="s">
        <v>508</v>
      </c>
      <c r="F56" s="880" t="s">
        <v>419</v>
      </c>
    </row>
    <row r="57" spans="1:6" x14ac:dyDescent="0.3">
      <c r="A57" s="21" t="str">
        <f t="shared" ca="1" si="0"/>
        <v>Start:</v>
      </c>
      <c r="B57" s="18"/>
      <c r="C57" s="22" t="s">
        <v>154</v>
      </c>
      <c r="D57" s="22" t="s">
        <v>155</v>
      </c>
      <c r="E57" s="22" t="s">
        <v>509</v>
      </c>
      <c r="F57" s="875" t="s">
        <v>420</v>
      </c>
    </row>
    <row r="58" spans="1:6" x14ac:dyDescent="0.3">
      <c r="A58" s="21" t="str">
        <f t="shared" ca="1" si="0"/>
        <v>Finish:</v>
      </c>
      <c r="B58" s="18"/>
      <c r="C58" s="22" t="s">
        <v>3</v>
      </c>
      <c r="D58" s="22" t="s">
        <v>69</v>
      </c>
      <c r="E58" s="22" t="s">
        <v>510</v>
      </c>
      <c r="F58" s="875" t="s">
        <v>421</v>
      </c>
    </row>
    <row r="59" spans="1:6" x14ac:dyDescent="0.3">
      <c r="A59" s="21" t="str">
        <f t="shared" ca="1" si="0"/>
        <v>Project title:</v>
      </c>
      <c r="B59" s="18"/>
      <c r="C59" s="22" t="s">
        <v>1156</v>
      </c>
      <c r="D59" s="22" t="s">
        <v>597</v>
      </c>
      <c r="E59" s="22" t="s">
        <v>511</v>
      </c>
      <c r="F59" s="875" t="s">
        <v>1157</v>
      </c>
    </row>
    <row r="60" spans="1:6" x14ac:dyDescent="0.3">
      <c r="A60" s="21" t="str">
        <f t="shared" ca="1" si="0"/>
        <v>Procuct Owner:</v>
      </c>
      <c r="B60" s="18"/>
      <c r="C60" s="22" t="s">
        <v>1276</v>
      </c>
      <c r="D60" s="22" t="s">
        <v>1277</v>
      </c>
      <c r="E60" s="22" t="s">
        <v>1275</v>
      </c>
      <c r="F60" s="22" t="s">
        <v>1275</v>
      </c>
    </row>
    <row r="61" spans="1:6" x14ac:dyDescent="0.3">
      <c r="A61" s="21" t="str">
        <f t="shared" ca="1" si="0"/>
        <v>Scrum Master:</v>
      </c>
      <c r="B61" s="18"/>
      <c r="C61" s="22" t="s">
        <v>1278</v>
      </c>
      <c r="D61" s="22" t="s">
        <v>1279</v>
      </c>
      <c r="E61" s="22" t="s">
        <v>1278</v>
      </c>
      <c r="F61" s="22" t="s">
        <v>1278</v>
      </c>
    </row>
    <row r="62" spans="1:6" x14ac:dyDescent="0.3">
      <c r="A62" s="21" t="str">
        <f t="shared" ca="1" si="0"/>
        <v>Department:</v>
      </c>
      <c r="B62" s="18"/>
      <c r="C62" s="22" t="s">
        <v>4</v>
      </c>
      <c r="D62" s="22" t="s">
        <v>165</v>
      </c>
      <c r="E62" s="22" t="s">
        <v>512</v>
      </c>
      <c r="F62" s="875" t="s">
        <v>422</v>
      </c>
    </row>
    <row r="63" spans="1:6" x14ac:dyDescent="0.3">
      <c r="A63" s="21" t="str">
        <f t="shared" ca="1" si="0"/>
        <v>Modified on:</v>
      </c>
      <c r="B63" s="18"/>
      <c r="C63" s="22" t="s">
        <v>5</v>
      </c>
      <c r="D63" s="22" t="s">
        <v>166</v>
      </c>
      <c r="E63" s="22" t="s">
        <v>513</v>
      </c>
      <c r="F63" s="875" t="s">
        <v>423</v>
      </c>
    </row>
    <row r="64" spans="1:6" x14ac:dyDescent="0.3">
      <c r="A64" s="21" t="str">
        <f t="shared" ca="1" si="0"/>
        <v>Deputy:</v>
      </c>
      <c r="B64" s="18"/>
      <c r="C64" s="22" t="s">
        <v>6</v>
      </c>
      <c r="D64" s="22" t="s">
        <v>598</v>
      </c>
      <c r="E64" s="22" t="s">
        <v>514</v>
      </c>
      <c r="F64" s="875" t="s">
        <v>424</v>
      </c>
    </row>
    <row r="65" spans="1:6" x14ac:dyDescent="0.3">
      <c r="A65" s="21" t="str">
        <f t="shared" ca="1" si="0"/>
        <v>Strategic goal:</v>
      </c>
      <c r="B65" s="18"/>
      <c r="C65" s="22" t="s">
        <v>7</v>
      </c>
      <c r="D65" s="22" t="s">
        <v>70</v>
      </c>
      <c r="E65" s="22" t="s">
        <v>515</v>
      </c>
      <c r="F65" s="875" t="s">
        <v>425</v>
      </c>
    </row>
    <row r="66" spans="1:6" ht="27.6" x14ac:dyDescent="0.3">
      <c r="A66" s="21" t="str">
        <f t="shared" ca="1" si="0"/>
        <v>What is the vision? What is the story behind this project? Customer Experience?</v>
      </c>
      <c r="B66" s="18"/>
      <c r="C66" s="22" t="s">
        <v>1361</v>
      </c>
      <c r="D66" s="22" t="s">
        <v>1360</v>
      </c>
      <c r="E66" s="22" t="s">
        <v>1359</v>
      </c>
      <c r="F66" s="875" t="s">
        <v>1362</v>
      </c>
    </row>
    <row r="67" spans="1:6" x14ac:dyDescent="0.3">
      <c r="A67" s="21" t="str">
        <f t="shared" ca="1" si="0"/>
        <v xml:space="preserve">Project goals </v>
      </c>
      <c r="B67" s="18"/>
      <c r="C67" s="22" t="s">
        <v>1326</v>
      </c>
      <c r="D67" s="22" t="s">
        <v>1327</v>
      </c>
      <c r="E67" s="22" t="s">
        <v>1328</v>
      </c>
      <c r="F67" s="875" t="s">
        <v>1329</v>
      </c>
    </row>
    <row r="68" spans="1:6" x14ac:dyDescent="0.3">
      <c r="A68" s="21" t="str">
        <f t="shared" ca="1" si="0"/>
        <v>Indicators</v>
      </c>
      <c r="B68" s="32"/>
      <c r="C68" s="55" t="s">
        <v>838</v>
      </c>
      <c r="D68" s="55" t="s">
        <v>839</v>
      </c>
      <c r="E68" s="55" t="s">
        <v>840</v>
      </c>
      <c r="F68" s="882" t="s">
        <v>867</v>
      </c>
    </row>
    <row r="69" spans="1:6" x14ac:dyDescent="0.3">
      <c r="A69" s="21" t="str">
        <f t="shared" ca="1" si="0"/>
        <v>Premise / Condition</v>
      </c>
      <c r="B69" s="18"/>
      <c r="C69" s="22" t="s">
        <v>1314</v>
      </c>
      <c r="D69" s="22" t="s">
        <v>1313</v>
      </c>
      <c r="E69" s="22" t="s">
        <v>1315</v>
      </c>
      <c r="F69" s="875" t="s">
        <v>1316</v>
      </c>
    </row>
    <row r="70" spans="1:6" x14ac:dyDescent="0.3">
      <c r="A70" s="21" t="str">
        <f t="shared" ca="1" si="0"/>
        <v>Budget / Resources / Persons</v>
      </c>
      <c r="B70" s="18"/>
      <c r="C70" s="22" t="s">
        <v>14</v>
      </c>
      <c r="D70" s="22" t="s">
        <v>71</v>
      </c>
      <c r="E70" s="22" t="s">
        <v>516</v>
      </c>
      <c r="F70" s="875" t="s">
        <v>426</v>
      </c>
    </row>
    <row r="71" spans="1:6" x14ac:dyDescent="0.3">
      <c r="A71" s="21" t="str">
        <f t="shared" ca="1" si="0"/>
        <v>Internal resources</v>
      </c>
      <c r="B71" s="18"/>
      <c r="C71" s="22" t="s">
        <v>1060</v>
      </c>
      <c r="D71" s="22" t="s">
        <v>1059</v>
      </c>
      <c r="E71" s="22" t="s">
        <v>1061</v>
      </c>
      <c r="F71" s="875" t="s">
        <v>1063</v>
      </c>
    </row>
    <row r="72" spans="1:6" x14ac:dyDescent="0.3">
      <c r="A72" s="21" t="str">
        <f t="shared" ca="1" si="0"/>
        <v>Personnel costs</v>
      </c>
      <c r="B72" s="18"/>
      <c r="C72" s="22" t="s">
        <v>74</v>
      </c>
      <c r="D72" s="22" t="s">
        <v>167</v>
      </c>
      <c r="E72" s="22" t="s">
        <v>517</v>
      </c>
      <c r="F72" s="875" t="s">
        <v>427</v>
      </c>
    </row>
    <row r="73" spans="1:6" x14ac:dyDescent="0.3">
      <c r="A73" s="21" t="str">
        <f t="shared" ca="1" si="0"/>
        <v>Compare detail project team</v>
      </c>
      <c r="B73" s="18"/>
      <c r="C73" s="22" t="s">
        <v>59</v>
      </c>
      <c r="D73" s="22" t="s">
        <v>75</v>
      </c>
      <c r="E73" s="22" t="s">
        <v>518</v>
      </c>
      <c r="F73" s="875" t="s">
        <v>428</v>
      </c>
    </row>
    <row r="74" spans="1:6" x14ac:dyDescent="0.3">
      <c r="A74" s="21" t="str">
        <f t="shared" ref="A74:A168" ca="1" si="1">OFFSET($C74,0,$B$4-1)</f>
        <v>Diverse 1:</v>
      </c>
      <c r="B74" s="18"/>
      <c r="C74" s="22" t="s">
        <v>15</v>
      </c>
      <c r="D74" s="22" t="s">
        <v>76</v>
      </c>
      <c r="E74" s="22" t="s">
        <v>519</v>
      </c>
      <c r="F74" s="875" t="s">
        <v>429</v>
      </c>
    </row>
    <row r="75" spans="1:6" x14ac:dyDescent="0.3">
      <c r="A75" s="21" t="str">
        <f t="shared" ca="1" si="1"/>
        <v>Compare project budget (internal)</v>
      </c>
      <c r="B75" s="18"/>
      <c r="C75" s="22" t="s">
        <v>60</v>
      </c>
      <c r="D75" s="22" t="s">
        <v>77</v>
      </c>
      <c r="E75" s="22" t="s">
        <v>520</v>
      </c>
      <c r="F75" s="875" t="s">
        <v>430</v>
      </c>
    </row>
    <row r="76" spans="1:6" x14ac:dyDescent="0.3">
      <c r="A76" s="21" t="str">
        <f t="shared" ca="1" si="1"/>
        <v>Diverse 2:</v>
      </c>
      <c r="B76" s="18"/>
      <c r="C76" s="22" t="s">
        <v>16</v>
      </c>
      <c r="D76" s="22" t="s">
        <v>599</v>
      </c>
      <c r="E76" s="22" t="s">
        <v>521</v>
      </c>
      <c r="F76" s="875" t="s">
        <v>431</v>
      </c>
    </row>
    <row r="77" spans="1:6" x14ac:dyDescent="0.3">
      <c r="A77" s="21" t="str">
        <f t="shared" ca="1" si="1"/>
        <v>External resources</v>
      </c>
      <c r="B77" s="18"/>
      <c r="C77" s="22" t="s">
        <v>1066</v>
      </c>
      <c r="D77" s="22" t="s">
        <v>1065</v>
      </c>
      <c r="E77" s="22" t="s">
        <v>1064</v>
      </c>
      <c r="F77" s="875" t="s">
        <v>1062</v>
      </c>
    </row>
    <row r="78" spans="1:6" x14ac:dyDescent="0.3">
      <c r="A78" s="21" t="str">
        <f t="shared" ca="1" si="1"/>
        <v>Diverse 1:</v>
      </c>
      <c r="B78" s="18"/>
      <c r="C78" s="22" t="s">
        <v>15</v>
      </c>
      <c r="D78" s="22" t="s">
        <v>76</v>
      </c>
      <c r="E78" s="22" t="s">
        <v>519</v>
      </c>
      <c r="F78" s="875" t="s">
        <v>429</v>
      </c>
    </row>
    <row r="79" spans="1:6" x14ac:dyDescent="0.3">
      <c r="A79" s="21" t="str">
        <f t="shared" ca="1" si="1"/>
        <v>Compare detail project budget (external)</v>
      </c>
      <c r="B79" s="18"/>
      <c r="C79" s="22" t="s">
        <v>61</v>
      </c>
      <c r="D79" s="22" t="s">
        <v>78</v>
      </c>
      <c r="E79" s="22" t="s">
        <v>522</v>
      </c>
      <c r="F79" s="875" t="s">
        <v>432</v>
      </c>
    </row>
    <row r="80" spans="1:6" x14ac:dyDescent="0.3">
      <c r="A80" s="21" t="str">
        <f t="shared" ca="1" si="1"/>
        <v>Diverse 2:</v>
      </c>
      <c r="B80" s="18"/>
      <c r="C80" s="22" t="s">
        <v>16</v>
      </c>
      <c r="D80" s="22" t="s">
        <v>599</v>
      </c>
      <c r="E80" s="22" t="s">
        <v>521</v>
      </c>
      <c r="F80" s="875" t="s">
        <v>431</v>
      </c>
    </row>
    <row r="81" spans="1:6" x14ac:dyDescent="0.3">
      <c r="A81" s="21" t="str">
        <f t="shared" ca="1" si="1"/>
        <v>Diverse 3:</v>
      </c>
      <c r="B81" s="18"/>
      <c r="C81" s="22" t="s">
        <v>17</v>
      </c>
      <c r="D81" s="22" t="s">
        <v>600</v>
      </c>
      <c r="E81" s="22" t="s">
        <v>523</v>
      </c>
      <c r="F81" s="875" t="s">
        <v>433</v>
      </c>
    </row>
    <row r="82" spans="1:6" x14ac:dyDescent="0.3">
      <c r="A82" s="21" t="str">
        <f t="shared" ca="1" si="1"/>
        <v>TOTAL RESOURCES</v>
      </c>
      <c r="B82" s="18"/>
      <c r="C82" s="22" t="s">
        <v>1067</v>
      </c>
      <c r="D82" s="22" t="s">
        <v>1068</v>
      </c>
      <c r="E82" s="22" t="s">
        <v>1069</v>
      </c>
      <c r="F82" s="875" t="s">
        <v>1070</v>
      </c>
    </row>
    <row r="83" spans="1:6" x14ac:dyDescent="0.3">
      <c r="A83" s="21" t="str">
        <f t="shared" ca="1" si="1"/>
        <v>Deadlines / Milestones (Go/NoGo)</v>
      </c>
      <c r="B83" s="18"/>
      <c r="C83" s="22" t="s">
        <v>883</v>
      </c>
      <c r="D83" s="22" t="s">
        <v>1105</v>
      </c>
      <c r="E83" s="22" t="s">
        <v>884</v>
      </c>
      <c r="F83" s="875" t="s">
        <v>885</v>
      </c>
    </row>
    <row r="84" spans="1:6" x14ac:dyDescent="0.3">
      <c r="A84" s="21" t="str">
        <f t="shared" ca="1" si="1"/>
        <v>When?</v>
      </c>
      <c r="B84" s="18"/>
      <c r="C84" s="22" t="s">
        <v>18</v>
      </c>
      <c r="D84" s="22" t="s">
        <v>72</v>
      </c>
      <c r="E84" s="22" t="s">
        <v>524</v>
      </c>
      <c r="F84" s="875" t="s">
        <v>434</v>
      </c>
    </row>
    <row r="85" spans="1:6" x14ac:dyDescent="0.3">
      <c r="A85" s="21" t="str">
        <f t="shared" ca="1" si="1"/>
        <v>What?</v>
      </c>
      <c r="B85" s="18"/>
      <c r="C85" s="22" t="s">
        <v>19</v>
      </c>
      <c r="D85" s="22" t="s">
        <v>73</v>
      </c>
      <c r="E85" s="22" t="s">
        <v>525</v>
      </c>
      <c r="F85" s="875" t="s">
        <v>435</v>
      </c>
    </row>
    <row r="86" spans="1:6" x14ac:dyDescent="0.3">
      <c r="A86" s="21" t="str">
        <f t="shared" ca="1" si="1"/>
        <v>Who?</v>
      </c>
      <c r="B86" s="18"/>
      <c r="C86" s="22" t="s">
        <v>20</v>
      </c>
      <c r="D86" s="22" t="s">
        <v>79</v>
      </c>
      <c r="E86" s="22" t="s">
        <v>526</v>
      </c>
      <c r="F86" s="875" t="s">
        <v>436</v>
      </c>
    </row>
    <row r="87" spans="1:6" x14ac:dyDescent="0.3">
      <c r="A87" s="21" t="str">
        <f t="shared" ca="1" si="1"/>
        <v>Approved?</v>
      </c>
      <c r="B87" s="18"/>
      <c r="C87" s="22" t="s">
        <v>21</v>
      </c>
      <c r="D87" s="22" t="s">
        <v>80</v>
      </c>
      <c r="E87" s="22" t="s">
        <v>527</v>
      </c>
      <c r="F87" s="875" t="s">
        <v>437</v>
      </c>
    </row>
    <row r="88" spans="1:6" x14ac:dyDescent="0.3">
      <c r="A88" s="21" t="str">
        <f t="shared" ca="1" si="1"/>
        <v>Remarks / attachments</v>
      </c>
      <c r="B88" s="18"/>
      <c r="C88" s="22" t="s">
        <v>65</v>
      </c>
      <c r="D88" s="22" t="s">
        <v>168</v>
      </c>
      <c r="E88" s="22" t="s">
        <v>613</v>
      </c>
      <c r="F88" s="875" t="s">
        <v>438</v>
      </c>
    </row>
    <row r="89" spans="1:6" ht="27.6" x14ac:dyDescent="0.3">
      <c r="A89" s="21" t="str">
        <f t="shared" ca="1" si="1"/>
        <v xml:space="preserve">Discuss project charter and have it signed by client </v>
      </c>
      <c r="B89" s="18"/>
      <c r="C89" s="22" t="s">
        <v>114</v>
      </c>
      <c r="D89" s="22" t="s">
        <v>169</v>
      </c>
      <c r="E89" s="22" t="s">
        <v>528</v>
      </c>
      <c r="F89" s="875" t="s">
        <v>439</v>
      </c>
    </row>
    <row r="90" spans="1:6" ht="27.6" x14ac:dyDescent="0.3">
      <c r="A90" s="21" t="str">
        <f t="shared" ca="1" si="1"/>
        <v>Detailed planning drawn up and Go/NoGo from client</v>
      </c>
      <c r="B90" s="18"/>
      <c r="C90" s="22" t="s">
        <v>115</v>
      </c>
      <c r="D90" s="22" t="s">
        <v>170</v>
      </c>
      <c r="E90" s="22" t="s">
        <v>529</v>
      </c>
      <c r="F90" s="875" t="s">
        <v>440</v>
      </c>
    </row>
    <row r="91" spans="1:6" ht="27.6" x14ac:dyDescent="0.3">
      <c r="A91" s="21" t="str">
        <f t="shared" ca="1" si="1"/>
        <v>Rough concept drawn up and Go/NoGo from client</v>
      </c>
      <c r="B91" s="18"/>
      <c r="C91" s="22" t="s">
        <v>116</v>
      </c>
      <c r="D91" s="22" t="s">
        <v>171</v>
      </c>
      <c r="E91" s="22" t="s">
        <v>530</v>
      </c>
      <c r="F91" s="875" t="s">
        <v>441</v>
      </c>
    </row>
    <row r="92" spans="1:6" ht="27.6" x14ac:dyDescent="0.3">
      <c r="A92" s="21" t="str">
        <f t="shared" ca="1" si="1"/>
        <v>Detailed concept drawn up and Go/NoGo from client</v>
      </c>
      <c r="B92" s="18"/>
      <c r="C92" s="22" t="s">
        <v>117</v>
      </c>
      <c r="D92" s="22" t="s">
        <v>172</v>
      </c>
      <c r="E92" s="22" t="s">
        <v>531</v>
      </c>
      <c r="F92" s="875" t="s">
        <v>442</v>
      </c>
    </row>
    <row r="93" spans="1:6" ht="27.6" x14ac:dyDescent="0.3">
      <c r="A93" s="21" t="str">
        <f t="shared" ca="1" si="1"/>
        <v>Monthly interim report to client</v>
      </c>
      <c r="B93" s="18"/>
      <c r="C93" s="22" t="s">
        <v>118</v>
      </c>
      <c r="D93" s="22" t="s">
        <v>602</v>
      </c>
      <c r="E93" s="22" t="s">
        <v>532</v>
      </c>
      <c r="F93" s="875" t="s">
        <v>443</v>
      </c>
    </row>
    <row r="94" spans="1:6" x14ac:dyDescent="0.3">
      <c r="A94" s="21" t="str">
        <f t="shared" ca="1" si="1"/>
        <v>Final report to client</v>
      </c>
      <c r="B94" s="18"/>
      <c r="C94" s="22" t="s">
        <v>119</v>
      </c>
      <c r="D94" s="22" t="s">
        <v>120</v>
      </c>
      <c r="E94" s="22" t="s">
        <v>533</v>
      </c>
      <c r="F94" s="875" t="s">
        <v>444</v>
      </c>
    </row>
    <row r="95" spans="1:6" x14ac:dyDescent="0.3">
      <c r="A95" s="21" t="str">
        <f t="shared" ca="1" si="1"/>
        <v>Date</v>
      </c>
      <c r="B95" s="18"/>
      <c r="C95" s="22" t="s">
        <v>23</v>
      </c>
      <c r="D95" s="22" t="s">
        <v>81</v>
      </c>
      <c r="E95" s="22" t="s">
        <v>81</v>
      </c>
      <c r="F95" s="875" t="s">
        <v>445</v>
      </c>
    </row>
    <row r="96" spans="1:6" x14ac:dyDescent="0.3">
      <c r="A96" s="21" t="str">
        <f t="shared" ca="1" si="1"/>
        <v>Client signature</v>
      </c>
      <c r="B96" s="18"/>
      <c r="C96" s="22" t="s">
        <v>24</v>
      </c>
      <c r="D96" s="22" t="s">
        <v>107</v>
      </c>
      <c r="E96" s="22" t="s">
        <v>534</v>
      </c>
      <c r="F96" s="875" t="s">
        <v>446</v>
      </c>
    </row>
    <row r="97" spans="1:6" x14ac:dyDescent="0.3">
      <c r="A97" s="24" t="str">
        <f t="shared" ca="1" si="1"/>
        <v>Project manager signature</v>
      </c>
      <c r="B97" s="18"/>
      <c r="C97" s="25" t="s">
        <v>25</v>
      </c>
      <c r="D97" s="25" t="s">
        <v>173</v>
      </c>
      <c r="E97" s="25" t="s">
        <v>535</v>
      </c>
      <c r="F97" s="881" t="s">
        <v>447</v>
      </c>
    </row>
    <row r="98" spans="1:6" x14ac:dyDescent="0.3">
      <c r="A98" s="21" t="str">
        <f t="shared" ca="1" si="1"/>
        <v>Vision Scope</v>
      </c>
      <c r="B98" s="18"/>
      <c r="C98" s="22" t="s">
        <v>1283</v>
      </c>
      <c r="D98" s="22" t="s">
        <v>1285</v>
      </c>
      <c r="E98" s="22" t="s">
        <v>1284</v>
      </c>
      <c r="F98" s="875" t="s">
        <v>1286</v>
      </c>
    </row>
    <row r="99" spans="1:6" x14ac:dyDescent="0.3">
      <c r="A99" s="21" t="str">
        <f t="shared" ca="1" si="1"/>
        <v>Product Backlog</v>
      </c>
      <c r="B99" s="18"/>
      <c r="C99" s="22" t="s">
        <v>1292</v>
      </c>
      <c r="D99" s="22" t="s">
        <v>1288</v>
      </c>
      <c r="E99" s="22" t="s">
        <v>1287</v>
      </c>
      <c r="F99" s="875" t="s">
        <v>1289</v>
      </c>
    </row>
    <row r="100" spans="1:6" x14ac:dyDescent="0.3">
      <c r="A100" s="21" t="str">
        <f t="shared" ca="1" si="1"/>
        <v>Sprint Planning</v>
      </c>
      <c r="B100" s="18"/>
      <c r="C100" s="22" t="s">
        <v>1291</v>
      </c>
      <c r="D100" s="22" t="s">
        <v>1293</v>
      </c>
      <c r="E100" s="22" t="s">
        <v>1290</v>
      </c>
      <c r="F100" s="875" t="s">
        <v>1294</v>
      </c>
    </row>
    <row r="101" spans="1:6" x14ac:dyDescent="0.3">
      <c r="A101" s="21" t="str">
        <f t="shared" ca="1" si="1"/>
        <v>ITERATION</v>
      </c>
      <c r="B101" s="18"/>
      <c r="C101" s="22" t="s">
        <v>1295</v>
      </c>
      <c r="D101" s="22" t="s">
        <v>1295</v>
      </c>
      <c r="E101" s="22" t="s">
        <v>1295</v>
      </c>
      <c r="F101" s="875" t="s">
        <v>1296</v>
      </c>
    </row>
    <row r="102" spans="1:6" x14ac:dyDescent="0.3">
      <c r="A102" s="21" t="str">
        <f t="shared" ca="1" si="1"/>
        <v>Sprint Review</v>
      </c>
      <c r="B102" s="32"/>
      <c r="C102" s="862" t="s">
        <v>1297</v>
      </c>
      <c r="D102" s="862" t="s">
        <v>1298</v>
      </c>
      <c r="E102" s="862" t="s">
        <v>1297</v>
      </c>
      <c r="F102" s="875" t="s">
        <v>1299</v>
      </c>
    </row>
    <row r="103" spans="1:6" x14ac:dyDescent="0.3">
      <c r="A103" s="21" t="str">
        <f t="shared" ca="1" si="1"/>
        <v>1-4 Weeks</v>
      </c>
      <c r="B103" s="32"/>
      <c r="C103" s="862" t="s">
        <v>1301</v>
      </c>
      <c r="D103" s="862" t="s">
        <v>1303</v>
      </c>
      <c r="E103" s="862" t="s">
        <v>1300</v>
      </c>
      <c r="F103" s="875" t="s">
        <v>1302</v>
      </c>
    </row>
    <row r="104" spans="1:6" x14ac:dyDescent="0.3">
      <c r="A104" s="21" t="str">
        <f t="shared" ca="1" si="1"/>
        <v>DAILY SCRUM</v>
      </c>
      <c r="B104" s="32"/>
      <c r="C104" s="862" t="s">
        <v>1305</v>
      </c>
      <c r="D104" s="862" t="s">
        <v>1304</v>
      </c>
      <c r="E104" s="862" t="s">
        <v>1305</v>
      </c>
      <c r="F104" s="862" t="s">
        <v>1305</v>
      </c>
    </row>
    <row r="105" spans="1:6" x14ac:dyDescent="0.3">
      <c r="A105" s="21" t="str">
        <f t="shared" ca="1" si="1"/>
        <v>Sprint Retrospective</v>
      </c>
      <c r="B105" s="32"/>
      <c r="C105" s="862" t="s">
        <v>1366</v>
      </c>
      <c r="D105" s="862" t="s">
        <v>1308</v>
      </c>
      <c r="E105" s="862" t="s">
        <v>1306</v>
      </c>
      <c r="F105" s="875" t="s">
        <v>1307</v>
      </c>
    </row>
    <row r="106" spans="1:6" x14ac:dyDescent="0.3">
      <c r="A106" s="21" t="str">
        <f t="shared" ca="1" si="1"/>
        <v>Product Increment</v>
      </c>
      <c r="B106" s="18"/>
      <c r="C106" s="22" t="s">
        <v>1310</v>
      </c>
      <c r="D106" s="22" t="s">
        <v>1311</v>
      </c>
      <c r="E106" s="22" t="s">
        <v>1309</v>
      </c>
      <c r="F106" s="875" t="s">
        <v>1312</v>
      </c>
    </row>
    <row r="107" spans="1:6" ht="27.6" x14ac:dyDescent="0.3">
      <c r="A107" s="21" t="str">
        <f t="shared" ca="1" si="1"/>
        <v>Story
points</v>
      </c>
      <c r="B107" s="32"/>
      <c r="C107" s="862" t="s">
        <v>1515</v>
      </c>
      <c r="D107" s="862" t="s">
        <v>1515</v>
      </c>
      <c r="E107" s="862" t="s">
        <v>1515</v>
      </c>
      <c r="F107" s="862" t="s">
        <v>1515</v>
      </c>
    </row>
    <row r="108" spans="1:6" x14ac:dyDescent="0.3">
      <c r="A108" s="21" t="str">
        <f t="shared" ca="1" si="1"/>
        <v>Sprint</v>
      </c>
      <c r="B108" s="32"/>
      <c r="C108" s="862" t="s">
        <v>1330</v>
      </c>
      <c r="D108" s="862" t="s">
        <v>1330</v>
      </c>
      <c r="E108" s="862" t="s">
        <v>1330</v>
      </c>
      <c r="F108" s="862" t="s">
        <v>1330</v>
      </c>
    </row>
    <row r="109" spans="1:6" x14ac:dyDescent="0.3">
      <c r="A109" s="21" t="str">
        <f t="shared" ca="1" si="1"/>
        <v>Stage</v>
      </c>
      <c r="B109" s="32"/>
      <c r="C109" s="862" t="s">
        <v>1331</v>
      </c>
      <c r="D109" s="862" t="s">
        <v>1333</v>
      </c>
      <c r="E109" s="862" t="s">
        <v>1332</v>
      </c>
      <c r="F109" s="875" t="s">
        <v>1334</v>
      </c>
    </row>
    <row r="110" spans="1:6" x14ac:dyDescent="0.3">
      <c r="A110" s="21" t="str">
        <f t="shared" ca="1" si="1"/>
        <v>Not started</v>
      </c>
      <c r="B110" s="32"/>
      <c r="C110" s="862" t="s">
        <v>1335</v>
      </c>
      <c r="D110" s="862" t="s">
        <v>1345</v>
      </c>
      <c r="E110" s="862" t="s">
        <v>1340</v>
      </c>
      <c r="F110" s="875" t="s">
        <v>1350</v>
      </c>
    </row>
    <row r="111" spans="1:6" x14ac:dyDescent="0.3">
      <c r="A111" s="21" t="str">
        <f t="shared" ca="1" si="1"/>
        <v>In progress</v>
      </c>
      <c r="B111" s="32"/>
      <c r="C111" s="862" t="s">
        <v>1336</v>
      </c>
      <c r="D111" s="862" t="s">
        <v>1346</v>
      </c>
      <c r="E111" s="862" t="s">
        <v>1341</v>
      </c>
      <c r="F111" s="875" t="s">
        <v>1351</v>
      </c>
    </row>
    <row r="112" spans="1:6" x14ac:dyDescent="0.3">
      <c r="A112" s="21" t="str">
        <f t="shared" ca="1" si="1"/>
        <v>Stopped</v>
      </c>
      <c r="B112" s="32"/>
      <c r="C112" s="862" t="s">
        <v>1338</v>
      </c>
      <c r="D112" s="862" t="s">
        <v>1347</v>
      </c>
      <c r="E112" s="862" t="s">
        <v>1342</v>
      </c>
      <c r="F112" s="875" t="s">
        <v>1352</v>
      </c>
    </row>
    <row r="113" spans="1:6" x14ac:dyDescent="0.3">
      <c r="A113" s="21" t="str">
        <f t="shared" ca="1" si="1"/>
        <v>Testing</v>
      </c>
      <c r="B113" s="32"/>
      <c r="C113" s="862" t="s">
        <v>1339</v>
      </c>
      <c r="D113" s="862" t="s">
        <v>1348</v>
      </c>
      <c r="E113" s="862" t="s">
        <v>1343</v>
      </c>
      <c r="F113" s="875" t="s">
        <v>1353</v>
      </c>
    </row>
    <row r="114" spans="1:6" x14ac:dyDescent="0.3">
      <c r="A114" s="21" t="str">
        <f t="shared" ca="1" si="1"/>
        <v>Completed</v>
      </c>
      <c r="B114" s="32"/>
      <c r="C114" s="862" t="s">
        <v>1337</v>
      </c>
      <c r="D114" s="862" t="s">
        <v>1349</v>
      </c>
      <c r="E114" s="862" t="s">
        <v>1344</v>
      </c>
      <c r="F114" s="875" t="s">
        <v>1354</v>
      </c>
    </row>
    <row r="115" spans="1:6" x14ac:dyDescent="0.3">
      <c r="A115" s="21" t="str">
        <f t="shared" ca="1" si="1"/>
        <v>Accepted</v>
      </c>
      <c r="B115" s="32"/>
      <c r="C115" s="6" t="s">
        <v>1355</v>
      </c>
      <c r="D115" s="862" t="s">
        <v>1356</v>
      </c>
      <c r="E115" s="862" t="s">
        <v>1357</v>
      </c>
      <c r="F115" s="875" t="s">
        <v>1358</v>
      </c>
    </row>
    <row r="116" spans="1:6" x14ac:dyDescent="0.3">
      <c r="A116" s="21" t="str">
        <f t="shared" ca="1" si="1"/>
        <v>Sprint Backlog</v>
      </c>
      <c r="B116" s="32"/>
      <c r="C116" s="862" t="s">
        <v>1365</v>
      </c>
      <c r="D116" s="862" t="s">
        <v>1364</v>
      </c>
      <c r="E116" s="862" t="s">
        <v>1363</v>
      </c>
      <c r="F116" s="875" t="s">
        <v>1364</v>
      </c>
    </row>
    <row r="117" spans="1:6" x14ac:dyDescent="0.3">
      <c r="A117" s="21" t="str">
        <f t="shared" ca="1" si="1"/>
        <v>[h]</v>
      </c>
      <c r="B117" s="32"/>
      <c r="C117" s="862" t="s">
        <v>1401</v>
      </c>
      <c r="D117" s="862" t="s">
        <v>1401</v>
      </c>
      <c r="E117" s="862" t="s">
        <v>1401</v>
      </c>
      <c r="F117" s="862" t="s">
        <v>1401</v>
      </c>
    </row>
    <row r="118" spans="1:6" x14ac:dyDescent="0.3">
      <c r="A118" s="21" t="str">
        <f t="shared" ca="1" si="1"/>
        <v>Points</v>
      </c>
      <c r="B118" s="32"/>
      <c r="C118" s="862" t="s">
        <v>1410</v>
      </c>
      <c r="D118" s="862" t="s">
        <v>1411</v>
      </c>
      <c r="E118" s="862" t="s">
        <v>1411</v>
      </c>
      <c r="F118" s="875" t="s">
        <v>1412</v>
      </c>
    </row>
    <row r="119" spans="1:6" x14ac:dyDescent="0.3">
      <c r="A119" s="21">
        <f t="shared" ca="1" si="1"/>
        <v>0</v>
      </c>
      <c r="B119" s="32"/>
      <c r="C119" s="862"/>
      <c r="D119" s="862"/>
      <c r="E119" s="862"/>
      <c r="F119" s="875"/>
    </row>
    <row r="120" spans="1:6" s="30" customFormat="1" x14ac:dyDescent="0.3">
      <c r="A120" s="26" t="str">
        <f t="shared" ca="1" si="1"/>
        <v>Product Backlog</v>
      </c>
      <c r="B120" s="27"/>
      <c r="C120" s="26" t="s">
        <v>1292</v>
      </c>
      <c r="D120" s="26" t="s">
        <v>1288</v>
      </c>
      <c r="E120" s="26" t="s">
        <v>1287</v>
      </c>
      <c r="F120" s="26" t="s">
        <v>1289</v>
      </c>
    </row>
    <row r="121" spans="1:6" x14ac:dyDescent="0.3">
      <c r="A121" s="17" t="str">
        <f t="shared" ca="1" si="1"/>
        <v>Sort</v>
      </c>
      <c r="B121" s="18"/>
      <c r="C121" s="19" t="s">
        <v>140</v>
      </c>
      <c r="D121" s="19" t="s">
        <v>141</v>
      </c>
      <c r="E121" s="19" t="s">
        <v>540</v>
      </c>
      <c r="F121" s="880" t="s">
        <v>451</v>
      </c>
    </row>
    <row r="122" spans="1:6" x14ac:dyDescent="0.3">
      <c r="A122" s="21" t="str">
        <f t="shared" ca="1" si="1"/>
        <v>Today</v>
      </c>
      <c r="B122" s="18"/>
      <c r="C122" s="22" t="s">
        <v>211</v>
      </c>
      <c r="D122" s="22" t="s">
        <v>210</v>
      </c>
      <c r="E122" s="22" t="s">
        <v>541</v>
      </c>
      <c r="F122" s="875" t="s">
        <v>452</v>
      </c>
    </row>
    <row r="123" spans="1:6" x14ac:dyDescent="0.3">
      <c r="A123" s="21" t="str">
        <f t="shared" ca="1" si="1"/>
        <v>Story</v>
      </c>
      <c r="B123" s="18"/>
      <c r="C123" s="22" t="s">
        <v>1368</v>
      </c>
      <c r="D123" s="22" t="s">
        <v>1368</v>
      </c>
      <c r="E123" s="22" t="s">
        <v>1368</v>
      </c>
      <c r="F123" s="875" t="s">
        <v>1368</v>
      </c>
    </row>
    <row r="124" spans="1:6" x14ac:dyDescent="0.3">
      <c r="A124" s="21" t="str">
        <f t="shared" ca="1" si="1"/>
        <v>Yes</v>
      </c>
      <c r="B124" s="18"/>
      <c r="C124" s="22" t="s">
        <v>62</v>
      </c>
      <c r="D124" s="22" t="s">
        <v>98</v>
      </c>
      <c r="E124" s="22" t="s">
        <v>538</v>
      </c>
      <c r="F124" s="875" t="s">
        <v>450</v>
      </c>
    </row>
    <row r="125" spans="1:6" x14ac:dyDescent="0.3">
      <c r="A125" s="21" t="str">
        <f t="shared" ca="1" si="1"/>
        <v>Responsible</v>
      </c>
      <c r="B125" s="18"/>
      <c r="C125" s="22" t="s">
        <v>180</v>
      </c>
      <c r="D125" s="22" t="s">
        <v>179</v>
      </c>
      <c r="E125" s="22" t="s">
        <v>542</v>
      </c>
      <c r="F125" s="875" t="s">
        <v>179</v>
      </c>
    </row>
    <row r="126" spans="1:6" x14ac:dyDescent="0.3">
      <c r="A126" s="21" t="str">
        <f t="shared" ca="1" si="1"/>
        <v>Filter:</v>
      </c>
      <c r="B126" s="18"/>
      <c r="C126" s="22" t="s">
        <v>200</v>
      </c>
      <c r="D126" s="22" t="s">
        <v>601</v>
      </c>
      <c r="E126" s="22" t="s">
        <v>200</v>
      </c>
      <c r="F126" s="875" t="s">
        <v>453</v>
      </c>
    </row>
    <row r="127" spans="1:6" x14ac:dyDescent="0.3">
      <c r="A127" s="21" t="str">
        <f t="shared" ca="1" si="1"/>
        <v>Total hours</v>
      </c>
      <c r="B127" s="18"/>
      <c r="C127" s="22" t="s">
        <v>700</v>
      </c>
      <c r="D127" s="22" t="s">
        <v>701</v>
      </c>
      <c r="E127" s="22" t="s">
        <v>702</v>
      </c>
      <c r="F127" s="875" t="s">
        <v>703</v>
      </c>
    </row>
    <row r="128" spans="1:6" x14ac:dyDescent="0.3">
      <c r="A128" s="21" t="str">
        <f t="shared" ca="1" si="1"/>
        <v>Total realized [h]</v>
      </c>
      <c r="B128" s="18"/>
      <c r="C128" s="22" t="s">
        <v>862</v>
      </c>
      <c r="D128" s="22" t="s">
        <v>863</v>
      </c>
      <c r="E128" s="22" t="s">
        <v>864</v>
      </c>
      <c r="F128" s="875" t="s">
        <v>865</v>
      </c>
    </row>
    <row r="129" spans="1:6" x14ac:dyDescent="0.3">
      <c r="A129" s="21" t="str">
        <f t="shared" ca="1" si="1"/>
        <v>Budget [h]</v>
      </c>
      <c r="B129" s="18"/>
      <c r="C129" s="22" t="s">
        <v>815</v>
      </c>
      <c r="D129" s="22" t="s">
        <v>815</v>
      </c>
      <c r="E129" s="22" t="s">
        <v>815</v>
      </c>
      <c r="F129" s="875" t="s">
        <v>815</v>
      </c>
    </row>
    <row r="130" spans="1:6" x14ac:dyDescent="0.3">
      <c r="A130" s="21" t="str">
        <f t="shared" ca="1" si="1"/>
        <v>Budget [CHF]</v>
      </c>
      <c r="B130" s="32"/>
      <c r="C130" s="5" t="str">
        <f>"Budget"&amp;" ["&amp;Logo!$D$12&amp;"]"</f>
        <v>Budget [CHF]</v>
      </c>
      <c r="D130" s="5" t="str">
        <f>"Budget"&amp;" ["&amp;Logo!$D$12&amp;"]"</f>
        <v>Budget [CHF]</v>
      </c>
      <c r="E130" s="5" t="str">
        <f>"Budget"&amp;" ["&amp;Logo!$D$12&amp;"]"</f>
        <v>Budget [CHF]</v>
      </c>
      <c r="F130" s="875" t="str">
        <f>"Budget"&amp;" ["&amp;Logo!$D$12&amp;"]"</f>
        <v>Budget [CHF]</v>
      </c>
    </row>
    <row r="131" spans="1:6" x14ac:dyDescent="0.3">
      <c r="A131" s="21" t="str">
        <f t="shared" ca="1" si="1"/>
        <v>intern:</v>
      </c>
      <c r="B131" s="32"/>
      <c r="C131" s="33" t="s">
        <v>856</v>
      </c>
      <c r="D131" s="33" t="s">
        <v>858</v>
      </c>
      <c r="E131" s="33" t="s">
        <v>856</v>
      </c>
      <c r="F131" s="875" t="s">
        <v>860</v>
      </c>
    </row>
    <row r="132" spans="1:6" x14ac:dyDescent="0.3">
      <c r="A132" s="21" t="str">
        <f t="shared" ca="1" si="1"/>
        <v>extern:</v>
      </c>
      <c r="B132" s="32"/>
      <c r="C132" s="5" t="s">
        <v>857</v>
      </c>
      <c r="D132" s="5" t="s">
        <v>859</v>
      </c>
      <c r="E132" s="5" t="s">
        <v>857</v>
      </c>
      <c r="F132" s="875" t="s">
        <v>861</v>
      </c>
    </row>
    <row r="133" spans="1:6" x14ac:dyDescent="0.3">
      <c r="A133" s="21" t="str">
        <f t="shared" ca="1" si="1"/>
        <v>Balance budget [h]</v>
      </c>
      <c r="B133" s="18"/>
      <c r="C133" s="22" t="s">
        <v>848</v>
      </c>
      <c r="D133" s="22" t="s">
        <v>853</v>
      </c>
      <c r="E133" s="22" t="s">
        <v>854</v>
      </c>
      <c r="F133" s="875" t="s">
        <v>855</v>
      </c>
    </row>
    <row r="134" spans="1:6" x14ac:dyDescent="0.3">
      <c r="A134" s="21" t="str">
        <f t="shared" ca="1" si="1"/>
        <v>Balance budget [CHF]</v>
      </c>
      <c r="B134" s="32"/>
      <c r="C134" s="22" t="str">
        <f>"Saldo Budget"&amp;" ["&amp;Logo!$D$12&amp;"]"</f>
        <v>Saldo Budget [CHF]</v>
      </c>
      <c r="D134" s="22" t="str">
        <f>"Solde budget"&amp;" ["&amp;Logo!$D$12&amp;"]"</f>
        <v>Solde budget [CHF]</v>
      </c>
      <c r="E134" s="22" t="str">
        <f>"Balance budget"&amp;" ["&amp;Logo!$D$12&amp;"]"</f>
        <v>Balance budget [CHF]</v>
      </c>
      <c r="F134" s="875" t="str">
        <f>"Saldo budget"&amp;" ["&amp;Logo!$D$12&amp;"]"</f>
        <v>Saldo budget [CHF]</v>
      </c>
    </row>
    <row r="135" spans="1:6" x14ac:dyDescent="0.3">
      <c r="A135" s="24" t="str">
        <f t="shared" ca="1" si="1"/>
        <v>Balance [%]</v>
      </c>
      <c r="B135" s="18"/>
      <c r="C135" s="25" t="s">
        <v>828</v>
      </c>
      <c r="D135" s="25" t="s">
        <v>829</v>
      </c>
      <c r="E135" s="25" t="s">
        <v>830</v>
      </c>
      <c r="F135" s="881" t="s">
        <v>828</v>
      </c>
    </row>
    <row r="136" spans="1:6" x14ac:dyDescent="0.3">
      <c r="A136" s="24" t="str">
        <f t="shared" ca="1" si="1"/>
        <v>Balance</v>
      </c>
      <c r="B136" s="18"/>
      <c r="C136" s="22" t="s">
        <v>196</v>
      </c>
      <c r="D136" s="22" t="s">
        <v>197</v>
      </c>
      <c r="E136" s="22" t="s">
        <v>572</v>
      </c>
      <c r="F136" s="875" t="s">
        <v>196</v>
      </c>
    </row>
    <row r="137" spans="1:6" x14ac:dyDescent="0.3">
      <c r="A137" s="24" t="str">
        <f t="shared" ca="1" si="1"/>
        <v>Realized</v>
      </c>
      <c r="B137" s="18"/>
      <c r="C137" s="22" t="s">
        <v>811</v>
      </c>
      <c r="D137" s="22" t="s">
        <v>812</v>
      </c>
      <c r="E137" s="22" t="s">
        <v>813</v>
      </c>
      <c r="F137" s="875" t="s">
        <v>814</v>
      </c>
    </row>
    <row r="138" spans="1:6" x14ac:dyDescent="0.3">
      <c r="A138" s="24" t="str">
        <f t="shared" ca="1" si="1"/>
        <v>Balance realized days</v>
      </c>
      <c r="B138" s="34"/>
      <c r="C138" s="33" t="s">
        <v>806</v>
      </c>
      <c r="D138" s="22" t="s">
        <v>807</v>
      </c>
      <c r="E138" s="22" t="s">
        <v>808</v>
      </c>
      <c r="F138" s="875" t="s">
        <v>809</v>
      </c>
    </row>
    <row r="139" spans="1:6" x14ac:dyDescent="0.3">
      <c r="A139" s="24" t="str">
        <f t="shared" ca="1" si="1"/>
        <v xml:space="preserve"> days</v>
      </c>
      <c r="B139" s="18"/>
      <c r="C139" s="22" t="s">
        <v>782</v>
      </c>
      <c r="D139" s="22" t="s">
        <v>783</v>
      </c>
      <c r="E139" s="22" t="s">
        <v>784</v>
      </c>
      <c r="F139" s="875" t="s">
        <v>785</v>
      </c>
    </row>
    <row r="140" spans="1:6" x14ac:dyDescent="0.3">
      <c r="A140" s="24" t="str">
        <f t="shared" ca="1" si="1"/>
        <v xml:space="preserve"> hours</v>
      </c>
      <c r="B140" s="18"/>
      <c r="C140" s="22" t="s">
        <v>786</v>
      </c>
      <c r="D140" s="22" t="s">
        <v>789</v>
      </c>
      <c r="E140" s="22" t="s">
        <v>787</v>
      </c>
      <c r="F140" s="875" t="s">
        <v>788</v>
      </c>
    </row>
    <row r="141" spans="1:6" x14ac:dyDescent="0.3">
      <c r="A141" s="24" t="str">
        <f t="shared" ca="1" si="1"/>
        <v>Overview of the hours</v>
      </c>
      <c r="B141" s="18"/>
      <c r="C141" s="22" t="s">
        <v>1123</v>
      </c>
      <c r="D141" s="22" t="s">
        <v>1122</v>
      </c>
      <c r="E141" s="22" t="s">
        <v>1124</v>
      </c>
      <c r="F141" s="875" t="s">
        <v>1125</v>
      </c>
    </row>
    <row r="142" spans="1:6" ht="27.6" x14ac:dyDescent="0.3">
      <c r="A142" s="24" t="str">
        <f t="shared" ca="1" si="1"/>
        <v>Period
(days)</v>
      </c>
      <c r="B142" s="852"/>
      <c r="C142" s="58" t="s">
        <v>1226</v>
      </c>
      <c r="D142" s="58" t="s">
        <v>1223</v>
      </c>
      <c r="E142" s="58" t="s">
        <v>1224</v>
      </c>
      <c r="F142" s="58" t="s">
        <v>1225</v>
      </c>
    </row>
    <row r="143" spans="1:6" x14ac:dyDescent="0.3">
      <c r="A143" s="24" t="str">
        <f t="shared" ca="1" si="1"/>
        <v>Balance</v>
      </c>
      <c r="B143" s="852"/>
      <c r="C143" s="22" t="s">
        <v>196</v>
      </c>
      <c r="D143" s="22" t="s">
        <v>197</v>
      </c>
      <c r="E143" s="22" t="s">
        <v>572</v>
      </c>
      <c r="F143" s="875" t="s">
        <v>196</v>
      </c>
    </row>
    <row r="144" spans="1:6" x14ac:dyDescent="0.3">
      <c r="A144" s="24" t="str">
        <f t="shared" ca="1" si="1"/>
        <v>Total</v>
      </c>
      <c r="B144" s="852"/>
      <c r="C144" s="22" t="s">
        <v>1110</v>
      </c>
      <c r="D144" s="22" t="s">
        <v>1110</v>
      </c>
      <c r="E144" s="22" t="s">
        <v>1110</v>
      </c>
      <c r="F144" s="875" t="s">
        <v>1247</v>
      </c>
    </row>
    <row r="145" spans="1:6" x14ac:dyDescent="0.3">
      <c r="A145" s="24" t="str">
        <f t="shared" ca="1" si="1"/>
        <v>No.</v>
      </c>
      <c r="B145" s="852"/>
      <c r="C145" s="22" t="s">
        <v>245</v>
      </c>
      <c r="D145" s="22" t="s">
        <v>246</v>
      </c>
      <c r="E145" s="22" t="s">
        <v>246</v>
      </c>
      <c r="F145" s="22" t="s">
        <v>246</v>
      </c>
    </row>
    <row r="146" spans="1:6" x14ac:dyDescent="0.3">
      <c r="A146" s="24" t="str">
        <f t="shared" ca="1" si="1"/>
        <v>Date</v>
      </c>
      <c r="B146" s="852"/>
      <c r="C146" s="22" t="s">
        <v>23</v>
      </c>
      <c r="D146" s="22" t="s">
        <v>81</v>
      </c>
      <c r="E146" s="22" t="s">
        <v>81</v>
      </c>
      <c r="F146" s="875" t="s">
        <v>445</v>
      </c>
    </row>
    <row r="147" spans="1:6" x14ac:dyDescent="0.3">
      <c r="A147" s="24" t="str">
        <f t="shared" ca="1" si="1"/>
        <v>EPIC</v>
      </c>
      <c r="B147" s="852"/>
      <c r="C147" s="22" t="s">
        <v>1402</v>
      </c>
      <c r="D147" s="22" t="s">
        <v>1402</v>
      </c>
      <c r="E147" s="22" t="s">
        <v>1402</v>
      </c>
      <c r="F147" s="22" t="s">
        <v>1402</v>
      </c>
    </row>
    <row r="148" spans="1:6" x14ac:dyDescent="0.3">
      <c r="A148" s="24" t="str">
        <f t="shared" ca="1" si="1"/>
        <v>Priority</v>
      </c>
      <c r="B148" s="852"/>
      <c r="C148" s="22" t="s">
        <v>1370</v>
      </c>
      <c r="D148" s="22" t="s">
        <v>755</v>
      </c>
      <c r="E148" s="22" t="s">
        <v>756</v>
      </c>
      <c r="F148" s="875" t="s">
        <v>1371</v>
      </c>
    </row>
    <row r="149" spans="1:6" x14ac:dyDescent="0.3">
      <c r="A149" s="24" t="str">
        <f t="shared" ca="1" si="1"/>
        <v>Progress</v>
      </c>
      <c r="B149" s="852"/>
      <c r="C149" s="22" t="s">
        <v>1372</v>
      </c>
      <c r="D149" s="22" t="s">
        <v>1374</v>
      </c>
      <c r="E149" s="22" t="s">
        <v>1373</v>
      </c>
      <c r="F149" s="875" t="s">
        <v>1375</v>
      </c>
    </row>
    <row r="150" spans="1:6" x14ac:dyDescent="0.3">
      <c r="A150" s="24">
        <f t="shared" ca="1" si="1"/>
        <v>0</v>
      </c>
      <c r="B150" s="852"/>
      <c r="C150" s="22"/>
      <c r="D150" s="22"/>
      <c r="E150" s="22"/>
      <c r="F150" s="875"/>
    </row>
    <row r="151" spans="1:6" s="30" customFormat="1" x14ac:dyDescent="0.3">
      <c r="A151" s="26" t="str">
        <f t="shared" ca="1" si="1"/>
        <v>Sprint Backlog</v>
      </c>
      <c r="B151" s="27"/>
      <c r="C151" s="26" t="s">
        <v>1365</v>
      </c>
      <c r="D151" s="26" t="s">
        <v>1364</v>
      </c>
      <c r="E151" s="26" t="s">
        <v>1363</v>
      </c>
      <c r="F151" s="26" t="s">
        <v>1364</v>
      </c>
    </row>
    <row r="152" spans="1:6" x14ac:dyDescent="0.3">
      <c r="A152" s="24" t="str">
        <f t="shared" ca="1" si="1"/>
        <v>Sprint activities</v>
      </c>
      <c r="B152" s="852"/>
      <c r="C152" s="862" t="s">
        <v>1377</v>
      </c>
      <c r="D152" s="862" t="s">
        <v>1379</v>
      </c>
      <c r="E152" s="862" t="s">
        <v>1378</v>
      </c>
      <c r="F152" s="862" t="s">
        <v>1376</v>
      </c>
    </row>
    <row r="153" spans="1:6" x14ac:dyDescent="0.3">
      <c r="A153" s="24" t="str">
        <f t="shared" ca="1" si="1"/>
        <v>Release</v>
      </c>
      <c r="B153" s="852"/>
      <c r="C153" s="22" t="s">
        <v>1380</v>
      </c>
      <c r="D153" s="22" t="s">
        <v>1380</v>
      </c>
      <c r="E153" s="22" t="s">
        <v>1380</v>
      </c>
      <c r="F153" s="875" t="s">
        <v>1380</v>
      </c>
    </row>
    <row r="154" spans="1:6" x14ac:dyDescent="0.3">
      <c r="A154" s="24" t="str">
        <f t="shared" ca="1" si="1"/>
        <v>Budget [h]</v>
      </c>
      <c r="B154" s="852"/>
      <c r="C154" s="22" t="s">
        <v>815</v>
      </c>
      <c r="D154" s="22" t="s">
        <v>815</v>
      </c>
      <c r="E154" s="22" t="s">
        <v>815</v>
      </c>
      <c r="F154" s="875" t="s">
        <v>815</v>
      </c>
    </row>
    <row r="155" spans="1:6" x14ac:dyDescent="0.3">
      <c r="A155" s="24" t="str">
        <f t="shared" ca="1" si="1"/>
        <v>Overall sprint</v>
      </c>
      <c r="B155" s="852"/>
      <c r="C155" s="22" t="s">
        <v>1383</v>
      </c>
      <c r="D155" s="22" t="s">
        <v>1384</v>
      </c>
      <c r="E155" s="22" t="s">
        <v>1382</v>
      </c>
      <c r="F155" s="875" t="s">
        <v>1385</v>
      </c>
    </row>
    <row r="156" spans="1:6" x14ac:dyDescent="0.3">
      <c r="A156" s="24" t="str">
        <f t="shared" ca="1" si="1"/>
        <v>Sprint goals</v>
      </c>
      <c r="B156" s="852"/>
      <c r="C156" s="22" t="s">
        <v>1387</v>
      </c>
      <c r="D156" s="22" t="s">
        <v>1388</v>
      </c>
      <c r="E156" s="22" t="s">
        <v>1386</v>
      </c>
      <c r="F156" s="875" t="s">
        <v>1389</v>
      </c>
    </row>
    <row r="157" spans="1:6" x14ac:dyDescent="0.3">
      <c r="A157" s="24" t="str">
        <f t="shared" ca="1" si="1"/>
        <v>To Do</v>
      </c>
      <c r="B157" s="852"/>
      <c r="C157" s="22" t="s">
        <v>1391</v>
      </c>
      <c r="D157" s="22" t="s">
        <v>1391</v>
      </c>
      <c r="E157" s="22" t="s">
        <v>1391</v>
      </c>
      <c r="F157" s="22" t="s">
        <v>1391</v>
      </c>
    </row>
    <row r="158" spans="1:6" x14ac:dyDescent="0.3">
      <c r="A158" s="24" t="str">
        <f t="shared" ca="1" si="1"/>
        <v>In progress</v>
      </c>
      <c r="B158" s="852"/>
      <c r="C158" s="22" t="s">
        <v>1336</v>
      </c>
      <c r="D158" s="22" t="s">
        <v>1346</v>
      </c>
      <c r="E158" s="22" t="s">
        <v>1341</v>
      </c>
      <c r="F158" s="875" t="s">
        <v>1351</v>
      </c>
    </row>
    <row r="159" spans="1:6" x14ac:dyDescent="0.3">
      <c r="A159" s="24" t="str">
        <f t="shared" ca="1" si="1"/>
        <v>Accomplished</v>
      </c>
      <c r="B159" s="852"/>
      <c r="C159" s="22" t="s">
        <v>1390</v>
      </c>
      <c r="D159" s="22" t="s">
        <v>1349</v>
      </c>
      <c r="E159" s="22" t="s">
        <v>1393</v>
      </c>
      <c r="F159" s="875" t="s">
        <v>1392</v>
      </c>
    </row>
    <row r="160" spans="1:6" x14ac:dyDescent="0.3">
      <c r="A160" s="24" t="str">
        <f t="shared" ca="1" si="1"/>
        <v>Target</v>
      </c>
      <c r="B160" s="852"/>
      <c r="C160" s="22" t="s">
        <v>1198</v>
      </c>
      <c r="D160" s="22" t="s">
        <v>1199</v>
      </c>
      <c r="E160" s="22" t="s">
        <v>844</v>
      </c>
      <c r="F160" s="875" t="s">
        <v>1394</v>
      </c>
    </row>
    <row r="161" spans="1:6" x14ac:dyDescent="0.3">
      <c r="A161" s="24" t="str">
        <f t="shared" ca="1" si="1"/>
        <v>Budget</v>
      </c>
      <c r="B161" s="852"/>
      <c r="C161" s="22" t="s">
        <v>30</v>
      </c>
      <c r="D161" s="22" t="s">
        <v>30</v>
      </c>
      <c r="E161" s="22" t="s">
        <v>30</v>
      </c>
      <c r="F161" s="22" t="s">
        <v>30</v>
      </c>
    </row>
    <row r="162" spans="1:6" x14ac:dyDescent="0.3">
      <c r="A162" s="24" t="str">
        <f t="shared" ca="1" si="1"/>
        <v>Is the (partial) product successful?</v>
      </c>
      <c r="B162" s="852"/>
      <c r="C162" s="19" t="s">
        <v>1398</v>
      </c>
      <c r="D162" s="19" t="s">
        <v>1399</v>
      </c>
      <c r="E162" s="19" t="s">
        <v>1397</v>
      </c>
      <c r="F162" s="880" t="s">
        <v>1400</v>
      </c>
    </row>
    <row r="163" spans="1:6" x14ac:dyDescent="0.3">
      <c r="A163" s="24" t="str">
        <f t="shared" ca="1" si="1"/>
        <v>Remarks/Lessons Learned</v>
      </c>
      <c r="B163" s="852"/>
      <c r="C163" s="22" t="s">
        <v>1432</v>
      </c>
      <c r="D163" s="22" t="s">
        <v>1433</v>
      </c>
      <c r="E163" s="22" t="s">
        <v>1434</v>
      </c>
      <c r="F163" s="875" t="s">
        <v>1435</v>
      </c>
    </row>
    <row r="164" spans="1:6" x14ac:dyDescent="0.3">
      <c r="A164" s="24">
        <f t="shared" ca="1" si="1"/>
        <v>0</v>
      </c>
      <c r="B164" s="852"/>
      <c r="C164" s="22"/>
      <c r="D164" s="22"/>
      <c r="E164" s="22"/>
      <c r="F164" s="875"/>
    </row>
    <row r="165" spans="1:6" x14ac:dyDescent="0.3">
      <c r="A165" s="24">
        <f t="shared" ca="1" si="1"/>
        <v>0</v>
      </c>
      <c r="B165" s="852"/>
      <c r="C165" s="22"/>
      <c r="D165" s="22"/>
      <c r="E165" s="22"/>
      <c r="F165" s="875"/>
    </row>
    <row r="166" spans="1:6" x14ac:dyDescent="0.3">
      <c r="A166" s="24">
        <f t="shared" ca="1" si="1"/>
        <v>0</v>
      </c>
      <c r="B166" s="852"/>
      <c r="C166" s="22"/>
      <c r="D166" s="22"/>
      <c r="E166" s="22"/>
      <c r="F166" s="875"/>
    </row>
    <row r="167" spans="1:6" x14ac:dyDescent="0.3">
      <c r="A167" s="24">
        <f t="shared" ca="1" si="1"/>
        <v>0</v>
      </c>
      <c r="B167" s="852"/>
      <c r="C167" s="22"/>
      <c r="D167" s="22"/>
      <c r="E167" s="22"/>
      <c r="F167" s="875"/>
    </row>
    <row r="168" spans="1:6" s="30" customFormat="1" x14ac:dyDescent="0.3">
      <c r="A168" s="26" t="str">
        <f t="shared" ca="1" si="1"/>
        <v>R O U G H   P L A N N I N G</v>
      </c>
      <c r="B168" s="27"/>
      <c r="C168" s="14" t="s">
        <v>790</v>
      </c>
      <c r="D168" s="14" t="s">
        <v>791</v>
      </c>
      <c r="E168" s="14" t="s">
        <v>792</v>
      </c>
      <c r="F168" s="879" t="s">
        <v>793</v>
      </c>
    </row>
    <row r="169" spans="1:6" x14ac:dyDescent="0.3">
      <c r="A169" s="24" t="str">
        <f t="shared" ref="A169:A232" ca="1" si="2">OFFSET($C169,0,$B$4-1)</f>
        <v>done</v>
      </c>
      <c r="B169" s="18"/>
      <c r="C169" s="22" t="s">
        <v>794</v>
      </c>
      <c r="D169" s="22" t="s">
        <v>804</v>
      </c>
      <c r="E169" s="22" t="s">
        <v>796</v>
      </c>
      <c r="F169" s="875" t="s">
        <v>795</v>
      </c>
    </row>
    <row r="170" spans="1:6" x14ac:dyDescent="0.3">
      <c r="A170" s="24" t="str">
        <f t="shared" ca="1" si="2"/>
        <v>in progress</v>
      </c>
      <c r="B170" s="18"/>
      <c r="C170" s="22" t="s">
        <v>799</v>
      </c>
      <c r="D170" s="22" t="s">
        <v>797</v>
      </c>
      <c r="E170" s="22" t="s">
        <v>798</v>
      </c>
      <c r="F170" s="875" t="s">
        <v>800</v>
      </c>
    </row>
    <row r="171" spans="1:6" x14ac:dyDescent="0.3">
      <c r="A171" s="24" t="str">
        <f t="shared" ca="1" si="2"/>
        <v>milestones</v>
      </c>
      <c r="B171" s="18"/>
      <c r="C171" s="22" t="s">
        <v>201</v>
      </c>
      <c r="D171" s="22" t="s">
        <v>803</v>
      </c>
      <c r="E171" s="22" t="s">
        <v>802</v>
      </c>
      <c r="F171" s="875" t="s">
        <v>801</v>
      </c>
    </row>
    <row r="172" spans="1:6" s="30" customFormat="1" x14ac:dyDescent="0.3">
      <c r="A172" s="26" t="str">
        <f t="shared" ca="1" si="2"/>
        <v xml:space="preserve"> P R O J E C T   S T A T U S</v>
      </c>
      <c r="B172" s="27"/>
      <c r="C172" s="14" t="s">
        <v>204</v>
      </c>
      <c r="D172" s="14" t="s">
        <v>205</v>
      </c>
      <c r="E172" s="14" t="s">
        <v>543</v>
      </c>
      <c r="F172" s="879" t="s">
        <v>362</v>
      </c>
    </row>
    <row r="173" spans="1:6" ht="27.6" x14ac:dyDescent="0.3">
      <c r="A173" s="17" t="str">
        <f t="shared" ca="1" si="2"/>
        <v>General Evaluation (1 = proceeding according to plan, 2 = be watchful = 3 critical)</v>
      </c>
      <c r="B173" s="18"/>
      <c r="C173" s="19" t="s">
        <v>604</v>
      </c>
      <c r="D173" s="19" t="s">
        <v>603</v>
      </c>
      <c r="E173" s="19" t="s">
        <v>544</v>
      </c>
      <c r="F173" s="880" t="s">
        <v>455</v>
      </c>
    </row>
    <row r="174" spans="1:6" x14ac:dyDescent="0.3">
      <c r="A174" s="21" t="str">
        <f t="shared" ca="1" si="2"/>
        <v>Overall project</v>
      </c>
      <c r="B174" s="18"/>
      <c r="C174" s="22" t="s">
        <v>27</v>
      </c>
      <c r="D174" s="22" t="s">
        <v>174</v>
      </c>
      <c r="E174" s="22" t="s">
        <v>605</v>
      </c>
      <c r="F174" s="875" t="s">
        <v>456</v>
      </c>
    </row>
    <row r="175" spans="1:6" x14ac:dyDescent="0.3">
      <c r="A175" s="21" t="str">
        <f t="shared" ca="1" si="2"/>
        <v>Budget/Resources</v>
      </c>
      <c r="B175" s="18"/>
      <c r="C175" s="22" t="s">
        <v>28</v>
      </c>
      <c r="D175" s="22" t="s">
        <v>99</v>
      </c>
      <c r="E175" s="22" t="s">
        <v>545</v>
      </c>
      <c r="F175" s="875" t="s">
        <v>457</v>
      </c>
    </row>
    <row r="176" spans="1:6" x14ac:dyDescent="0.3">
      <c r="A176" s="21" t="str">
        <f t="shared" ca="1" si="2"/>
        <v>Quality/Goals</v>
      </c>
      <c r="B176" s="18"/>
      <c r="C176" s="22" t="s">
        <v>188</v>
      </c>
      <c r="D176" s="22" t="s">
        <v>189</v>
      </c>
      <c r="E176" s="22" t="s">
        <v>546</v>
      </c>
      <c r="F176" s="875" t="s">
        <v>458</v>
      </c>
    </row>
    <row r="177" spans="1:6" x14ac:dyDescent="0.3">
      <c r="A177" s="21" t="str">
        <f t="shared" ca="1" si="2"/>
        <v>Deadlines/Planning</v>
      </c>
      <c r="B177" s="18"/>
      <c r="C177" s="22" t="s">
        <v>29</v>
      </c>
      <c r="D177" s="22" t="s">
        <v>100</v>
      </c>
      <c r="E177" s="22" t="s">
        <v>547</v>
      </c>
      <c r="F177" s="875" t="s">
        <v>459</v>
      </c>
    </row>
    <row r="178" spans="1:6" x14ac:dyDescent="0.3">
      <c r="A178" s="21" t="str">
        <f t="shared" ca="1" si="2"/>
        <v>Proceeding according to plan</v>
      </c>
      <c r="B178" s="18"/>
      <c r="C178" s="22" t="s">
        <v>142</v>
      </c>
      <c r="D178" s="22" t="s">
        <v>143</v>
      </c>
      <c r="E178" s="22" t="s">
        <v>548</v>
      </c>
      <c r="F178" s="875" t="s">
        <v>460</v>
      </c>
    </row>
    <row r="179" spans="1:6" x14ac:dyDescent="0.3">
      <c r="A179" s="21" t="str">
        <f t="shared" ca="1" si="2"/>
        <v>Critical</v>
      </c>
      <c r="B179" s="18"/>
      <c r="C179" s="22" t="s">
        <v>144</v>
      </c>
      <c r="D179" s="22" t="s">
        <v>145</v>
      </c>
      <c r="E179" s="22" t="s">
        <v>549</v>
      </c>
      <c r="F179" s="875" t="s">
        <v>461</v>
      </c>
    </row>
    <row r="180" spans="1:6" x14ac:dyDescent="0.3">
      <c r="A180" s="21" t="str">
        <f t="shared" ca="1" si="2"/>
        <v>Be watchful</v>
      </c>
      <c r="B180" s="18"/>
      <c r="C180" s="22" t="s">
        <v>146</v>
      </c>
      <c r="D180" s="22" t="s">
        <v>147</v>
      </c>
      <c r="E180" s="22" t="s">
        <v>550</v>
      </c>
      <c r="F180" s="875" t="s">
        <v>462</v>
      </c>
    </row>
    <row r="181" spans="1:6" x14ac:dyDescent="0.3">
      <c r="A181" s="21" t="str">
        <f t="shared" ca="1" si="2"/>
        <v>According to plan</v>
      </c>
      <c r="B181" s="18"/>
      <c r="C181" s="22" t="s">
        <v>142</v>
      </c>
      <c r="D181" s="22" t="s">
        <v>143</v>
      </c>
      <c r="E181" s="22" t="s">
        <v>614</v>
      </c>
      <c r="F181" s="875" t="s">
        <v>460</v>
      </c>
    </row>
    <row r="182" spans="1:6" x14ac:dyDescent="0.3">
      <c r="A182" s="21" t="str">
        <f t="shared" ca="1" si="2"/>
        <v>Remarks</v>
      </c>
      <c r="B182" s="18"/>
      <c r="C182" s="22" t="s">
        <v>22</v>
      </c>
      <c r="D182" s="22" t="s">
        <v>101</v>
      </c>
      <c r="E182" s="22" t="s">
        <v>551</v>
      </c>
      <c r="F182" s="875" t="s">
        <v>463</v>
      </c>
    </row>
    <row r="183" spans="1:6" x14ac:dyDescent="0.3">
      <c r="A183" s="21" t="str">
        <f t="shared" ca="1" si="2"/>
        <v>Achievements (last period)</v>
      </c>
      <c r="B183" s="18"/>
      <c r="C183" s="22" t="s">
        <v>870</v>
      </c>
      <c r="D183" s="22" t="s">
        <v>1111</v>
      </c>
      <c r="E183" s="22" t="s">
        <v>871</v>
      </c>
      <c r="F183" s="875" t="s">
        <v>872</v>
      </c>
    </row>
    <row r="184" spans="1:6" x14ac:dyDescent="0.3">
      <c r="A184" s="21" t="str">
        <f t="shared" ca="1" si="2"/>
        <v>Particular problems (last period)</v>
      </c>
      <c r="B184" s="18"/>
      <c r="C184" s="22" t="s">
        <v>873</v>
      </c>
      <c r="D184" s="22" t="s">
        <v>1112</v>
      </c>
      <c r="E184" s="22" t="s">
        <v>874</v>
      </c>
      <c r="F184" s="875" t="s">
        <v>875</v>
      </c>
    </row>
    <row r="185" spans="1:6" x14ac:dyDescent="0.3">
      <c r="A185" s="21" t="str">
        <f t="shared" ca="1" si="2"/>
        <v>Challenges (next period)</v>
      </c>
      <c r="B185" s="18"/>
      <c r="C185" s="22" t="s">
        <v>876</v>
      </c>
      <c r="D185" s="22" t="s">
        <v>1113</v>
      </c>
      <c r="E185" s="22" t="s">
        <v>877</v>
      </c>
      <c r="F185" s="875" t="s">
        <v>878</v>
      </c>
    </row>
    <row r="186" spans="1:6" x14ac:dyDescent="0.3">
      <c r="A186" s="21" t="str">
        <f t="shared" ca="1" si="2"/>
        <v>PLAN</v>
      </c>
      <c r="B186" s="18"/>
      <c r="C186" s="22" t="s">
        <v>184</v>
      </c>
      <c r="D186" s="22" t="s">
        <v>184</v>
      </c>
      <c r="E186" s="22" t="s">
        <v>184</v>
      </c>
      <c r="F186" s="875" t="s">
        <v>464</v>
      </c>
    </row>
    <row r="187" spans="1:6" x14ac:dyDescent="0.3">
      <c r="A187" s="21" t="str">
        <f t="shared" ca="1" si="2"/>
        <v>ACTUAL STATE</v>
      </c>
      <c r="B187" s="18"/>
      <c r="C187" s="22" t="s">
        <v>0</v>
      </c>
      <c r="D187" s="22" t="s">
        <v>185</v>
      </c>
      <c r="E187" s="22" t="s">
        <v>552</v>
      </c>
      <c r="F187" s="875" t="s">
        <v>465</v>
      </c>
    </row>
    <row r="188" spans="1:6" x14ac:dyDescent="0.3">
      <c r="A188" s="21" t="str">
        <f t="shared" ca="1" si="2"/>
        <v>BALANCE</v>
      </c>
      <c r="B188" s="18"/>
      <c r="C188" s="22" t="s">
        <v>31</v>
      </c>
      <c r="D188" s="22" t="s">
        <v>102</v>
      </c>
      <c r="E188" s="22" t="s">
        <v>553</v>
      </c>
      <c r="F188" s="875" t="s">
        <v>31</v>
      </c>
    </row>
    <row r="189" spans="1:6" x14ac:dyDescent="0.3">
      <c r="A189" s="21" t="str">
        <f t="shared" ca="1" si="2"/>
        <v xml:space="preserve"> In %</v>
      </c>
      <c r="B189" s="18"/>
      <c r="C189" s="22" t="s">
        <v>32</v>
      </c>
      <c r="D189" s="22" t="s">
        <v>103</v>
      </c>
      <c r="E189" s="22" t="s">
        <v>554</v>
      </c>
      <c r="F189" s="875" t="s">
        <v>454</v>
      </c>
    </row>
    <row r="190" spans="1:6" x14ac:dyDescent="0.3">
      <c r="A190" s="24" t="str">
        <f t="shared" ca="1" si="2"/>
        <v>see charter</v>
      </c>
      <c r="B190" s="18"/>
      <c r="C190" s="25" t="s">
        <v>631</v>
      </c>
      <c r="D190" s="25" t="s">
        <v>632</v>
      </c>
      <c r="E190" s="25" t="s">
        <v>633</v>
      </c>
      <c r="F190" s="881" t="s">
        <v>634</v>
      </c>
    </row>
    <row r="191" spans="1:6" x14ac:dyDescent="0.3">
      <c r="A191" s="24" t="str">
        <f t="shared" ca="1" si="2"/>
        <v>Project goals (see charter)</v>
      </c>
      <c r="B191" s="18"/>
      <c r="C191" s="25" t="s">
        <v>820</v>
      </c>
      <c r="D191" s="25" t="s">
        <v>823</v>
      </c>
      <c r="E191" s="25" t="s">
        <v>821</v>
      </c>
      <c r="F191" s="881" t="s">
        <v>822</v>
      </c>
    </row>
    <row r="192" spans="1:6" x14ac:dyDescent="0.3">
      <c r="A192" s="24" t="str">
        <f t="shared" ca="1" si="2"/>
        <v>Next milestone:</v>
      </c>
      <c r="B192" s="18"/>
      <c r="C192" s="25" t="s">
        <v>1106</v>
      </c>
      <c r="D192" s="22" t="s">
        <v>1107</v>
      </c>
      <c r="E192" s="22" t="s">
        <v>1108</v>
      </c>
      <c r="F192" s="875" t="s">
        <v>1109</v>
      </c>
    </row>
    <row r="193" spans="1:6" s="30" customFormat="1" x14ac:dyDescent="0.3">
      <c r="A193" s="26" t="str">
        <f t="shared" ca="1" si="2"/>
        <v>F I N A L   R E P O R T</v>
      </c>
      <c r="B193" s="27"/>
      <c r="C193" s="14" t="s">
        <v>206</v>
      </c>
      <c r="D193" s="14" t="s">
        <v>207</v>
      </c>
      <c r="E193" s="14" t="s">
        <v>555</v>
      </c>
      <c r="F193" s="879" t="s">
        <v>365</v>
      </c>
    </row>
    <row r="194" spans="1:6" x14ac:dyDescent="0.3">
      <c r="A194" s="17" t="str">
        <f t="shared" ca="1" si="2"/>
        <v>Was the project successful?</v>
      </c>
      <c r="B194" s="18"/>
      <c r="C194" s="19" t="s">
        <v>33</v>
      </c>
      <c r="D194" s="19" t="s">
        <v>104</v>
      </c>
      <c r="E194" s="19" t="s">
        <v>606</v>
      </c>
      <c r="F194" s="880" t="s">
        <v>466</v>
      </c>
    </row>
    <row r="195" spans="1:6" x14ac:dyDescent="0.3">
      <c r="A195" s="21" t="str">
        <f t="shared" ca="1" si="2"/>
        <v>Yes</v>
      </c>
      <c r="B195" s="18"/>
      <c r="C195" s="22" t="s">
        <v>148</v>
      </c>
      <c r="D195" s="22" t="s">
        <v>149</v>
      </c>
      <c r="E195" s="22" t="s">
        <v>538</v>
      </c>
      <c r="F195" s="875" t="s">
        <v>450</v>
      </c>
    </row>
    <row r="196" spans="1:6" x14ac:dyDescent="0.3">
      <c r="A196" s="21" t="str">
        <f t="shared" ca="1" si="2"/>
        <v>Reason:</v>
      </c>
      <c r="B196" s="18"/>
      <c r="C196" s="22" t="s">
        <v>34</v>
      </c>
      <c r="D196" s="22" t="s">
        <v>106</v>
      </c>
      <c r="E196" s="22" t="s">
        <v>556</v>
      </c>
      <c r="F196" s="875" t="s">
        <v>467</v>
      </c>
    </row>
    <row r="197" spans="1:6" x14ac:dyDescent="0.3">
      <c r="A197" s="21" t="str">
        <f t="shared" ca="1" si="2"/>
        <v>Are all customer needs satisfied?</v>
      </c>
      <c r="B197" s="18"/>
      <c r="C197" s="22" t="s">
        <v>1413</v>
      </c>
      <c r="D197" s="22" t="s">
        <v>1415</v>
      </c>
      <c r="E197" s="22" t="s">
        <v>1414</v>
      </c>
      <c r="F197" s="875" t="s">
        <v>1416</v>
      </c>
    </row>
    <row r="198" spans="1:6" x14ac:dyDescent="0.3">
      <c r="A198" s="21" t="str">
        <f t="shared" ca="1" si="2"/>
        <v>Partially</v>
      </c>
      <c r="B198" s="18"/>
      <c r="C198" s="22" t="s">
        <v>150</v>
      </c>
      <c r="D198" s="22" t="s">
        <v>151</v>
      </c>
      <c r="E198" s="22" t="s">
        <v>557</v>
      </c>
      <c r="F198" s="875" t="s">
        <v>468</v>
      </c>
    </row>
    <row r="199" spans="1:6" x14ac:dyDescent="0.3">
      <c r="A199" s="21" t="str">
        <f t="shared" ca="1" si="2"/>
        <v>Was the budget observed?</v>
      </c>
      <c r="B199" s="18"/>
      <c r="C199" s="22" t="s">
        <v>35</v>
      </c>
      <c r="D199" s="22" t="s">
        <v>105</v>
      </c>
      <c r="E199" s="22" t="s">
        <v>558</v>
      </c>
      <c r="F199" s="875" t="s">
        <v>469</v>
      </c>
    </row>
    <row r="200" spans="1:6" x14ac:dyDescent="0.3">
      <c r="A200" s="21" t="str">
        <f t="shared" ca="1" si="2"/>
        <v>No</v>
      </c>
      <c r="B200" s="18"/>
      <c r="C200" s="22" t="s">
        <v>152</v>
      </c>
      <c r="D200" s="22" t="s">
        <v>153</v>
      </c>
      <c r="E200" s="22" t="s">
        <v>470</v>
      </c>
      <c r="F200" s="875" t="s">
        <v>470</v>
      </c>
    </row>
    <row r="201" spans="1:6" x14ac:dyDescent="0.3">
      <c r="A201" s="21" t="str">
        <f t="shared" ca="1" si="2"/>
        <v>Further comments</v>
      </c>
      <c r="B201" s="18"/>
      <c r="C201" s="22" t="s">
        <v>615</v>
      </c>
      <c r="D201" s="22" t="s">
        <v>616</v>
      </c>
      <c r="E201" s="22" t="s">
        <v>617</v>
      </c>
      <c r="F201" s="875" t="s">
        <v>618</v>
      </c>
    </row>
    <row r="202" spans="1:6" ht="27.6" x14ac:dyDescent="0.3">
      <c r="A202" s="24" t="str">
        <f t="shared" ca="1" si="2"/>
        <v>What can be learnt from the project? (Lessons Learned)</v>
      </c>
      <c r="B202" s="18"/>
      <c r="C202" s="25" t="s">
        <v>879</v>
      </c>
      <c r="D202" s="25" t="s">
        <v>880</v>
      </c>
      <c r="E202" s="25" t="s">
        <v>881</v>
      </c>
      <c r="F202" s="881" t="s">
        <v>882</v>
      </c>
    </row>
    <row r="203" spans="1:6" s="30" customFormat="1" x14ac:dyDescent="0.3">
      <c r="A203" s="26" t="str">
        <f t="shared" ca="1" si="2"/>
        <v>P R O J E C T   T E A M</v>
      </c>
      <c r="B203" s="27"/>
      <c r="C203" s="14" t="s">
        <v>209</v>
      </c>
      <c r="D203" s="14" t="s">
        <v>208</v>
      </c>
      <c r="E203" s="14" t="s">
        <v>559</v>
      </c>
      <c r="F203" s="879" t="s">
        <v>366</v>
      </c>
    </row>
    <row r="204" spans="1:6" x14ac:dyDescent="0.3">
      <c r="A204" s="17" t="str">
        <f t="shared" ca="1" si="2"/>
        <v>Name</v>
      </c>
      <c r="B204" s="18"/>
      <c r="C204" s="19" t="s">
        <v>53</v>
      </c>
      <c r="D204" s="19" t="s">
        <v>108</v>
      </c>
      <c r="E204" s="19" t="s">
        <v>53</v>
      </c>
      <c r="F204" s="880" t="s">
        <v>471</v>
      </c>
    </row>
    <row r="205" spans="1:6" x14ac:dyDescent="0.3">
      <c r="A205" s="21" t="str">
        <f t="shared" ca="1" si="2"/>
        <v>First name</v>
      </c>
      <c r="B205" s="18"/>
      <c r="C205" s="22" t="s">
        <v>54</v>
      </c>
      <c r="D205" s="22" t="s">
        <v>109</v>
      </c>
      <c r="E205" s="22" t="s">
        <v>560</v>
      </c>
      <c r="F205" s="875" t="s">
        <v>389</v>
      </c>
    </row>
    <row r="206" spans="1:6" x14ac:dyDescent="0.3">
      <c r="A206" s="21" t="str">
        <f t="shared" ca="1" si="2"/>
        <v>Initials</v>
      </c>
      <c r="B206" s="18"/>
      <c r="C206" s="22" t="s">
        <v>55</v>
      </c>
      <c r="D206" s="22" t="s">
        <v>175</v>
      </c>
      <c r="E206" s="22" t="s">
        <v>561</v>
      </c>
      <c r="F206" s="875" t="s">
        <v>472</v>
      </c>
    </row>
    <row r="207" spans="1:6" x14ac:dyDescent="0.3">
      <c r="A207" s="21" t="str">
        <f t="shared" ca="1" si="2"/>
        <v>intern</v>
      </c>
      <c r="B207" s="34"/>
      <c r="C207" s="33" t="s">
        <v>770</v>
      </c>
      <c r="D207" s="33" t="s">
        <v>771</v>
      </c>
      <c r="E207" s="33" t="s">
        <v>770</v>
      </c>
      <c r="F207" s="875" t="s">
        <v>772</v>
      </c>
    </row>
    <row r="208" spans="1:6" x14ac:dyDescent="0.3">
      <c r="A208" s="21" t="str">
        <f t="shared" ca="1" si="2"/>
        <v>Email</v>
      </c>
      <c r="B208" s="18"/>
      <c r="C208" s="22" t="s">
        <v>56</v>
      </c>
      <c r="D208" s="22" t="s">
        <v>56</v>
      </c>
      <c r="E208" s="22" t="s">
        <v>562</v>
      </c>
      <c r="F208" s="875" t="s">
        <v>473</v>
      </c>
    </row>
    <row r="209" spans="1:6" x14ac:dyDescent="0.3">
      <c r="A209" s="21" t="str">
        <f t="shared" ca="1" si="2"/>
        <v>Telephone</v>
      </c>
      <c r="B209" s="18"/>
      <c r="C209" s="22" t="s">
        <v>57</v>
      </c>
      <c r="D209" s="22" t="s">
        <v>733</v>
      </c>
      <c r="E209" s="22" t="s">
        <v>563</v>
      </c>
      <c r="F209" s="875" t="s">
        <v>474</v>
      </c>
    </row>
    <row r="210" spans="1:6" x14ac:dyDescent="0.3">
      <c r="A210" s="21" t="str">
        <f t="shared" ca="1" si="2"/>
        <v>Hourly rate</v>
      </c>
      <c r="B210" s="18"/>
      <c r="C210" s="22" t="s">
        <v>824</v>
      </c>
      <c r="D210" s="22" t="s">
        <v>825</v>
      </c>
      <c r="E210" s="22" t="s">
        <v>826</v>
      </c>
      <c r="F210" s="875" t="s">
        <v>827</v>
      </c>
    </row>
    <row r="211" spans="1:6" x14ac:dyDescent="0.3">
      <c r="A211" s="21" t="str">
        <f t="shared" ca="1" si="2"/>
        <v>BUDGET</v>
      </c>
      <c r="B211" s="34"/>
      <c r="C211" s="33" t="s">
        <v>810</v>
      </c>
      <c r="D211" s="33" t="s">
        <v>810</v>
      </c>
      <c r="E211" s="33" t="s">
        <v>810</v>
      </c>
      <c r="F211" s="875" t="s">
        <v>810</v>
      </c>
    </row>
    <row r="212" spans="1:6" x14ac:dyDescent="0.3">
      <c r="A212" s="21" t="str">
        <f t="shared" ca="1" si="2"/>
        <v>hours budget</v>
      </c>
      <c r="B212" s="18"/>
      <c r="C212" s="22" t="s">
        <v>1130</v>
      </c>
      <c r="D212" s="22" t="s">
        <v>1131</v>
      </c>
      <c r="E212" s="22" t="s">
        <v>1132</v>
      </c>
      <c r="F212" s="875" t="s">
        <v>1133</v>
      </c>
    </row>
    <row r="213" spans="1:6" x14ac:dyDescent="0.3">
      <c r="A213" s="21" t="str">
        <f t="shared" ca="1" si="2"/>
        <v>allocated hours</v>
      </c>
      <c r="B213" s="18"/>
      <c r="C213" s="22" t="s">
        <v>1126</v>
      </c>
      <c r="D213" s="22" t="s">
        <v>1127</v>
      </c>
      <c r="E213" s="22" t="s">
        <v>1128</v>
      </c>
      <c r="F213" s="875" t="s">
        <v>1129</v>
      </c>
    </row>
    <row r="214" spans="1:6" x14ac:dyDescent="0.3">
      <c r="A214" s="21" t="str">
        <f t="shared" ca="1" si="2"/>
        <v>realized hours</v>
      </c>
      <c r="B214" s="32"/>
      <c r="C214" s="22" t="s">
        <v>1115</v>
      </c>
      <c r="D214" s="5" t="s">
        <v>1116</v>
      </c>
      <c r="E214" s="5" t="s">
        <v>1118</v>
      </c>
      <c r="F214" s="875" t="s">
        <v>1117</v>
      </c>
    </row>
    <row r="215" spans="1:6" x14ac:dyDescent="0.3">
      <c r="A215" s="21" t="str">
        <f t="shared" ca="1" si="2"/>
        <v>[CHF]</v>
      </c>
      <c r="B215" s="18"/>
      <c r="C215" s="22" t="str">
        <f>"["&amp;Logo!$D$12&amp;"]"</f>
        <v>[CHF]</v>
      </c>
      <c r="D215" s="22" t="str">
        <f>"["&amp;Logo!$D$12&amp;"]"</f>
        <v>[CHF]</v>
      </c>
      <c r="E215" s="22" t="str">
        <f>"["&amp;Logo!$D$12&amp;"]"</f>
        <v>[CHF]</v>
      </c>
      <c r="F215" s="875" t="str">
        <f>"["&amp;Logo!$D$12&amp;"]"</f>
        <v>[CHF]</v>
      </c>
    </row>
    <row r="216" spans="1:6" x14ac:dyDescent="0.3">
      <c r="A216" s="21" t="str">
        <f t="shared" ca="1" si="2"/>
        <v>Absence/Remarks</v>
      </c>
      <c r="B216" s="18"/>
      <c r="C216" s="22" t="s">
        <v>186</v>
      </c>
      <c r="D216" s="22" t="s">
        <v>187</v>
      </c>
      <c r="E216" s="22" t="s">
        <v>564</v>
      </c>
      <c r="F216" s="875" t="s">
        <v>475</v>
      </c>
    </row>
    <row r="217" spans="1:6" x14ac:dyDescent="0.3">
      <c r="A217" s="21" t="str">
        <f t="shared" ca="1" si="2"/>
        <v>Total intern</v>
      </c>
      <c r="B217" s="34"/>
      <c r="C217" s="33" t="s">
        <v>777</v>
      </c>
      <c r="D217" s="33" t="s">
        <v>778</v>
      </c>
      <c r="E217" s="33" t="s">
        <v>777</v>
      </c>
      <c r="F217" s="875" t="s">
        <v>779</v>
      </c>
    </row>
    <row r="218" spans="1:6" x14ac:dyDescent="0.3">
      <c r="A218" s="21" t="str">
        <f t="shared" ca="1" si="2"/>
        <v>Total extern</v>
      </c>
      <c r="B218" s="34"/>
      <c r="C218" s="33" t="s">
        <v>780</v>
      </c>
      <c r="D218" s="33" t="s">
        <v>831</v>
      </c>
      <c r="E218" s="33" t="s">
        <v>780</v>
      </c>
      <c r="F218" s="875" t="s">
        <v>781</v>
      </c>
    </row>
    <row r="219" spans="1:6" x14ac:dyDescent="0.3">
      <c r="A219" s="21" t="str">
        <f t="shared" ca="1" si="2"/>
        <v>TOTAL</v>
      </c>
      <c r="B219" s="18"/>
      <c r="C219" s="22" t="s">
        <v>775</v>
      </c>
      <c r="D219" s="22" t="s">
        <v>775</v>
      </c>
      <c r="E219" s="22" t="s">
        <v>775</v>
      </c>
      <c r="F219" s="875" t="s">
        <v>776</v>
      </c>
    </row>
    <row r="220" spans="1:6" x14ac:dyDescent="0.3">
      <c r="A220" s="24" t="str">
        <f t="shared" ca="1" si="2"/>
        <v xml:space="preserve"> Function</v>
      </c>
      <c r="B220" s="18"/>
      <c r="C220" s="25" t="s">
        <v>178</v>
      </c>
      <c r="D220" s="25" t="s">
        <v>607</v>
      </c>
      <c r="E220" s="25" t="s">
        <v>565</v>
      </c>
      <c r="F220" s="881" t="s">
        <v>476</v>
      </c>
    </row>
    <row r="221" spans="1:6" x14ac:dyDescent="0.3">
      <c r="A221" s="24" t="str">
        <f t="shared" ca="1" si="2"/>
        <v>BALANCE [CHF]</v>
      </c>
      <c r="B221" s="18"/>
      <c r="C221" s="22" t="str">
        <f>"SALDO"&amp;" ["&amp;Logo!$D$12&amp;"]"</f>
        <v>SALDO [CHF]</v>
      </c>
      <c r="D221" s="22" t="str">
        <f>"SOLDE"&amp;" ["&amp;Logo!$D$12&amp;"]"</f>
        <v>SOLDE [CHF]</v>
      </c>
      <c r="E221" s="22" t="str">
        <f>"BALANCE"&amp;" ["&amp;Logo!$D$12&amp;"]"</f>
        <v>BALANCE [CHF]</v>
      </c>
      <c r="F221" s="875" t="str">
        <f>"SALDO"&amp;" ["&amp;Logo!$D$12&amp;"]"</f>
        <v>SALDO [CHF]</v>
      </c>
    </row>
    <row r="222" spans="1:6" x14ac:dyDescent="0.3">
      <c r="A222" s="24" t="str">
        <f t="shared" ca="1" si="2"/>
        <v>BALANCE</v>
      </c>
      <c r="B222" s="35"/>
      <c r="C222" s="22" t="s">
        <v>31</v>
      </c>
      <c r="D222" s="22" t="s">
        <v>102</v>
      </c>
      <c r="E222" s="22" t="s">
        <v>553</v>
      </c>
      <c r="F222" s="875" t="s">
        <v>31</v>
      </c>
    </row>
    <row r="223" spans="1:6" x14ac:dyDescent="0.3">
      <c r="A223" s="24" t="str">
        <f t="shared" ca="1" si="2"/>
        <v>Budget [h]</v>
      </c>
      <c r="B223" s="18"/>
      <c r="C223" s="22" t="s">
        <v>815</v>
      </c>
      <c r="D223" s="22" t="s">
        <v>852</v>
      </c>
      <c r="E223" s="22" t="s">
        <v>815</v>
      </c>
      <c r="F223" s="875" t="s">
        <v>815</v>
      </c>
    </row>
    <row r="224" spans="1:6" x14ac:dyDescent="0.3">
      <c r="A224" s="24" t="str">
        <f t="shared" ca="1" si="2"/>
        <v>realized [h]</v>
      </c>
      <c r="B224" s="18"/>
      <c r="C224" s="22" t="s">
        <v>816</v>
      </c>
      <c r="D224" s="22" t="s">
        <v>817</v>
      </c>
      <c r="E224" s="22" t="s">
        <v>818</v>
      </c>
      <c r="F224" s="875" t="s">
        <v>819</v>
      </c>
    </row>
    <row r="225" spans="1:6" x14ac:dyDescent="0.3">
      <c r="A225" s="24" t="str">
        <f t="shared" ca="1" si="2"/>
        <v>balance budget [h]</v>
      </c>
      <c r="B225" s="18"/>
      <c r="C225" s="25" t="s">
        <v>848</v>
      </c>
      <c r="D225" s="25" t="s">
        <v>849</v>
      </c>
      <c r="E225" s="25" t="s">
        <v>850</v>
      </c>
      <c r="F225" s="881" t="s">
        <v>851</v>
      </c>
    </row>
    <row r="226" spans="1:6" s="30" customFormat="1" x14ac:dyDescent="0.3">
      <c r="A226" s="26" t="str">
        <f t="shared" ca="1" si="2"/>
        <v xml:space="preserve"> B U D G E T</v>
      </c>
      <c r="B226" s="27"/>
      <c r="C226" s="14" t="s">
        <v>191</v>
      </c>
      <c r="D226" s="14" t="s">
        <v>191</v>
      </c>
      <c r="E226" s="14" t="s">
        <v>566</v>
      </c>
      <c r="F226" s="879" t="s">
        <v>191</v>
      </c>
    </row>
    <row r="227" spans="1:6" x14ac:dyDescent="0.3">
      <c r="A227" s="17" t="str">
        <f t="shared" ca="1" si="2"/>
        <v>Internal resources</v>
      </c>
      <c r="B227" s="18"/>
      <c r="C227" s="19" t="s">
        <v>1060</v>
      </c>
      <c r="D227" s="19" t="s">
        <v>1059</v>
      </c>
      <c r="E227" s="19" t="s">
        <v>1061</v>
      </c>
      <c r="F227" s="880" t="s">
        <v>1082</v>
      </c>
    </row>
    <row r="228" spans="1:6" x14ac:dyDescent="0.3">
      <c r="A228" s="21" t="str">
        <f t="shared" ca="1" si="2"/>
        <v>Title</v>
      </c>
      <c r="B228" s="18"/>
      <c r="C228" s="22" t="s">
        <v>272</v>
      </c>
      <c r="D228" s="22" t="s">
        <v>113</v>
      </c>
      <c r="E228" s="22" t="s">
        <v>567</v>
      </c>
      <c r="F228" s="875" t="s">
        <v>477</v>
      </c>
    </row>
    <row r="229" spans="1:6" x14ac:dyDescent="0.3">
      <c r="A229" s="21" t="str">
        <f t="shared" ca="1" si="2"/>
        <v>Standard price</v>
      </c>
      <c r="B229" s="18"/>
      <c r="C229" s="22" t="s">
        <v>110</v>
      </c>
      <c r="D229" s="22" t="s">
        <v>112</v>
      </c>
      <c r="E229" s="22" t="s">
        <v>568</v>
      </c>
      <c r="F229" s="875" t="s">
        <v>478</v>
      </c>
    </row>
    <row r="230" spans="1:6" x14ac:dyDescent="0.3">
      <c r="A230" s="21" t="str">
        <f t="shared" ca="1" si="2"/>
        <v>Amount</v>
      </c>
      <c r="B230" s="18"/>
      <c r="C230" s="22" t="s">
        <v>58</v>
      </c>
      <c r="D230" s="22" t="s">
        <v>608</v>
      </c>
      <c r="E230" s="22" t="s">
        <v>569</v>
      </c>
      <c r="F230" s="875" t="s">
        <v>479</v>
      </c>
    </row>
    <row r="231" spans="1:6" x14ac:dyDescent="0.3">
      <c r="A231" s="21" t="str">
        <f t="shared" ca="1" si="2"/>
        <v>Costs (internal)</v>
      </c>
      <c r="B231" s="18"/>
      <c r="C231" s="22" t="s">
        <v>1084</v>
      </c>
      <c r="D231" s="22" t="s">
        <v>190</v>
      </c>
      <c r="E231" s="22" t="s">
        <v>570</v>
      </c>
      <c r="F231" s="875" t="s">
        <v>480</v>
      </c>
    </row>
    <row r="232" spans="1:6" x14ac:dyDescent="0.3">
      <c r="A232" s="21" t="str">
        <f t="shared" ca="1" si="2"/>
        <v>Remarks</v>
      </c>
      <c r="B232" s="18"/>
      <c r="C232" s="22" t="s">
        <v>22</v>
      </c>
      <c r="D232" s="22" t="s">
        <v>111</v>
      </c>
      <c r="E232" s="22" t="s">
        <v>551</v>
      </c>
      <c r="F232" s="875" t="s">
        <v>463</v>
      </c>
    </row>
    <row r="233" spans="1:6" x14ac:dyDescent="0.3">
      <c r="A233" s="21" t="str">
        <f t="shared" ref="A233:A249" ca="1" si="3">OFFSET($C233,0,$B$4-1)</f>
        <v>External resources</v>
      </c>
      <c r="B233" s="18"/>
      <c r="C233" s="22" t="s">
        <v>1066</v>
      </c>
      <c r="D233" s="22" t="s">
        <v>1065</v>
      </c>
      <c r="E233" s="22" t="s">
        <v>1064</v>
      </c>
      <c r="F233" s="875" t="s">
        <v>1062</v>
      </c>
    </row>
    <row r="234" spans="1:6" x14ac:dyDescent="0.3">
      <c r="A234" s="21" t="str">
        <f t="shared" ca="1" si="3"/>
        <v>Resources (external)</v>
      </c>
      <c r="B234" s="18"/>
      <c r="C234" s="22" t="s">
        <v>1085</v>
      </c>
      <c r="D234" s="22" t="s">
        <v>1093</v>
      </c>
      <c r="E234" s="22" t="s">
        <v>1094</v>
      </c>
      <c r="F234" s="875" t="s">
        <v>1095</v>
      </c>
    </row>
    <row r="235" spans="1:6" x14ac:dyDescent="0.3">
      <c r="A235" s="21" t="str">
        <f t="shared" ca="1" si="3"/>
        <v xml:space="preserve">External financing </v>
      </c>
      <c r="B235" s="18"/>
      <c r="C235" s="22" t="s">
        <v>738</v>
      </c>
      <c r="D235" s="22" t="s">
        <v>739</v>
      </c>
      <c r="E235" s="22" t="s">
        <v>740</v>
      </c>
      <c r="F235" s="875" t="s">
        <v>741</v>
      </c>
    </row>
    <row r="236" spans="1:6" ht="27.6" x14ac:dyDescent="0.3">
      <c r="A236" s="21" t="str">
        <f t="shared" ca="1" si="3"/>
        <v>External financing (eg customers, subsidies etc.)</v>
      </c>
      <c r="B236" s="18"/>
      <c r="C236" s="22" t="s">
        <v>1074</v>
      </c>
      <c r="D236" s="22" t="s">
        <v>1071</v>
      </c>
      <c r="E236" s="22" t="s">
        <v>1072</v>
      </c>
      <c r="F236" s="875" t="s">
        <v>1073</v>
      </c>
    </row>
    <row r="237" spans="1:6" x14ac:dyDescent="0.3">
      <c r="A237" s="21" t="str">
        <f t="shared" ca="1" si="3"/>
        <v>TOTAL external resources</v>
      </c>
      <c r="B237" s="18"/>
      <c r="C237" s="22" t="s">
        <v>1086</v>
      </c>
      <c r="D237" s="22" t="s">
        <v>1087</v>
      </c>
      <c r="E237" s="22" t="s">
        <v>1089</v>
      </c>
      <c r="F237" s="875" t="s">
        <v>1096</v>
      </c>
    </row>
    <row r="238" spans="1:6" x14ac:dyDescent="0.3">
      <c r="A238" s="21" t="str">
        <f t="shared" ca="1" si="3"/>
        <v>TOTAL internal resources</v>
      </c>
      <c r="B238" s="18"/>
      <c r="C238" s="22" t="s">
        <v>1083</v>
      </c>
      <c r="D238" s="22" t="s">
        <v>1088</v>
      </c>
      <c r="E238" s="22" t="s">
        <v>1090</v>
      </c>
      <c r="F238" s="875" t="s">
        <v>1097</v>
      </c>
    </row>
    <row r="239" spans="1:6" x14ac:dyDescent="0.3">
      <c r="A239" s="21" t="str">
        <f t="shared" ca="1" si="3"/>
        <v>TOTAL external finances</v>
      </c>
      <c r="B239" s="18"/>
      <c r="C239" s="22" t="s">
        <v>734</v>
      </c>
      <c r="D239" s="22" t="s">
        <v>735</v>
      </c>
      <c r="E239" s="22" t="s">
        <v>736</v>
      </c>
      <c r="F239" s="875" t="s">
        <v>737</v>
      </c>
    </row>
    <row r="240" spans="1:6" x14ac:dyDescent="0.3">
      <c r="A240" s="21" t="str">
        <f t="shared" ca="1" si="3"/>
        <v>Personnel resources (internal)</v>
      </c>
      <c r="B240" s="18"/>
      <c r="C240" s="22" t="s">
        <v>1098</v>
      </c>
      <c r="D240" s="22" t="s">
        <v>731</v>
      </c>
      <c r="E240" s="22" t="s">
        <v>1091</v>
      </c>
      <c r="F240" s="875" t="s">
        <v>732</v>
      </c>
    </row>
    <row r="241" spans="1:6" x14ac:dyDescent="0.3">
      <c r="A241" s="21" t="str">
        <f t="shared" ca="1" si="3"/>
        <v>Personnel resources (external)</v>
      </c>
      <c r="B241" s="34"/>
      <c r="C241" s="22" t="s">
        <v>1099</v>
      </c>
      <c r="D241" s="22" t="s">
        <v>773</v>
      </c>
      <c r="E241" s="22" t="s">
        <v>1092</v>
      </c>
      <c r="F241" s="875" t="s">
        <v>774</v>
      </c>
    </row>
    <row r="242" spans="1:6" x14ac:dyDescent="0.3">
      <c r="A242" s="21" t="str">
        <f t="shared" ca="1" si="3"/>
        <v>TOTAL RESOURCES</v>
      </c>
      <c r="B242" s="18"/>
      <c r="C242" s="22" t="s">
        <v>1067</v>
      </c>
      <c r="D242" s="22" t="s">
        <v>1068</v>
      </c>
      <c r="E242" s="22" t="s">
        <v>1069</v>
      </c>
      <c r="F242" s="875" t="s">
        <v>1070</v>
      </c>
    </row>
    <row r="243" spans="1:6" x14ac:dyDescent="0.3">
      <c r="A243" s="21" t="str">
        <f t="shared" ca="1" si="3"/>
        <v>Plan</v>
      </c>
      <c r="B243" s="18"/>
      <c r="C243" s="22" t="s">
        <v>193</v>
      </c>
      <c r="D243" s="22" t="s">
        <v>193</v>
      </c>
      <c r="E243" s="22" t="s">
        <v>193</v>
      </c>
      <c r="F243" s="875" t="s">
        <v>393</v>
      </c>
    </row>
    <row r="244" spans="1:6" x14ac:dyDescent="0.3">
      <c r="A244" s="21" t="str">
        <f t="shared" ca="1" si="3"/>
        <v>Actual state</v>
      </c>
      <c r="B244" s="18"/>
      <c r="C244" s="22" t="s">
        <v>195</v>
      </c>
      <c r="D244" s="22" t="s">
        <v>194</v>
      </c>
      <c r="E244" s="22" t="s">
        <v>571</v>
      </c>
      <c r="F244" s="875" t="s">
        <v>361</v>
      </c>
    </row>
    <row r="245" spans="1:6" x14ac:dyDescent="0.3">
      <c r="A245" s="24" t="str">
        <f t="shared" ca="1" si="3"/>
        <v>Balance</v>
      </c>
      <c r="B245" s="18"/>
      <c r="C245" s="25" t="s">
        <v>196</v>
      </c>
      <c r="D245" s="25" t="s">
        <v>197</v>
      </c>
      <c r="E245" s="25" t="s">
        <v>572</v>
      </c>
      <c r="F245" s="881" t="s">
        <v>196</v>
      </c>
    </row>
    <row r="246" spans="1:6" s="30" customFormat="1" x14ac:dyDescent="0.3">
      <c r="A246" s="36" t="str">
        <f t="shared" ca="1" si="3"/>
        <v>E R R O R   M E S S A G E S</v>
      </c>
      <c r="B246" s="27"/>
      <c r="C246" s="14" t="s">
        <v>156</v>
      </c>
      <c r="D246" s="14" t="s">
        <v>157</v>
      </c>
      <c r="E246" s="14" t="s">
        <v>573</v>
      </c>
      <c r="F246" s="879" t="s">
        <v>359</v>
      </c>
    </row>
    <row r="247" spans="1:6" ht="27.6" x14ac:dyDescent="0.3">
      <c r="A247" s="37" t="str">
        <f t="shared" ca="1" si="3"/>
        <v>Please fill in date of project start in project charter!!</v>
      </c>
      <c r="B247" s="38"/>
      <c r="C247" s="19" t="s">
        <v>158</v>
      </c>
      <c r="D247" s="19" t="s">
        <v>159</v>
      </c>
      <c r="E247" s="19" t="s">
        <v>574</v>
      </c>
      <c r="F247" s="880" t="s">
        <v>481</v>
      </c>
    </row>
    <row r="248" spans="1:6" x14ac:dyDescent="0.3">
      <c r="A248" s="39" t="str">
        <f t="shared" ca="1" si="3"/>
        <v>Finish</v>
      </c>
      <c r="B248" s="38"/>
      <c r="C248" s="22" t="s">
        <v>64</v>
      </c>
      <c r="D248" s="22" t="s">
        <v>96</v>
      </c>
      <c r="E248" s="22" t="s">
        <v>537</v>
      </c>
      <c r="F248" s="875" t="s">
        <v>449</v>
      </c>
    </row>
    <row r="249" spans="1:6" x14ac:dyDescent="0.3">
      <c r="A249" s="40" t="str">
        <f t="shared" ca="1" si="3"/>
        <v xml:space="preserve"> </v>
      </c>
      <c r="B249" s="38"/>
      <c r="C249" s="25"/>
      <c r="D249" s="25"/>
      <c r="E249" s="25" t="s">
        <v>575</v>
      </c>
      <c r="F249" s="881"/>
    </row>
    <row r="250" spans="1:6" s="30" customFormat="1" x14ac:dyDescent="0.3">
      <c r="A250" s="36" t="str">
        <f t="shared" ref="A250:A273" ca="1" si="4">OFFSET($C250,0,$B$4-1)</f>
        <v>S W O T   A N A L Y S I S</v>
      </c>
      <c r="B250" s="27"/>
      <c r="C250" s="36" t="s">
        <v>212</v>
      </c>
      <c r="D250" s="36" t="s">
        <v>213</v>
      </c>
      <c r="E250" s="36" t="s">
        <v>576</v>
      </c>
      <c r="F250" s="884" t="s">
        <v>367</v>
      </c>
    </row>
    <row r="251" spans="1:6" x14ac:dyDescent="0.3">
      <c r="A251" s="37" t="str">
        <f t="shared" ca="1" si="4"/>
        <v>Strength</v>
      </c>
      <c r="B251" s="18"/>
      <c r="C251" s="20" t="s">
        <v>1047</v>
      </c>
      <c r="D251" s="20" t="s">
        <v>1048</v>
      </c>
      <c r="E251" s="20" t="s">
        <v>1007</v>
      </c>
      <c r="F251" s="885" t="s">
        <v>1052</v>
      </c>
    </row>
    <row r="252" spans="1:6" x14ac:dyDescent="0.3">
      <c r="A252" s="39" t="str">
        <f t="shared" ca="1" si="4"/>
        <v>Weaknesses</v>
      </c>
      <c r="B252" s="18"/>
      <c r="C252" s="23" t="s">
        <v>1050</v>
      </c>
      <c r="D252" s="23" t="s">
        <v>1049</v>
      </c>
      <c r="E252" s="23" t="s">
        <v>1008</v>
      </c>
      <c r="F252" s="32" t="s">
        <v>1053</v>
      </c>
    </row>
    <row r="253" spans="1:6" x14ac:dyDescent="0.3">
      <c r="A253" s="39" t="str">
        <f t="shared" ca="1" si="4"/>
        <v>Opportunities</v>
      </c>
      <c r="B253" s="18"/>
      <c r="C253" s="23" t="s">
        <v>1051</v>
      </c>
      <c r="D253" s="23" t="s">
        <v>1054</v>
      </c>
      <c r="E253" s="23" t="s">
        <v>577</v>
      </c>
      <c r="F253" s="32" t="s">
        <v>373</v>
      </c>
    </row>
    <row r="254" spans="1:6" x14ac:dyDescent="0.3">
      <c r="A254" s="40" t="str">
        <f t="shared" ca="1" si="4"/>
        <v>Threats</v>
      </c>
      <c r="B254" s="18"/>
      <c r="C254" s="31" t="s">
        <v>1056</v>
      </c>
      <c r="D254" s="31" t="s">
        <v>1055</v>
      </c>
      <c r="E254" s="31" t="s">
        <v>1009</v>
      </c>
      <c r="F254" s="886" t="s">
        <v>1010</v>
      </c>
    </row>
    <row r="255" spans="1:6" s="30" customFormat="1" x14ac:dyDescent="0.3">
      <c r="A255" s="36" t="str">
        <f t="shared" ca="1" si="4"/>
        <v>R I S K   A N A L Y S I S</v>
      </c>
      <c r="B255" s="27"/>
      <c r="C255" s="36" t="s">
        <v>281</v>
      </c>
      <c r="D255" s="36" t="s">
        <v>280</v>
      </c>
      <c r="E255" s="36" t="s">
        <v>578</v>
      </c>
      <c r="F255" s="884" t="s">
        <v>368</v>
      </c>
    </row>
    <row r="256" spans="1:6" x14ac:dyDescent="0.3">
      <c r="A256" s="37" t="str">
        <f t="shared" ca="1" si="4"/>
        <v>Probability of occurrence</v>
      </c>
      <c r="B256" s="18"/>
      <c r="C256" s="20" t="s">
        <v>229</v>
      </c>
      <c r="D256" s="20" t="s">
        <v>230</v>
      </c>
      <c r="E256" s="20" t="s">
        <v>609</v>
      </c>
      <c r="F256" s="885" t="s">
        <v>369</v>
      </c>
    </row>
    <row r="257" spans="1:6" x14ac:dyDescent="0.3">
      <c r="A257" s="39" t="str">
        <f t="shared" ca="1" si="4"/>
        <v>High</v>
      </c>
      <c r="B257" s="18"/>
      <c r="C257" s="23" t="s">
        <v>231</v>
      </c>
      <c r="D257" s="23" t="s">
        <v>232</v>
      </c>
      <c r="E257" s="23" t="s">
        <v>579</v>
      </c>
      <c r="F257" s="32" t="s">
        <v>370</v>
      </c>
    </row>
    <row r="258" spans="1:6" x14ac:dyDescent="0.3">
      <c r="A258" s="39" t="str">
        <f t="shared" ca="1" si="4"/>
        <v>Medium</v>
      </c>
      <c r="B258" s="18"/>
      <c r="C258" s="23" t="s">
        <v>233</v>
      </c>
      <c r="D258" s="23" t="s">
        <v>234</v>
      </c>
      <c r="E258" s="23" t="s">
        <v>580</v>
      </c>
      <c r="F258" s="32" t="s">
        <v>371</v>
      </c>
    </row>
    <row r="259" spans="1:6" x14ac:dyDescent="0.3">
      <c r="A259" s="39" t="str">
        <f t="shared" ca="1" si="4"/>
        <v>Low</v>
      </c>
      <c r="B259" s="18"/>
      <c r="C259" s="23" t="s">
        <v>235</v>
      </c>
      <c r="D259" s="23" t="s">
        <v>236</v>
      </c>
      <c r="E259" s="23" t="s">
        <v>581</v>
      </c>
      <c r="F259" s="32" t="s">
        <v>372</v>
      </c>
    </row>
    <row r="260" spans="1:6" x14ac:dyDescent="0.3">
      <c r="A260" s="39" t="str">
        <f t="shared" ca="1" si="4"/>
        <v>Extent of damage</v>
      </c>
      <c r="B260" s="18"/>
      <c r="C260" s="23" t="s">
        <v>237</v>
      </c>
      <c r="D260" s="23" t="s">
        <v>238</v>
      </c>
      <c r="E260" s="23" t="s">
        <v>582</v>
      </c>
      <c r="F260" s="32" t="s">
        <v>374</v>
      </c>
    </row>
    <row r="261" spans="1:6" x14ac:dyDescent="0.3">
      <c r="A261" s="39" t="str">
        <f t="shared" ca="1" si="4"/>
        <v>No need for action</v>
      </c>
      <c r="B261" s="18"/>
      <c r="C261" s="23" t="s">
        <v>239</v>
      </c>
      <c r="D261" s="23" t="s">
        <v>240</v>
      </c>
      <c r="E261" s="23" t="s">
        <v>583</v>
      </c>
      <c r="F261" s="32" t="s">
        <v>375</v>
      </c>
    </row>
    <row r="262" spans="1:6" x14ac:dyDescent="0.3">
      <c r="A262" s="39" t="str">
        <f t="shared" ca="1" si="4"/>
        <v>Need for action</v>
      </c>
      <c r="B262" s="18"/>
      <c r="C262" s="23" t="s">
        <v>241</v>
      </c>
      <c r="D262" s="23" t="s">
        <v>242</v>
      </c>
      <c r="E262" s="23" t="s">
        <v>584</v>
      </c>
      <c r="F262" s="32" t="s">
        <v>376</v>
      </c>
    </row>
    <row r="263" spans="1:6" x14ac:dyDescent="0.3">
      <c r="A263" s="39" t="str">
        <f t="shared" ca="1" si="4"/>
        <v>Urgent need for action</v>
      </c>
      <c r="B263" s="18"/>
      <c r="C263" s="23" t="s">
        <v>243</v>
      </c>
      <c r="D263" s="23" t="s">
        <v>244</v>
      </c>
      <c r="E263" s="23" t="s">
        <v>585</v>
      </c>
      <c r="F263" s="32" t="s">
        <v>377</v>
      </c>
    </row>
    <row r="264" spans="1:6" x14ac:dyDescent="0.3">
      <c r="A264" s="39" t="str">
        <f t="shared" ca="1" si="4"/>
        <v>No.</v>
      </c>
      <c r="B264" s="18"/>
      <c r="C264" s="23" t="s">
        <v>245</v>
      </c>
      <c r="D264" s="23" t="s">
        <v>246</v>
      </c>
      <c r="E264" s="23" t="s">
        <v>246</v>
      </c>
      <c r="F264" s="32" t="s">
        <v>378</v>
      </c>
    </row>
    <row r="265" spans="1:6" x14ac:dyDescent="0.3">
      <c r="A265" s="39" t="str">
        <f t="shared" ca="1" si="4"/>
        <v>Risk</v>
      </c>
      <c r="B265" s="18"/>
      <c r="C265" s="23" t="s">
        <v>247</v>
      </c>
      <c r="D265" s="23" t="s">
        <v>248</v>
      </c>
      <c r="E265" s="23" t="s">
        <v>586</v>
      </c>
      <c r="F265" s="32" t="s">
        <v>379</v>
      </c>
    </row>
    <row r="266" spans="1:6" x14ac:dyDescent="0.3">
      <c r="A266" s="39" t="str">
        <f t="shared" ca="1" si="4"/>
        <v>Consequences</v>
      </c>
      <c r="B266" s="18"/>
      <c r="C266" s="23" t="s">
        <v>249</v>
      </c>
      <c r="D266" s="23" t="s">
        <v>250</v>
      </c>
      <c r="E266" s="23" t="s">
        <v>587</v>
      </c>
      <c r="F266" s="32" t="s">
        <v>380</v>
      </c>
    </row>
    <row r="267" spans="1:6" x14ac:dyDescent="0.3">
      <c r="A267" s="39" t="str">
        <f t="shared" ca="1" si="4"/>
        <v>Probability of occurrence</v>
      </c>
      <c r="B267" s="18"/>
      <c r="C267" s="23" t="s">
        <v>251</v>
      </c>
      <c r="D267" s="23" t="s">
        <v>230</v>
      </c>
      <c r="E267" s="23" t="s">
        <v>609</v>
      </c>
      <c r="F267" s="32" t="s">
        <v>369</v>
      </c>
    </row>
    <row r="268" spans="1:6" x14ac:dyDescent="0.3">
      <c r="A268" s="39" t="str">
        <f t="shared" ca="1" si="4"/>
        <v>Extent of damage</v>
      </c>
      <c r="B268" s="18"/>
      <c r="C268" s="23" t="s">
        <v>252</v>
      </c>
      <c r="D268" s="23" t="s">
        <v>253</v>
      </c>
      <c r="E268" s="23" t="s">
        <v>582</v>
      </c>
      <c r="F268" s="32" t="s">
        <v>374</v>
      </c>
    </row>
    <row r="269" spans="1:6" ht="27.6" x14ac:dyDescent="0.3">
      <c r="A269" s="39" t="str">
        <f t="shared" ca="1" si="4"/>
        <v>Ten-dency</v>
      </c>
      <c r="B269" s="18"/>
      <c r="C269" s="23" t="s">
        <v>254</v>
      </c>
      <c r="D269" s="23" t="s">
        <v>255</v>
      </c>
      <c r="E269" s="23" t="s">
        <v>612</v>
      </c>
      <c r="F269" s="32" t="s">
        <v>383</v>
      </c>
    </row>
    <row r="270" spans="1:6" x14ac:dyDescent="0.3">
      <c r="A270" s="39" t="str">
        <f t="shared" ca="1" si="4"/>
        <v>Possible measures</v>
      </c>
      <c r="B270" s="18"/>
      <c r="C270" s="23" t="s">
        <v>256</v>
      </c>
      <c r="D270" s="23" t="s">
        <v>257</v>
      </c>
      <c r="E270" s="23" t="s">
        <v>588</v>
      </c>
      <c r="F270" s="32" t="s">
        <v>381</v>
      </c>
    </row>
    <row r="271" spans="1:6" x14ac:dyDescent="0.3">
      <c r="A271" s="39" t="str">
        <f t="shared" ca="1" si="4"/>
        <v>Status</v>
      </c>
      <c r="B271" s="18"/>
      <c r="C271" s="23" t="s">
        <v>258</v>
      </c>
      <c r="D271" s="23" t="s">
        <v>259</v>
      </c>
      <c r="E271" s="23" t="s">
        <v>258</v>
      </c>
      <c r="F271" s="32" t="s">
        <v>258</v>
      </c>
    </row>
    <row r="272" spans="1:6" x14ac:dyDescent="0.3">
      <c r="A272" s="40" t="str">
        <f t="shared" ca="1" si="4"/>
        <v>Extent of consequences</v>
      </c>
      <c r="B272" s="18"/>
      <c r="C272" s="31" t="s">
        <v>260</v>
      </c>
      <c r="D272" s="31" t="s">
        <v>261</v>
      </c>
      <c r="E272" s="31" t="s">
        <v>589</v>
      </c>
      <c r="F272" s="886" t="s">
        <v>382</v>
      </c>
    </row>
    <row r="273" spans="1:6" s="30" customFormat="1" x14ac:dyDescent="0.3">
      <c r="A273" s="36" t="str">
        <f t="shared" ca="1" si="4"/>
        <v>F E A S I B I L I T Y</v>
      </c>
      <c r="B273" s="27"/>
      <c r="C273" s="36" t="s">
        <v>1270</v>
      </c>
      <c r="D273" s="36" t="s">
        <v>1271</v>
      </c>
      <c r="E273" s="36" t="s">
        <v>1272</v>
      </c>
      <c r="F273" s="884" t="s">
        <v>1273</v>
      </c>
    </row>
    <row r="274" spans="1:6" x14ac:dyDescent="0.3">
      <c r="A274" s="37" t="str">
        <f t="shared" ref="A274:A329" ca="1" si="5">OFFSET($C274,0,$B$4-1)</f>
        <v>Organizational feasibility</v>
      </c>
      <c r="B274" s="38"/>
      <c r="C274" s="41" t="s">
        <v>265</v>
      </c>
      <c r="D274" s="19" t="s">
        <v>267</v>
      </c>
      <c r="E274" s="19" t="s">
        <v>610</v>
      </c>
      <c r="F274" s="880" t="s">
        <v>384</v>
      </c>
    </row>
    <row r="275" spans="1:6" x14ac:dyDescent="0.3">
      <c r="A275" s="39" t="str">
        <f t="shared" ca="1" si="5"/>
        <v>Economic feasibility</v>
      </c>
      <c r="B275" s="38"/>
      <c r="C275" s="22" t="s">
        <v>263</v>
      </c>
      <c r="D275" s="22" t="s">
        <v>268</v>
      </c>
      <c r="E275" s="22" t="s">
        <v>590</v>
      </c>
      <c r="F275" s="875" t="s">
        <v>385</v>
      </c>
    </row>
    <row r="276" spans="1:6" x14ac:dyDescent="0.3">
      <c r="A276" s="39" t="str">
        <f t="shared" ca="1" si="5"/>
        <v>Technical feasibility</v>
      </c>
      <c r="B276" s="38"/>
      <c r="C276" s="22" t="s">
        <v>262</v>
      </c>
      <c r="D276" s="22" t="s">
        <v>269</v>
      </c>
      <c r="E276" s="22" t="s">
        <v>591</v>
      </c>
      <c r="F276" s="875" t="s">
        <v>386</v>
      </c>
    </row>
    <row r="277" spans="1:6" x14ac:dyDescent="0.3">
      <c r="A277" s="39" t="str">
        <f t="shared" ca="1" si="5"/>
        <v>Resources and time</v>
      </c>
      <c r="B277" s="38"/>
      <c r="C277" s="22" t="s">
        <v>264</v>
      </c>
      <c r="D277" s="22" t="s">
        <v>270</v>
      </c>
      <c r="E277" s="22" t="s">
        <v>592</v>
      </c>
      <c r="F277" s="875" t="s">
        <v>387</v>
      </c>
    </row>
    <row r="278" spans="1:6" x14ac:dyDescent="0.3">
      <c r="A278" s="39" t="str">
        <f t="shared" ca="1" si="5"/>
        <v>Legal feasibility</v>
      </c>
      <c r="B278" s="38"/>
      <c r="C278" s="22" t="s">
        <v>266</v>
      </c>
      <c r="D278" s="22" t="s">
        <v>271</v>
      </c>
      <c r="E278" s="22" t="s">
        <v>593</v>
      </c>
      <c r="F278" s="875" t="s">
        <v>388</v>
      </c>
    </row>
    <row r="279" spans="1:6" x14ac:dyDescent="0.3">
      <c r="A279" s="39" t="str">
        <f t="shared" ca="1" si="5"/>
        <v>No.</v>
      </c>
      <c r="B279" s="18"/>
      <c r="C279" s="23" t="s">
        <v>245</v>
      </c>
      <c r="D279" s="23" t="s">
        <v>246</v>
      </c>
      <c r="E279" s="23" t="s">
        <v>246</v>
      </c>
      <c r="F279" s="32" t="s">
        <v>378</v>
      </c>
    </row>
    <row r="280" spans="1:6" x14ac:dyDescent="0.3">
      <c r="A280" s="39" t="str">
        <f t="shared" ca="1" si="5"/>
        <v>Title</v>
      </c>
      <c r="B280" s="18"/>
      <c r="C280" s="23" t="s">
        <v>272</v>
      </c>
      <c r="D280" s="23" t="s">
        <v>273</v>
      </c>
      <c r="E280" s="23" t="s">
        <v>567</v>
      </c>
      <c r="F280" s="32" t="s">
        <v>389</v>
      </c>
    </row>
    <row r="281" spans="1:6" x14ac:dyDescent="0.3">
      <c r="A281" s="39" t="str">
        <f t="shared" ca="1" si="5"/>
        <v>Consequences</v>
      </c>
      <c r="B281" s="18"/>
      <c r="C281" s="23" t="s">
        <v>249</v>
      </c>
      <c r="D281" s="23" t="s">
        <v>250</v>
      </c>
      <c r="E281" s="23" t="s">
        <v>587</v>
      </c>
      <c r="F281" s="32" t="s">
        <v>380</v>
      </c>
    </row>
    <row r="282" spans="1:6" x14ac:dyDescent="0.3">
      <c r="A282" s="39" t="str">
        <f t="shared" ca="1" si="5"/>
        <v>Degree of danger</v>
      </c>
      <c r="B282" s="18"/>
      <c r="C282" s="23" t="s">
        <v>274</v>
      </c>
      <c r="D282" s="23" t="s">
        <v>275</v>
      </c>
      <c r="E282" s="23" t="s">
        <v>611</v>
      </c>
      <c r="F282" s="32" t="s">
        <v>390</v>
      </c>
    </row>
    <row r="283" spans="1:6" x14ac:dyDescent="0.3">
      <c r="A283" s="39" t="str">
        <f t="shared" ca="1" si="5"/>
        <v>Influence on the project</v>
      </c>
      <c r="B283" s="18"/>
      <c r="C283" s="23" t="s">
        <v>279</v>
      </c>
      <c r="D283" s="23" t="s">
        <v>278</v>
      </c>
      <c r="E283" s="23" t="s">
        <v>594</v>
      </c>
      <c r="F283" s="32" t="s">
        <v>391</v>
      </c>
    </row>
    <row r="284" spans="1:6" ht="27.6" x14ac:dyDescent="0.3">
      <c r="A284" s="39" t="str">
        <f t="shared" ca="1" si="5"/>
        <v>Ten-dency</v>
      </c>
      <c r="B284" s="18"/>
      <c r="C284" s="23" t="s">
        <v>254</v>
      </c>
      <c r="D284" s="23" t="s">
        <v>255</v>
      </c>
      <c r="E284" s="23" t="s">
        <v>612</v>
      </c>
      <c r="F284" s="32" t="s">
        <v>383</v>
      </c>
    </row>
    <row r="285" spans="1:6" x14ac:dyDescent="0.3">
      <c r="A285" s="39" t="str">
        <f t="shared" ca="1" si="5"/>
        <v>Possible measures</v>
      </c>
      <c r="B285" s="18"/>
      <c r="C285" s="23" t="s">
        <v>256</v>
      </c>
      <c r="D285" s="23" t="s">
        <v>257</v>
      </c>
      <c r="E285" s="23" t="s">
        <v>588</v>
      </c>
      <c r="F285" s="32" t="s">
        <v>381</v>
      </c>
    </row>
    <row r="286" spans="1:6" x14ac:dyDescent="0.3">
      <c r="A286" s="39" t="str">
        <f t="shared" ca="1" si="5"/>
        <v>Status</v>
      </c>
      <c r="B286" s="18"/>
      <c r="C286" s="23" t="s">
        <v>258</v>
      </c>
      <c r="D286" s="23" t="s">
        <v>259</v>
      </c>
      <c r="E286" s="23" t="s">
        <v>258</v>
      </c>
      <c r="F286" s="32" t="s">
        <v>258</v>
      </c>
    </row>
    <row r="287" spans="1:6" x14ac:dyDescent="0.3">
      <c r="A287" s="39" t="str">
        <f t="shared" ca="1" si="5"/>
        <v>Average</v>
      </c>
      <c r="B287" s="18"/>
      <c r="C287" s="23" t="s">
        <v>276</v>
      </c>
      <c r="D287" s="23" t="s">
        <v>277</v>
      </c>
      <c r="E287" s="23" t="s">
        <v>595</v>
      </c>
      <c r="F287" s="32" t="s">
        <v>371</v>
      </c>
    </row>
    <row r="288" spans="1:6" x14ac:dyDescent="0.3">
      <c r="A288" s="24" t="str">
        <f t="shared" ca="1" si="5"/>
        <v>Sum</v>
      </c>
      <c r="B288" s="18"/>
      <c r="C288" s="42" t="s">
        <v>1101</v>
      </c>
      <c r="D288" s="42" t="s">
        <v>1102</v>
      </c>
      <c r="E288" s="42" t="s">
        <v>1103</v>
      </c>
      <c r="F288" s="887" t="s">
        <v>1104</v>
      </c>
    </row>
    <row r="289" spans="1:6" x14ac:dyDescent="0.3">
      <c r="A289" s="24" t="str">
        <f t="shared" ca="1" si="5"/>
        <v>Feasibility</v>
      </c>
      <c r="B289" s="18"/>
      <c r="C289" s="42" t="s">
        <v>620</v>
      </c>
      <c r="D289" s="42" t="s">
        <v>621</v>
      </c>
      <c r="E289" s="42" t="s">
        <v>622</v>
      </c>
      <c r="F289" s="887" t="s">
        <v>623</v>
      </c>
    </row>
    <row r="290" spans="1:6" s="29" customFormat="1" x14ac:dyDescent="0.3">
      <c r="A290" s="36" t="str">
        <f t="shared" ca="1" si="5"/>
        <v>P R O J E C T    C O N T R O L L I N G</v>
      </c>
      <c r="B290" s="43"/>
      <c r="C290" s="36" t="s">
        <v>689</v>
      </c>
      <c r="D290" s="36" t="s">
        <v>636</v>
      </c>
      <c r="E290" s="36" t="s">
        <v>690</v>
      </c>
      <c r="F290" s="884" t="s">
        <v>695</v>
      </c>
    </row>
    <row r="291" spans="1:6" x14ac:dyDescent="0.3">
      <c r="A291" s="37" t="str">
        <f t="shared" ca="1" si="5"/>
        <v>No.</v>
      </c>
      <c r="B291" s="38"/>
      <c r="C291" s="20" t="s">
        <v>245</v>
      </c>
      <c r="D291" s="20" t="s">
        <v>246</v>
      </c>
      <c r="E291" s="20" t="s">
        <v>246</v>
      </c>
      <c r="F291" s="885" t="s">
        <v>378</v>
      </c>
    </row>
    <row r="292" spans="1:6" x14ac:dyDescent="0.3">
      <c r="A292" s="39" t="str">
        <f t="shared" ca="1" si="5"/>
        <v>Projects</v>
      </c>
      <c r="B292" s="38"/>
      <c r="C292" s="22" t="s">
        <v>691</v>
      </c>
      <c r="D292" s="22" t="s">
        <v>637</v>
      </c>
      <c r="E292" s="22" t="s">
        <v>692</v>
      </c>
      <c r="F292" s="875" t="s">
        <v>694</v>
      </c>
    </row>
    <row r="293" spans="1:6" x14ac:dyDescent="0.3">
      <c r="A293" s="39" t="str">
        <f t="shared" ca="1" si="5"/>
        <v>Start</v>
      </c>
      <c r="B293" s="38"/>
      <c r="C293" s="23" t="s">
        <v>63</v>
      </c>
      <c r="D293" s="23" t="s">
        <v>95</v>
      </c>
      <c r="E293" s="23" t="s">
        <v>536</v>
      </c>
      <c r="F293" s="32" t="s">
        <v>448</v>
      </c>
    </row>
    <row r="294" spans="1:6" x14ac:dyDescent="0.3">
      <c r="A294" s="39" t="str">
        <f t="shared" ca="1" si="5"/>
        <v>Finish</v>
      </c>
      <c r="B294" s="38"/>
      <c r="C294" s="23" t="s">
        <v>64</v>
      </c>
      <c r="D294" s="23" t="s">
        <v>96</v>
      </c>
      <c r="E294" s="23" t="s">
        <v>537</v>
      </c>
      <c r="F294" s="32" t="s">
        <v>449</v>
      </c>
    </row>
    <row r="295" spans="1:6" x14ac:dyDescent="0.3">
      <c r="A295" s="39" t="str">
        <f t="shared" ca="1" si="5"/>
        <v>Who?</v>
      </c>
      <c r="B295" s="38"/>
      <c r="C295" s="23" t="s">
        <v>20</v>
      </c>
      <c r="D295" s="23" t="s">
        <v>693</v>
      </c>
      <c r="E295" s="23" t="s">
        <v>526</v>
      </c>
      <c r="F295" s="32" t="s">
        <v>436</v>
      </c>
    </row>
    <row r="296" spans="1:6" x14ac:dyDescent="0.3">
      <c r="A296" s="40" t="str">
        <f t="shared" ca="1" si="5"/>
        <v>Remarks</v>
      </c>
      <c r="B296" s="38"/>
      <c r="C296" s="25" t="s">
        <v>22</v>
      </c>
      <c r="D296" s="25" t="s">
        <v>101</v>
      </c>
      <c r="E296" s="25" t="s">
        <v>551</v>
      </c>
      <c r="F296" s="881" t="s">
        <v>463</v>
      </c>
    </row>
    <row r="297" spans="1:6" s="29" customFormat="1" x14ac:dyDescent="0.3">
      <c r="A297" s="28" t="str">
        <f t="shared" ca="1" si="5"/>
        <v>Calendar</v>
      </c>
      <c r="B297" s="27"/>
      <c r="C297" s="44" t="s">
        <v>708</v>
      </c>
      <c r="D297" s="45" t="s">
        <v>729</v>
      </c>
      <c r="E297" s="45" t="s">
        <v>710</v>
      </c>
      <c r="F297" s="888" t="s">
        <v>709</v>
      </c>
    </row>
    <row r="298" spans="1:6" x14ac:dyDescent="0.3">
      <c r="A298" s="37" t="str">
        <f t="shared" ca="1" si="5"/>
        <v>Su</v>
      </c>
      <c r="B298" s="46"/>
      <c r="C298" s="19" t="s">
        <v>719</v>
      </c>
      <c r="D298" s="19" t="s">
        <v>714</v>
      </c>
      <c r="E298" s="19" t="s">
        <v>724</v>
      </c>
      <c r="F298" s="880" t="s">
        <v>722</v>
      </c>
    </row>
    <row r="299" spans="1:6" x14ac:dyDescent="0.3">
      <c r="A299" s="47" t="str">
        <f t="shared" ca="1" si="5"/>
        <v>Mo</v>
      </c>
      <c r="B299" s="46"/>
      <c r="C299" s="5" t="s">
        <v>720</v>
      </c>
      <c r="D299" s="5" t="s">
        <v>712</v>
      </c>
      <c r="E299" s="5" t="s">
        <v>720</v>
      </c>
      <c r="F299" s="875" t="s">
        <v>712</v>
      </c>
    </row>
    <row r="300" spans="1:6" x14ac:dyDescent="0.3">
      <c r="A300" s="47" t="str">
        <f t="shared" ca="1" si="5"/>
        <v>Tu</v>
      </c>
      <c r="B300" s="46"/>
      <c r="C300" s="5" t="s">
        <v>714</v>
      </c>
      <c r="D300" s="5" t="s">
        <v>713</v>
      </c>
      <c r="E300" s="5" t="s">
        <v>725</v>
      </c>
      <c r="F300" s="875" t="s">
        <v>713</v>
      </c>
    </row>
    <row r="301" spans="1:6" x14ac:dyDescent="0.3">
      <c r="A301" s="47" t="str">
        <f t="shared" ca="1" si="5"/>
        <v>We</v>
      </c>
      <c r="B301" s="46"/>
      <c r="C301" s="5" t="s">
        <v>721</v>
      </c>
      <c r="D301" s="5" t="s">
        <v>715</v>
      </c>
      <c r="E301" s="5" t="s">
        <v>726</v>
      </c>
      <c r="F301" s="875" t="s">
        <v>715</v>
      </c>
    </row>
    <row r="302" spans="1:6" x14ac:dyDescent="0.3">
      <c r="A302" s="47" t="str">
        <f t="shared" ca="1" si="5"/>
        <v>Th</v>
      </c>
      <c r="B302" s="46"/>
      <c r="C302" s="5" t="s">
        <v>722</v>
      </c>
      <c r="D302" s="5" t="s">
        <v>718</v>
      </c>
      <c r="E302" s="5" t="s">
        <v>727</v>
      </c>
      <c r="F302" s="875" t="s">
        <v>728</v>
      </c>
    </row>
    <row r="303" spans="1:6" x14ac:dyDescent="0.3">
      <c r="A303" s="47" t="str">
        <f t="shared" ca="1" si="5"/>
        <v>Fr</v>
      </c>
      <c r="B303" s="46"/>
      <c r="C303" s="5" t="s">
        <v>723</v>
      </c>
      <c r="D303" s="5" t="s">
        <v>716</v>
      </c>
      <c r="E303" s="5" t="s">
        <v>723</v>
      </c>
      <c r="F303" s="875" t="s">
        <v>716</v>
      </c>
    </row>
    <row r="304" spans="1:6" x14ac:dyDescent="0.3">
      <c r="A304" s="47" t="str">
        <f t="shared" ca="1" si="5"/>
        <v>Sa</v>
      </c>
      <c r="B304" s="46"/>
      <c r="C304" s="5" t="s">
        <v>717</v>
      </c>
      <c r="D304" s="5" t="s">
        <v>717</v>
      </c>
      <c r="E304" s="5" t="s">
        <v>717</v>
      </c>
      <c r="F304" s="875" t="s">
        <v>717</v>
      </c>
    </row>
    <row r="305" spans="1:6" s="815" customFormat="1" ht="14.4" x14ac:dyDescent="0.3">
      <c r="A305" s="48" t="str">
        <f t="shared" ca="1" si="5"/>
        <v>C O M M U N I C A T I O N</v>
      </c>
      <c r="B305" s="49"/>
      <c r="C305" s="50" t="s">
        <v>745</v>
      </c>
      <c r="D305" s="51" t="s">
        <v>746</v>
      </c>
      <c r="E305" s="51" t="s">
        <v>746</v>
      </c>
      <c r="F305" s="889" t="s">
        <v>1197</v>
      </c>
    </row>
    <row r="306" spans="1:6" s="815" customFormat="1" ht="14.4" x14ac:dyDescent="0.3">
      <c r="A306" s="52" t="str">
        <f t="shared" ca="1" si="5"/>
        <v>Goals</v>
      </c>
      <c r="B306" s="53"/>
      <c r="C306" s="55" t="s">
        <v>1198</v>
      </c>
      <c r="D306" s="55" t="s">
        <v>1199</v>
      </c>
      <c r="E306" s="55" t="s">
        <v>1200</v>
      </c>
      <c r="F306" s="882" t="s">
        <v>1201</v>
      </c>
    </row>
    <row r="307" spans="1:6" s="815" customFormat="1" ht="14.4" x14ac:dyDescent="0.3">
      <c r="A307" s="54" t="str">
        <f t="shared" ca="1" si="5"/>
        <v>Periodicity</v>
      </c>
      <c r="B307" s="53"/>
      <c r="C307" s="55" t="s">
        <v>1202</v>
      </c>
      <c r="D307" s="55" t="s">
        <v>1203</v>
      </c>
      <c r="E307" s="55" t="s">
        <v>1204</v>
      </c>
      <c r="F307" s="882" t="s">
        <v>1205</v>
      </c>
    </row>
    <row r="308" spans="1:6" s="815" customFormat="1" ht="14.4" x14ac:dyDescent="0.3">
      <c r="A308" s="54" t="str">
        <f t="shared" ca="1" si="5"/>
        <v>Internet</v>
      </c>
      <c r="B308" s="53"/>
      <c r="C308" s="55" t="s">
        <v>747</v>
      </c>
      <c r="D308" s="55" t="s">
        <v>747</v>
      </c>
      <c r="E308" s="55" t="s">
        <v>747</v>
      </c>
      <c r="F308" s="882" t="s">
        <v>1206</v>
      </c>
    </row>
    <row r="309" spans="1:6" s="815" customFormat="1" ht="14.4" x14ac:dyDescent="0.3">
      <c r="A309" s="54" t="str">
        <f t="shared" ca="1" si="5"/>
        <v>Social Media</v>
      </c>
      <c r="B309" s="53"/>
      <c r="C309" s="55" t="s">
        <v>748</v>
      </c>
      <c r="D309" s="55" t="s">
        <v>748</v>
      </c>
      <c r="E309" s="55" t="s">
        <v>749</v>
      </c>
      <c r="F309" s="882" t="s">
        <v>1207</v>
      </c>
    </row>
    <row r="310" spans="1:6" s="815" customFormat="1" ht="14.4" x14ac:dyDescent="0.3">
      <c r="A310" s="54" t="str">
        <f t="shared" ca="1" si="5"/>
        <v>Public relations</v>
      </c>
      <c r="B310" s="53"/>
      <c r="C310" s="55" t="s">
        <v>750</v>
      </c>
      <c r="D310" s="55" t="s">
        <v>751</v>
      </c>
      <c r="E310" s="55" t="s">
        <v>752</v>
      </c>
      <c r="F310" s="882" t="s">
        <v>1208</v>
      </c>
    </row>
    <row r="311" spans="1:6" s="815" customFormat="1" ht="14.4" x14ac:dyDescent="0.3">
      <c r="A311" s="54" t="str">
        <f t="shared" ca="1" si="5"/>
        <v>Diverse</v>
      </c>
      <c r="B311" s="53"/>
      <c r="C311" s="55" t="s">
        <v>753</v>
      </c>
      <c r="D311" s="55" t="s">
        <v>282</v>
      </c>
      <c r="E311" s="55" t="s">
        <v>539</v>
      </c>
      <c r="F311" s="882" t="s">
        <v>1209</v>
      </c>
    </row>
    <row r="312" spans="1:6" s="815" customFormat="1" ht="14.4" x14ac:dyDescent="0.3">
      <c r="A312" s="54" t="str">
        <f t="shared" ca="1" si="5"/>
        <v>Impact</v>
      </c>
      <c r="B312" s="53"/>
      <c r="C312" s="55" t="s">
        <v>250</v>
      </c>
      <c r="D312" s="55" t="s">
        <v>250</v>
      </c>
      <c r="E312" s="55" t="s">
        <v>250</v>
      </c>
      <c r="F312" s="882" t="s">
        <v>1210</v>
      </c>
    </row>
    <row r="313" spans="1:6" s="815" customFormat="1" ht="14.4" x14ac:dyDescent="0.3">
      <c r="A313" s="54" t="str">
        <f t="shared" ca="1" si="5"/>
        <v>No.</v>
      </c>
      <c r="B313" s="53"/>
      <c r="C313" s="53" t="s">
        <v>245</v>
      </c>
      <c r="D313" s="53" t="s">
        <v>246</v>
      </c>
      <c r="E313" s="53" t="s">
        <v>246</v>
      </c>
      <c r="F313" s="890" t="s">
        <v>1211</v>
      </c>
    </row>
    <row r="314" spans="1:6" s="815" customFormat="1" ht="14.4" x14ac:dyDescent="0.3">
      <c r="A314" s="54" t="str">
        <f t="shared" ca="1" si="5"/>
        <v>Target public</v>
      </c>
      <c r="B314" s="53"/>
      <c r="C314" s="53" t="s">
        <v>832</v>
      </c>
      <c r="D314" s="53" t="s">
        <v>833</v>
      </c>
      <c r="E314" s="53" t="s">
        <v>834</v>
      </c>
      <c r="F314" s="890" t="s">
        <v>1212</v>
      </c>
    </row>
    <row r="315" spans="1:6" s="815" customFormat="1" ht="14.4" x14ac:dyDescent="0.3">
      <c r="A315" s="54" t="str">
        <f t="shared" ca="1" si="5"/>
        <v>In %</v>
      </c>
      <c r="B315" s="53"/>
      <c r="C315" s="55" t="s">
        <v>32</v>
      </c>
      <c r="D315" s="55" t="s">
        <v>103</v>
      </c>
      <c r="E315" s="55" t="s">
        <v>454</v>
      </c>
      <c r="F315" s="882" t="s">
        <v>1213</v>
      </c>
    </row>
    <row r="316" spans="1:6" s="815" customFormat="1" ht="14.4" x14ac:dyDescent="0.3">
      <c r="A316" s="54" t="str">
        <f t="shared" ca="1" si="5"/>
        <v>Key Message</v>
      </c>
      <c r="B316" s="53"/>
      <c r="C316" s="55" t="s">
        <v>835</v>
      </c>
      <c r="D316" s="55" t="s">
        <v>836</v>
      </c>
      <c r="E316" s="55" t="s">
        <v>837</v>
      </c>
      <c r="F316" s="882" t="s">
        <v>1214</v>
      </c>
    </row>
    <row r="317" spans="1:6" s="815" customFormat="1" ht="14.4" x14ac:dyDescent="0.3">
      <c r="A317" s="54" t="str">
        <f t="shared" ca="1" si="5"/>
        <v>Indicators</v>
      </c>
      <c r="B317" s="53"/>
      <c r="C317" s="55" t="s">
        <v>838</v>
      </c>
      <c r="D317" s="55" t="s">
        <v>839</v>
      </c>
      <c r="E317" s="55" t="s">
        <v>840</v>
      </c>
      <c r="F317" s="882" t="s">
        <v>1215</v>
      </c>
    </row>
    <row r="318" spans="1:6" s="815" customFormat="1" ht="14.4" x14ac:dyDescent="0.3">
      <c r="A318" s="54" t="str">
        <f t="shared" ca="1" si="5"/>
        <v>Priority</v>
      </c>
      <c r="B318" s="53"/>
      <c r="C318" s="55" t="s">
        <v>754</v>
      </c>
      <c r="D318" s="55" t="s">
        <v>755</v>
      </c>
      <c r="E318" s="55" t="s">
        <v>756</v>
      </c>
      <c r="F318" s="882" t="s">
        <v>1216</v>
      </c>
    </row>
    <row r="319" spans="1:6" s="815" customFormat="1" ht="14.4" x14ac:dyDescent="0.3">
      <c r="A319" s="54" t="str">
        <f t="shared" ca="1" si="5"/>
        <v>Remarks</v>
      </c>
      <c r="B319" s="53"/>
      <c r="C319" s="55" t="s">
        <v>22</v>
      </c>
      <c r="D319" s="55" t="s">
        <v>111</v>
      </c>
      <c r="E319" s="55" t="s">
        <v>551</v>
      </c>
      <c r="F319" s="882" t="s">
        <v>1217</v>
      </c>
    </row>
    <row r="320" spans="1:6" s="815" customFormat="1" ht="14.4" x14ac:dyDescent="0.3">
      <c r="A320" s="816" t="str">
        <f t="shared" ca="1" si="5"/>
        <v>Who?</v>
      </c>
      <c r="B320" s="53"/>
      <c r="C320" s="817" t="s">
        <v>20</v>
      </c>
      <c r="D320" s="817" t="s">
        <v>693</v>
      </c>
      <c r="E320" s="817" t="s">
        <v>526</v>
      </c>
      <c r="F320" s="891" t="s">
        <v>1218</v>
      </c>
    </row>
    <row r="321" spans="1:92" s="815" customFormat="1" ht="14.4" x14ac:dyDescent="0.3">
      <c r="A321" s="816" t="str">
        <f t="shared" ca="1" si="5"/>
        <v>Channel</v>
      </c>
      <c r="B321" s="53"/>
      <c r="C321" s="817" t="s">
        <v>1219</v>
      </c>
      <c r="D321" s="817" t="s">
        <v>1220</v>
      </c>
      <c r="E321" s="817" t="s">
        <v>1221</v>
      </c>
      <c r="F321" s="891" t="s">
        <v>1222</v>
      </c>
    </row>
    <row r="322" spans="1:92" x14ac:dyDescent="0.3">
      <c r="A322" s="47" t="str">
        <f t="shared" ca="1" si="5"/>
        <v>Target</v>
      </c>
      <c r="B322" s="46"/>
      <c r="C322" s="56" t="s">
        <v>842</v>
      </c>
      <c r="D322" s="56" t="s">
        <v>843</v>
      </c>
      <c r="E322" s="56" t="s">
        <v>844</v>
      </c>
      <c r="F322" s="892" t="s">
        <v>868</v>
      </c>
    </row>
    <row r="323" spans="1:92" x14ac:dyDescent="0.3">
      <c r="A323" s="47" t="str">
        <f t="shared" ca="1" si="5"/>
        <v>achieved</v>
      </c>
      <c r="B323" s="46"/>
      <c r="C323" s="56" t="s">
        <v>845</v>
      </c>
      <c r="D323" s="56" t="s">
        <v>846</v>
      </c>
      <c r="E323" s="56" t="s">
        <v>847</v>
      </c>
      <c r="F323" s="892" t="s">
        <v>869</v>
      </c>
    </row>
    <row r="324" spans="1:92" x14ac:dyDescent="0.3">
      <c r="A324" s="47" t="str">
        <f t="shared" ca="1" si="5"/>
        <v>Mon</v>
      </c>
      <c r="B324" s="46"/>
      <c r="C324" s="5" t="s">
        <v>720</v>
      </c>
      <c r="D324" s="5" t="s">
        <v>764</v>
      </c>
      <c r="E324" s="5" t="s">
        <v>758</v>
      </c>
      <c r="F324" s="875" t="s">
        <v>712</v>
      </c>
    </row>
    <row r="325" spans="1:92" x14ac:dyDescent="0.3">
      <c r="A325" s="47" t="str">
        <f t="shared" ca="1" si="5"/>
        <v>Tue</v>
      </c>
      <c r="B325" s="46"/>
      <c r="C325" s="5" t="s">
        <v>714</v>
      </c>
      <c r="D325" s="5" t="s">
        <v>765</v>
      </c>
      <c r="E325" s="5" t="s">
        <v>759</v>
      </c>
      <c r="F325" s="875" t="s">
        <v>713</v>
      </c>
    </row>
    <row r="326" spans="1:92" x14ac:dyDescent="0.3">
      <c r="A326" s="47" t="str">
        <f t="shared" ca="1" si="5"/>
        <v>Wed</v>
      </c>
      <c r="B326" s="46"/>
      <c r="C326" s="5" t="s">
        <v>721</v>
      </c>
      <c r="D326" s="5" t="s">
        <v>766</v>
      </c>
      <c r="E326" s="5" t="s">
        <v>760</v>
      </c>
      <c r="F326" s="875" t="s">
        <v>715</v>
      </c>
    </row>
    <row r="327" spans="1:92" x14ac:dyDescent="0.3">
      <c r="A327" s="47" t="str">
        <f t="shared" ca="1" si="5"/>
        <v>Thu</v>
      </c>
      <c r="B327" s="46"/>
      <c r="C327" s="5" t="s">
        <v>722</v>
      </c>
      <c r="D327" s="5" t="s">
        <v>767</v>
      </c>
      <c r="E327" s="5" t="s">
        <v>761</v>
      </c>
      <c r="F327" s="875" t="s">
        <v>728</v>
      </c>
    </row>
    <row r="328" spans="1:92" x14ac:dyDescent="0.3">
      <c r="A328" s="47" t="str">
        <f t="shared" ca="1" si="5"/>
        <v>Fri</v>
      </c>
      <c r="B328" s="46"/>
      <c r="C328" s="5" t="s">
        <v>723</v>
      </c>
      <c r="D328" s="5" t="s">
        <v>768</v>
      </c>
      <c r="E328" s="5" t="s">
        <v>762</v>
      </c>
      <c r="F328" s="875" t="s">
        <v>716</v>
      </c>
    </row>
    <row r="329" spans="1:92" x14ac:dyDescent="0.3">
      <c r="A329" s="47" t="str">
        <f t="shared" ca="1" si="5"/>
        <v>Sat</v>
      </c>
      <c r="B329" s="46"/>
      <c r="C329" s="5" t="s">
        <v>717</v>
      </c>
      <c r="D329" s="5" t="s">
        <v>769</v>
      </c>
      <c r="E329" s="5" t="s">
        <v>763</v>
      </c>
      <c r="F329" s="875" t="s">
        <v>717</v>
      </c>
    </row>
    <row r="330" spans="1:92" x14ac:dyDescent="0.3">
      <c r="A330" s="48" t="str">
        <f t="shared" ref="A330:A367" ca="1" si="6">OFFSET($C330,0,$B$4-1)</f>
        <v>Overview Meetings</v>
      </c>
      <c r="B330" s="49"/>
      <c r="C330" s="50" t="s">
        <v>896</v>
      </c>
      <c r="D330" s="51" t="s">
        <v>897</v>
      </c>
      <c r="E330" s="51" t="s">
        <v>898</v>
      </c>
      <c r="F330" s="889" t="s">
        <v>899</v>
      </c>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6"/>
      <c r="BG330" s="6"/>
      <c r="BH330" s="6"/>
      <c r="BI330" s="6"/>
      <c r="BJ330" s="6"/>
      <c r="BK330" s="6"/>
      <c r="BL330" s="6"/>
      <c r="BM330" s="6"/>
      <c r="BN330" s="6"/>
      <c r="BO330" s="6"/>
      <c r="BP330" s="6"/>
      <c r="BQ330" s="6"/>
      <c r="BR330" s="6"/>
      <c r="BS330" s="6"/>
      <c r="BT330" s="6"/>
      <c r="BU330" s="6"/>
      <c r="BV330" s="6"/>
      <c r="BW330" s="6"/>
      <c r="BX330" s="6"/>
      <c r="BY330" s="6"/>
      <c r="BZ330" s="6"/>
      <c r="CA330" s="6"/>
      <c r="CB330" s="6"/>
      <c r="CC330" s="6"/>
      <c r="CD330" s="6"/>
      <c r="CE330" s="6"/>
      <c r="CF330" s="6"/>
      <c r="CG330" s="6"/>
      <c r="CH330" s="6"/>
      <c r="CI330" s="6"/>
      <c r="CJ330" s="6"/>
      <c r="CK330" s="6"/>
      <c r="CL330" s="6"/>
      <c r="CM330" s="6"/>
      <c r="CN330" s="6"/>
    </row>
    <row r="331" spans="1:92" x14ac:dyDescent="0.3">
      <c r="A331" s="47" t="str">
        <f t="shared" ca="1" si="6"/>
        <v>Date</v>
      </c>
      <c r="B331" s="46"/>
      <c r="C331" s="22" t="s">
        <v>23</v>
      </c>
      <c r="D331" s="22" t="s">
        <v>81</v>
      </c>
      <c r="E331" s="22" t="s">
        <v>81</v>
      </c>
      <c r="F331" s="875" t="s">
        <v>445</v>
      </c>
    </row>
    <row r="332" spans="1:92" x14ac:dyDescent="0.3">
      <c r="A332" s="47" t="str">
        <f t="shared" ca="1" si="6"/>
        <v>Links documents</v>
      </c>
      <c r="B332" s="46"/>
      <c r="C332" s="5" t="s">
        <v>888</v>
      </c>
      <c r="D332" s="5" t="s">
        <v>889</v>
      </c>
      <c r="E332" s="5" t="s">
        <v>890</v>
      </c>
      <c r="F332" s="875" t="s">
        <v>891</v>
      </c>
    </row>
    <row r="333" spans="1:92" x14ac:dyDescent="0.3">
      <c r="A333" s="47" t="str">
        <f t="shared" ca="1" si="6"/>
        <v>Important decisions / Remarks</v>
      </c>
      <c r="B333" s="46"/>
      <c r="C333" s="5" t="s">
        <v>892</v>
      </c>
      <c r="D333" s="5" t="s">
        <v>893</v>
      </c>
      <c r="E333" s="5" t="s">
        <v>894</v>
      </c>
      <c r="F333" s="875" t="s">
        <v>895</v>
      </c>
    </row>
    <row r="334" spans="1:92" x14ac:dyDescent="0.3">
      <c r="A334" s="48" t="str">
        <f t="shared" ca="1" si="6"/>
        <v>Protocol of modifications</v>
      </c>
      <c r="B334" s="49"/>
      <c r="C334" s="50" t="s">
        <v>904</v>
      </c>
      <c r="D334" s="51" t="s">
        <v>905</v>
      </c>
      <c r="E334" s="51" t="s">
        <v>906</v>
      </c>
      <c r="F334" s="889" t="s">
        <v>911</v>
      </c>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c r="CG334" s="6"/>
      <c r="CH334" s="6"/>
      <c r="CI334" s="6"/>
      <c r="CJ334" s="6"/>
      <c r="CK334" s="6"/>
      <c r="CL334" s="6"/>
      <c r="CM334" s="6"/>
      <c r="CN334" s="6"/>
    </row>
    <row r="335" spans="1:92" x14ac:dyDescent="0.3">
      <c r="A335" s="47" t="str">
        <f t="shared" ca="1" si="6"/>
        <v>Date</v>
      </c>
      <c r="B335" s="46"/>
      <c r="C335" s="5" t="s">
        <v>23</v>
      </c>
      <c r="D335" s="5" t="s">
        <v>81</v>
      </c>
      <c r="E335" s="5" t="s">
        <v>81</v>
      </c>
      <c r="F335" s="875" t="s">
        <v>445</v>
      </c>
    </row>
    <row r="336" spans="1:92" x14ac:dyDescent="0.3">
      <c r="A336" s="47" t="str">
        <f t="shared" ca="1" si="6"/>
        <v>Modifications</v>
      </c>
      <c r="B336" s="46"/>
      <c r="C336" s="5" t="s">
        <v>907</v>
      </c>
      <c r="D336" s="5" t="s">
        <v>908</v>
      </c>
      <c r="E336" s="5" t="s">
        <v>909</v>
      </c>
      <c r="F336" s="875" t="s">
        <v>910</v>
      </c>
    </row>
    <row r="337" spans="1:6" x14ac:dyDescent="0.3">
      <c r="A337" s="47" t="str">
        <f t="shared" ca="1" si="6"/>
        <v>Who?</v>
      </c>
      <c r="B337" s="46"/>
      <c r="C337" s="22" t="s">
        <v>20</v>
      </c>
      <c r="D337" s="22" t="s">
        <v>79</v>
      </c>
      <c r="E337" s="22" t="s">
        <v>526</v>
      </c>
      <c r="F337" s="875" t="s">
        <v>436</v>
      </c>
    </row>
    <row r="338" spans="1:6" x14ac:dyDescent="0.3">
      <c r="A338" s="47">
        <f t="shared" ca="1" si="6"/>
        <v>0</v>
      </c>
      <c r="B338" s="46"/>
      <c r="C338" s="5"/>
      <c r="D338" s="5"/>
      <c r="E338" s="5"/>
      <c r="F338" s="875"/>
    </row>
    <row r="339" spans="1:6" s="61" customFormat="1" ht="14.4" x14ac:dyDescent="0.3">
      <c r="A339" s="59" t="str">
        <f t="shared" ca="1" si="6"/>
        <v>S T A K E H O L D E R</v>
      </c>
      <c r="B339" s="60"/>
      <c r="C339" s="59" t="s">
        <v>987</v>
      </c>
      <c r="D339" s="59" t="s">
        <v>988</v>
      </c>
      <c r="E339" s="59" t="s">
        <v>987</v>
      </c>
      <c r="F339" s="893" t="s">
        <v>987</v>
      </c>
    </row>
    <row r="340" spans="1:6" s="65" customFormat="1" ht="14.4" x14ac:dyDescent="0.3">
      <c r="A340" s="62" t="str">
        <f t="shared" ca="1" si="6"/>
        <v>Wider environment</v>
      </c>
      <c r="B340" s="63"/>
      <c r="C340" s="64" t="s">
        <v>915</v>
      </c>
      <c r="D340" s="64" t="s">
        <v>916</v>
      </c>
      <c r="E340" s="64" t="s">
        <v>917</v>
      </c>
      <c r="F340" s="894" t="s">
        <v>918</v>
      </c>
    </row>
    <row r="341" spans="1:6" s="65" customFormat="1" ht="14.4" x14ac:dyDescent="0.3">
      <c r="A341" s="62" t="str">
        <f t="shared" ca="1" si="6"/>
        <v>Immediate environment</v>
      </c>
      <c r="B341" s="63"/>
      <c r="C341" s="64" t="s">
        <v>919</v>
      </c>
      <c r="D341" s="64" t="s">
        <v>920</v>
      </c>
      <c r="E341" s="64" t="s">
        <v>921</v>
      </c>
      <c r="F341" s="894" t="s">
        <v>922</v>
      </c>
    </row>
    <row r="342" spans="1:6" s="65" customFormat="1" ht="14.4" x14ac:dyDescent="0.3">
      <c r="A342" s="62" t="str">
        <f t="shared" ca="1" si="6"/>
        <v>Internal</v>
      </c>
      <c r="B342" s="63"/>
      <c r="C342" s="64" t="s">
        <v>770</v>
      </c>
      <c r="D342" s="64" t="s">
        <v>771</v>
      </c>
      <c r="E342" s="64" t="s">
        <v>923</v>
      </c>
      <c r="F342" s="894" t="s">
        <v>772</v>
      </c>
    </row>
    <row r="343" spans="1:6" s="65" customFormat="1" ht="14.4" x14ac:dyDescent="0.3">
      <c r="A343" s="62" t="str">
        <f t="shared" ca="1" si="6"/>
        <v>Us</v>
      </c>
      <c r="B343" s="63"/>
      <c r="C343" s="66" t="s">
        <v>924</v>
      </c>
      <c r="D343" s="66" t="s">
        <v>925</v>
      </c>
      <c r="E343" s="66" t="s">
        <v>926</v>
      </c>
      <c r="F343" s="883" t="s">
        <v>927</v>
      </c>
    </row>
    <row r="344" spans="1:6" s="65" customFormat="1" ht="14.4" x14ac:dyDescent="0.3">
      <c r="A344" s="62" t="str">
        <f t="shared" ca="1" si="6"/>
        <v>Frequent contacts</v>
      </c>
      <c r="B344" s="63"/>
      <c r="C344" s="64" t="s">
        <v>928</v>
      </c>
      <c r="D344" s="64" t="s">
        <v>929</v>
      </c>
      <c r="E344" s="64" t="s">
        <v>930</v>
      </c>
      <c r="F344" s="894" t="s">
        <v>931</v>
      </c>
    </row>
    <row r="345" spans="1:6" s="65" customFormat="1" ht="14.4" x14ac:dyDescent="0.3">
      <c r="A345" s="62" t="str">
        <f t="shared" ca="1" si="6"/>
        <v>Regular contacts</v>
      </c>
      <c r="B345" s="63"/>
      <c r="C345" s="64" t="s">
        <v>932</v>
      </c>
      <c r="D345" s="64" t="s">
        <v>933</v>
      </c>
      <c r="E345" s="64" t="s">
        <v>934</v>
      </c>
      <c r="F345" s="894" t="s">
        <v>935</v>
      </c>
    </row>
    <row r="346" spans="1:6" s="65" customFormat="1" ht="14.4" x14ac:dyDescent="0.3">
      <c r="A346" s="62" t="str">
        <f t="shared" ca="1" si="6"/>
        <v>Rare contacts</v>
      </c>
      <c r="B346" s="63"/>
      <c r="C346" s="64" t="s">
        <v>936</v>
      </c>
      <c r="D346" s="64" t="s">
        <v>937</v>
      </c>
      <c r="E346" s="64" t="s">
        <v>938</v>
      </c>
      <c r="F346" s="894" t="s">
        <v>939</v>
      </c>
    </row>
    <row r="347" spans="1:6" s="65" customFormat="1" ht="14.4" x14ac:dyDescent="0.3">
      <c r="A347" s="62" t="str">
        <f t="shared" ca="1" si="6"/>
        <v>High</v>
      </c>
      <c r="B347" s="63"/>
      <c r="C347" s="66" t="s">
        <v>231</v>
      </c>
      <c r="D347" s="66" t="s">
        <v>940</v>
      </c>
      <c r="E347" s="66" t="s">
        <v>579</v>
      </c>
      <c r="F347" s="883" t="s">
        <v>941</v>
      </c>
    </row>
    <row r="348" spans="1:6" s="65" customFormat="1" ht="14.4" x14ac:dyDescent="0.3">
      <c r="A348" s="62" t="str">
        <f t="shared" ca="1" si="6"/>
        <v>Big</v>
      </c>
      <c r="B348" s="63"/>
      <c r="C348" s="66" t="s">
        <v>942</v>
      </c>
      <c r="D348" s="66" t="s">
        <v>943</v>
      </c>
      <c r="E348" s="66" t="s">
        <v>944</v>
      </c>
      <c r="F348" s="883" t="s">
        <v>940</v>
      </c>
    </row>
    <row r="349" spans="1:6" s="65" customFormat="1" ht="14.4" x14ac:dyDescent="0.3">
      <c r="A349" s="62" t="str">
        <f t="shared" ca="1" si="6"/>
        <v>Stakeholder influence</v>
      </c>
      <c r="B349" s="63"/>
      <c r="C349" s="66" t="s">
        <v>945</v>
      </c>
      <c r="D349" s="66" t="s">
        <v>946</v>
      </c>
      <c r="E349" s="66" t="s">
        <v>947</v>
      </c>
      <c r="F349" s="883" t="s">
        <v>948</v>
      </c>
    </row>
    <row r="350" spans="1:6" s="65" customFormat="1" ht="14.4" x14ac:dyDescent="0.3">
      <c r="A350" s="62" t="str">
        <f t="shared" ca="1" si="6"/>
        <v>Low</v>
      </c>
      <c r="B350" s="63"/>
      <c r="C350" s="66" t="s">
        <v>235</v>
      </c>
      <c r="D350" s="66" t="s">
        <v>949</v>
      </c>
      <c r="E350" s="66" t="s">
        <v>581</v>
      </c>
      <c r="F350" s="883" t="s">
        <v>950</v>
      </c>
    </row>
    <row r="351" spans="1:6" s="65" customFormat="1" ht="14.4" x14ac:dyDescent="0.3">
      <c r="A351" s="62" t="str">
        <f t="shared" ca="1" si="6"/>
        <v>Small</v>
      </c>
      <c r="B351" s="63"/>
      <c r="C351" s="66" t="s">
        <v>951</v>
      </c>
      <c r="D351" s="66" t="s">
        <v>952</v>
      </c>
      <c r="E351" s="66" t="s">
        <v>953</v>
      </c>
      <c r="F351" s="883" t="s">
        <v>954</v>
      </c>
    </row>
    <row r="352" spans="1:6" s="65" customFormat="1" ht="14.4" x14ac:dyDescent="0.3">
      <c r="A352" s="62" t="str">
        <f t="shared" ca="1" si="6"/>
        <v>Stakeholder interest</v>
      </c>
      <c r="B352" s="63"/>
      <c r="C352" s="66" t="s">
        <v>955</v>
      </c>
      <c r="D352" s="66" t="s">
        <v>956</v>
      </c>
      <c r="E352" s="66" t="s">
        <v>957</v>
      </c>
      <c r="F352" s="883" t="s">
        <v>958</v>
      </c>
    </row>
    <row r="353" spans="1:6" s="65" customFormat="1" ht="14.4" x14ac:dyDescent="0.3">
      <c r="A353" s="62" t="str">
        <f t="shared" ca="1" si="6"/>
        <v>No.</v>
      </c>
      <c r="B353" s="63"/>
      <c r="C353" s="66" t="s">
        <v>245</v>
      </c>
      <c r="D353" s="66" t="s">
        <v>246</v>
      </c>
      <c r="E353" s="66" t="s">
        <v>246</v>
      </c>
      <c r="F353" s="883" t="s">
        <v>959</v>
      </c>
    </row>
    <row r="354" spans="1:6" s="65" customFormat="1" ht="14.4" x14ac:dyDescent="0.3">
      <c r="A354" s="62" t="str">
        <f t="shared" ca="1" si="6"/>
        <v>Stakeholder</v>
      </c>
      <c r="B354" s="63"/>
      <c r="C354" s="66" t="s">
        <v>960</v>
      </c>
      <c r="D354" s="66" t="s">
        <v>1031</v>
      </c>
      <c r="E354" s="66" t="s">
        <v>1032</v>
      </c>
      <c r="F354" s="883" t="s">
        <v>1032</v>
      </c>
    </row>
    <row r="355" spans="1:6" s="65" customFormat="1" ht="14.4" x14ac:dyDescent="0.3">
      <c r="A355" s="62" t="str">
        <f t="shared" ca="1" si="6"/>
        <v>Interests, expectations</v>
      </c>
      <c r="B355" s="63"/>
      <c r="C355" s="66" t="s">
        <v>961</v>
      </c>
      <c r="D355" s="66" t="s">
        <v>962</v>
      </c>
      <c r="E355" s="66" t="s">
        <v>963</v>
      </c>
      <c r="F355" s="883" t="s">
        <v>964</v>
      </c>
    </row>
    <row r="356" spans="1:6" s="65" customFormat="1" ht="14.4" x14ac:dyDescent="0.3">
      <c r="A356" s="62" t="str">
        <f t="shared" ca="1" si="6"/>
        <v>Extent of interests</v>
      </c>
      <c r="B356" s="63"/>
      <c r="C356" s="66" t="s">
        <v>965</v>
      </c>
      <c r="D356" s="66" t="s">
        <v>966</v>
      </c>
      <c r="E356" s="66" t="s">
        <v>967</v>
      </c>
      <c r="F356" s="883" t="s">
        <v>968</v>
      </c>
    </row>
    <row r="357" spans="1:6" s="65" customFormat="1" ht="14.4" x14ac:dyDescent="0.3">
      <c r="A357" s="62" t="str">
        <f t="shared" ca="1" si="6"/>
        <v>Degree of influence</v>
      </c>
      <c r="B357" s="63"/>
      <c r="C357" s="66" t="s">
        <v>969</v>
      </c>
      <c r="D357" s="66" t="s">
        <v>970</v>
      </c>
      <c r="E357" s="66" t="s">
        <v>971</v>
      </c>
      <c r="F357" s="883" t="s">
        <v>972</v>
      </c>
    </row>
    <row r="358" spans="1:6" s="65" customFormat="1" ht="28.8" x14ac:dyDescent="0.3">
      <c r="A358" s="62" t="str">
        <f t="shared" ca="1" si="6"/>
        <v>Chances (+) and 
dangers (-)</v>
      </c>
      <c r="B358" s="63"/>
      <c r="C358" s="66" t="s">
        <v>973</v>
      </c>
      <c r="D358" s="66" t="s">
        <v>974</v>
      </c>
      <c r="E358" s="66" t="s">
        <v>975</v>
      </c>
      <c r="F358" s="883" t="s">
        <v>976</v>
      </c>
    </row>
    <row r="359" spans="1:6" s="65" customFormat="1" ht="14.4" x14ac:dyDescent="0.3">
      <c r="A359" s="62" t="str">
        <f t="shared" ca="1" si="6"/>
        <v>Possible measures</v>
      </c>
      <c r="B359" s="63"/>
      <c r="C359" s="66" t="s">
        <v>256</v>
      </c>
      <c r="D359" s="66" t="s">
        <v>257</v>
      </c>
      <c r="E359" s="66" t="s">
        <v>588</v>
      </c>
      <c r="F359" s="883" t="s">
        <v>977</v>
      </c>
    </row>
    <row r="360" spans="1:6" s="65" customFormat="1" ht="14.4" x14ac:dyDescent="0.3">
      <c r="A360" s="62" t="str">
        <f t="shared" ca="1" si="6"/>
        <v>Status</v>
      </c>
      <c r="B360" s="63"/>
      <c r="C360" s="66" t="s">
        <v>258</v>
      </c>
      <c r="D360" s="66" t="s">
        <v>259</v>
      </c>
      <c r="E360" s="66" t="s">
        <v>258</v>
      </c>
      <c r="F360" s="883" t="s">
        <v>978</v>
      </c>
    </row>
    <row r="361" spans="1:6" s="65" customFormat="1" ht="14.4" x14ac:dyDescent="0.3">
      <c r="A361" s="62" t="str">
        <f t="shared" ca="1" si="6"/>
        <v>Size of group</v>
      </c>
      <c r="B361" s="63"/>
      <c r="C361" s="66" t="s">
        <v>979</v>
      </c>
      <c r="D361" s="66" t="s">
        <v>980</v>
      </c>
      <c r="E361" s="66" t="s">
        <v>981</v>
      </c>
      <c r="F361" s="883" t="s">
        <v>982</v>
      </c>
    </row>
    <row r="362" spans="1:6" s="65" customFormat="1" ht="28.8" x14ac:dyDescent="0.3">
      <c r="A362" s="62" t="str">
        <f t="shared" ca="1" si="6"/>
        <v>S T A K E H O L D E R   A N A L Y S I S</v>
      </c>
      <c r="B362" s="63"/>
      <c r="C362" s="66" t="s">
        <v>912</v>
      </c>
      <c r="D362" s="66" t="s">
        <v>913</v>
      </c>
      <c r="E362" s="66" t="s">
        <v>914</v>
      </c>
      <c r="F362" s="883" t="s">
        <v>983</v>
      </c>
    </row>
    <row r="363" spans="1:6" s="65" customFormat="1" ht="14.4" x14ac:dyDescent="0.3">
      <c r="A363" s="62" t="str">
        <f t="shared" ca="1" si="6"/>
        <v>Keep satisfied</v>
      </c>
      <c r="B363" s="63"/>
      <c r="C363" s="66" t="s">
        <v>1011</v>
      </c>
      <c r="D363" s="66" t="s">
        <v>1012</v>
      </c>
      <c r="E363" s="66" t="s">
        <v>1013</v>
      </c>
      <c r="F363" s="883" t="s">
        <v>1014</v>
      </c>
    </row>
    <row r="364" spans="1:6" s="65" customFormat="1" ht="14.4" x14ac:dyDescent="0.3">
      <c r="A364" s="62" t="str">
        <f t="shared" ca="1" si="6"/>
        <v>Monitor</v>
      </c>
      <c r="B364" s="63"/>
      <c r="C364" s="66" t="s">
        <v>1015</v>
      </c>
      <c r="D364" s="66" t="s">
        <v>1016</v>
      </c>
      <c r="E364" s="66" t="s">
        <v>1017</v>
      </c>
      <c r="F364" s="883" t="s">
        <v>1018</v>
      </c>
    </row>
    <row r="365" spans="1:6" s="65" customFormat="1" ht="14.4" x14ac:dyDescent="0.3">
      <c r="A365" s="62" t="str">
        <f t="shared" ca="1" si="6"/>
        <v>Keep informed</v>
      </c>
      <c r="B365" s="63"/>
      <c r="C365" s="66" t="s">
        <v>1019</v>
      </c>
      <c r="D365" s="66" t="s">
        <v>1020</v>
      </c>
      <c r="E365" s="66" t="s">
        <v>1021</v>
      </c>
      <c r="F365" s="883" t="s">
        <v>1022</v>
      </c>
    </row>
    <row r="366" spans="1:6" s="65" customFormat="1" ht="14.4" x14ac:dyDescent="0.3">
      <c r="A366" s="62" t="str">
        <f t="shared" ca="1" si="6"/>
        <v>Manage closely</v>
      </c>
      <c r="B366" s="63"/>
      <c r="C366" s="66" t="s">
        <v>1023</v>
      </c>
      <c r="D366" s="66" t="s">
        <v>1024</v>
      </c>
      <c r="E366" s="66" t="s">
        <v>1025</v>
      </c>
      <c r="F366" s="883" t="s">
        <v>1026</v>
      </c>
    </row>
    <row r="367" spans="1:6" s="65" customFormat="1" ht="28.8" x14ac:dyDescent="0.3">
      <c r="A367" s="62" t="str">
        <f t="shared" ca="1" si="6"/>
        <v>Copy arrow: ctrl and left mouse button</v>
      </c>
      <c r="B367" s="63"/>
      <c r="C367" s="66" t="s">
        <v>1027</v>
      </c>
      <c r="D367" s="66" t="s">
        <v>1028</v>
      </c>
      <c r="E367" s="66" t="s">
        <v>1029</v>
      </c>
      <c r="F367" s="883" t="s">
        <v>1030</v>
      </c>
    </row>
    <row r="368" spans="1:6" s="65" customFormat="1" ht="14.4" x14ac:dyDescent="0.3">
      <c r="A368" s="59" t="str">
        <f t="shared" ref="A368:A384" ca="1" si="7">OFFSET($C368,0,$B$4-1)</f>
        <v>Links</v>
      </c>
      <c r="B368" s="60"/>
      <c r="C368" s="59" t="s">
        <v>989</v>
      </c>
      <c r="D368" s="59" t="s">
        <v>990</v>
      </c>
      <c r="E368" s="59" t="s">
        <v>989</v>
      </c>
      <c r="F368" s="893" t="s">
        <v>989</v>
      </c>
    </row>
    <row r="369" spans="1:6" s="65" customFormat="1" ht="28.8" x14ac:dyDescent="0.3">
      <c r="A369" s="62" t="str">
        <f t="shared" ca="1" si="7"/>
        <v>Would you like to download a new file?</v>
      </c>
      <c r="B369" s="63"/>
      <c r="C369" s="66" t="s">
        <v>1005</v>
      </c>
      <c r="D369" s="66" t="s">
        <v>991</v>
      </c>
      <c r="E369" s="66" t="s">
        <v>992</v>
      </c>
      <c r="F369" s="883" t="s">
        <v>993</v>
      </c>
    </row>
    <row r="370" spans="1:6" s="65" customFormat="1" ht="28.8" x14ac:dyDescent="0.3">
      <c r="A370" s="62" t="str">
        <f t="shared" ca="1" si="7"/>
        <v>Please make sure that you have an internet connection!</v>
      </c>
      <c r="B370" s="63"/>
      <c r="C370" s="66" t="s">
        <v>1006</v>
      </c>
      <c r="D370" s="66" t="s">
        <v>994</v>
      </c>
      <c r="E370" s="66" t="s">
        <v>996</v>
      </c>
      <c r="F370" s="883" t="s">
        <v>995</v>
      </c>
    </row>
    <row r="371" spans="1:6" s="65" customFormat="1" ht="14.4" x14ac:dyDescent="0.3">
      <c r="A371" s="62" t="str">
        <f t="shared" ca="1" si="7"/>
        <v>Remark:</v>
      </c>
      <c r="B371" s="63"/>
      <c r="C371" s="66" t="s">
        <v>997</v>
      </c>
      <c r="D371" s="66" t="s">
        <v>999</v>
      </c>
      <c r="E371" s="66" t="s">
        <v>1000</v>
      </c>
      <c r="F371" s="883" t="s">
        <v>1001</v>
      </c>
    </row>
    <row r="372" spans="1:6" s="65" customFormat="1" ht="28.8" x14ac:dyDescent="0.3">
      <c r="A372" s="62" t="str">
        <f t="shared" ca="1" si="7"/>
        <v>On iMangement you can download the latest version.</v>
      </c>
      <c r="B372" s="63"/>
      <c r="C372" s="66" t="s">
        <v>998</v>
      </c>
      <c r="D372" s="66" t="s">
        <v>1002</v>
      </c>
      <c r="E372" s="66" t="s">
        <v>1004</v>
      </c>
      <c r="F372" s="883" t="s">
        <v>1003</v>
      </c>
    </row>
    <row r="373" spans="1:6" s="65" customFormat="1" ht="14.4" x14ac:dyDescent="0.3">
      <c r="A373" s="62" t="str">
        <f t="shared" ca="1" si="7"/>
        <v>Currency:</v>
      </c>
      <c r="B373" s="63"/>
      <c r="C373" s="66" t="s">
        <v>1034</v>
      </c>
      <c r="D373" s="66" t="s">
        <v>1036</v>
      </c>
      <c r="E373" s="66" t="s">
        <v>1035</v>
      </c>
      <c r="F373" s="883" t="s">
        <v>1037</v>
      </c>
    </row>
    <row r="374" spans="1:6" s="65" customFormat="1" ht="14.4" x14ac:dyDescent="0.3">
      <c r="A374" s="62" t="str">
        <f t="shared" ca="1" si="7"/>
        <v>yes</v>
      </c>
      <c r="B374" s="63"/>
      <c r="C374" s="66" t="s">
        <v>148</v>
      </c>
      <c r="D374" s="66" t="s">
        <v>149</v>
      </c>
      <c r="E374" s="66" t="s">
        <v>1045</v>
      </c>
      <c r="F374" s="883" t="s">
        <v>1046</v>
      </c>
    </row>
    <row r="375" spans="1:6" s="65" customFormat="1" ht="14.4" x14ac:dyDescent="0.3">
      <c r="A375" s="62" t="str">
        <f t="shared" ca="1" si="7"/>
        <v>no</v>
      </c>
      <c r="B375" s="63"/>
      <c r="C375" s="66" t="s">
        <v>152</v>
      </c>
      <c r="D375" s="66" t="s">
        <v>153</v>
      </c>
      <c r="E375" s="66" t="s">
        <v>1044</v>
      </c>
      <c r="F375" s="883" t="s">
        <v>1044</v>
      </c>
    </row>
    <row r="376" spans="1:6" s="65" customFormat="1" ht="14.4" x14ac:dyDescent="0.3">
      <c r="A376" s="62" t="str">
        <f t="shared" ca="1" si="7"/>
        <v>green</v>
      </c>
      <c r="B376" s="63"/>
      <c r="C376" s="66" t="s">
        <v>1143</v>
      </c>
      <c r="D376" s="66" t="s">
        <v>1148</v>
      </c>
      <c r="E376" s="66" t="s">
        <v>1149</v>
      </c>
      <c r="F376" s="883" t="s">
        <v>1151</v>
      </c>
    </row>
    <row r="377" spans="1:6" s="65" customFormat="1" ht="14.4" x14ac:dyDescent="0.3">
      <c r="A377" s="62" t="str">
        <f t="shared" ca="1" si="7"/>
        <v>orange</v>
      </c>
      <c r="B377" s="63"/>
      <c r="C377" s="66" t="s">
        <v>1145</v>
      </c>
      <c r="D377" s="66" t="s">
        <v>1145</v>
      </c>
      <c r="E377" s="66" t="s">
        <v>1145</v>
      </c>
      <c r="F377" s="883" t="s">
        <v>1152</v>
      </c>
    </row>
    <row r="378" spans="1:6" s="65" customFormat="1" ht="14.4" x14ac:dyDescent="0.3">
      <c r="A378" s="62" t="str">
        <f t="shared" ca="1" si="7"/>
        <v>red</v>
      </c>
      <c r="B378" s="63"/>
      <c r="C378" s="66" t="s">
        <v>1147</v>
      </c>
      <c r="D378" s="66" t="s">
        <v>841</v>
      </c>
      <c r="E378" s="66" t="s">
        <v>1150</v>
      </c>
      <c r="F378" s="883" t="s">
        <v>1153</v>
      </c>
    </row>
    <row r="379" spans="1:6" s="65" customFormat="1" ht="14.4" x14ac:dyDescent="0.3">
      <c r="A379" s="62" t="str">
        <f t="shared" ca="1" si="7"/>
        <v>Question</v>
      </c>
      <c r="B379" s="873"/>
      <c r="C379" s="874" t="s">
        <v>1248</v>
      </c>
      <c r="D379" s="874" t="s">
        <v>1249</v>
      </c>
      <c r="E379" s="874" t="s">
        <v>1249</v>
      </c>
      <c r="F379" s="874" t="s">
        <v>1250</v>
      </c>
    </row>
    <row r="380" spans="1:6" s="65" customFormat="1" ht="14.4" x14ac:dyDescent="0.3">
      <c r="A380" s="872" t="str">
        <f t="shared" ca="1" si="7"/>
        <v>Answer</v>
      </c>
      <c r="B380" s="873"/>
      <c r="C380" s="874" t="s">
        <v>1251</v>
      </c>
      <c r="D380" s="874" t="s">
        <v>1252</v>
      </c>
      <c r="E380" s="874" t="s">
        <v>1254</v>
      </c>
      <c r="F380" s="874" t="s">
        <v>1253</v>
      </c>
    </row>
    <row r="381" spans="1:6" s="68" customFormat="1" ht="14.4" x14ac:dyDescent="0.3">
      <c r="A381" s="59" t="str">
        <f t="shared" ca="1" si="7"/>
        <v>Roadmap</v>
      </c>
      <c r="B381" s="67"/>
      <c r="C381" s="59" t="s">
        <v>1260</v>
      </c>
      <c r="D381" s="59" t="s">
        <v>1261</v>
      </c>
      <c r="E381" s="59" t="s">
        <v>1260</v>
      </c>
      <c r="F381" s="893" t="s">
        <v>1262</v>
      </c>
    </row>
    <row r="382" spans="1:6" x14ac:dyDescent="0.3">
      <c r="A382" s="47" t="str">
        <f t="shared" ca="1" si="7"/>
        <v>Steps</v>
      </c>
      <c r="B382" s="46"/>
      <c r="C382" s="5" t="s">
        <v>1233</v>
      </c>
      <c r="D382" s="5" t="s">
        <v>1232</v>
      </c>
      <c r="E382" s="5" t="s">
        <v>1234</v>
      </c>
      <c r="F382" s="875" t="s">
        <v>1235</v>
      </c>
    </row>
    <row r="383" spans="1:6" x14ac:dyDescent="0.3">
      <c r="A383" s="47" t="str">
        <f t="shared" ca="1" si="7"/>
        <v>Goals</v>
      </c>
      <c r="B383" s="46"/>
      <c r="C383" s="5" t="s">
        <v>1198</v>
      </c>
      <c r="D383" s="5" t="s">
        <v>1199</v>
      </c>
      <c r="E383" s="5" t="s">
        <v>1200</v>
      </c>
      <c r="F383" s="875" t="s">
        <v>1236</v>
      </c>
    </row>
    <row r="384" spans="1:6" x14ac:dyDescent="0.3">
      <c r="A384" s="47" t="str">
        <f t="shared" ca="1" si="7"/>
        <v>Activities</v>
      </c>
      <c r="B384" s="46"/>
      <c r="C384" s="5" t="s">
        <v>1237</v>
      </c>
      <c r="D384" s="5" t="s">
        <v>1238</v>
      </c>
      <c r="E384" s="5" t="s">
        <v>1239</v>
      </c>
      <c r="F384" s="875" t="s">
        <v>1240</v>
      </c>
    </row>
    <row r="385" spans="1:6" x14ac:dyDescent="0.3">
      <c r="A385" s="47" t="str">
        <f t="shared" ref="A385:A386" ca="1" si="8">OFFSET($C385,0,$B$4-1)</f>
        <v>Deliverables</v>
      </c>
      <c r="B385" s="46"/>
      <c r="C385" s="22" t="s">
        <v>1242</v>
      </c>
      <c r="D385" s="22" t="s">
        <v>1241</v>
      </c>
      <c r="E385" s="22" t="s">
        <v>1154</v>
      </c>
      <c r="F385" s="875" t="s">
        <v>1154</v>
      </c>
    </row>
    <row r="386" spans="1:6" x14ac:dyDescent="0.3">
      <c r="A386" s="47" t="str">
        <f t="shared" ca="1" si="8"/>
        <v>Timeline</v>
      </c>
      <c r="B386" s="46"/>
      <c r="C386" s="5" t="s">
        <v>1245</v>
      </c>
      <c r="D386" s="5" t="s">
        <v>1243</v>
      </c>
      <c r="E386" s="5" t="s">
        <v>1244</v>
      </c>
      <c r="F386" s="875" t="s">
        <v>1246</v>
      </c>
    </row>
    <row r="387" spans="1:6" x14ac:dyDescent="0.3">
      <c r="A387" s="47">
        <f t="shared" ref="A387:A391" ca="1" si="9">OFFSET($C387,0,$B$4-1)</f>
        <v>0</v>
      </c>
      <c r="B387" s="46"/>
      <c r="C387" s="5"/>
      <c r="D387" s="5"/>
      <c r="E387" s="5"/>
      <c r="F387" s="875"/>
    </row>
    <row r="388" spans="1:6" x14ac:dyDescent="0.3">
      <c r="A388" s="47" t="str">
        <f t="shared" ca="1" si="9"/>
        <v>Start</v>
      </c>
      <c r="B388" s="46"/>
      <c r="C388" s="862" t="s">
        <v>63</v>
      </c>
      <c r="D388" s="862" t="s">
        <v>95</v>
      </c>
      <c r="E388" s="862" t="s">
        <v>536</v>
      </c>
      <c r="F388" s="875" t="s">
        <v>448</v>
      </c>
    </row>
    <row r="389" spans="1:6" x14ac:dyDescent="0.3">
      <c r="A389" s="47" t="str">
        <f t="shared" ca="1" si="9"/>
        <v>Finish</v>
      </c>
      <c r="B389" s="46"/>
      <c r="C389" s="862" t="s">
        <v>64</v>
      </c>
      <c r="D389" s="862" t="s">
        <v>96</v>
      </c>
      <c r="E389" s="862" t="s">
        <v>537</v>
      </c>
      <c r="F389" s="875" t="s">
        <v>449</v>
      </c>
    </row>
    <row r="390" spans="1:6" x14ac:dyDescent="0.3">
      <c r="A390" s="47" t="str">
        <f t="shared" ca="1" si="9"/>
        <v>Who?</v>
      </c>
      <c r="B390" s="46"/>
      <c r="C390" s="862" t="s">
        <v>20</v>
      </c>
      <c r="D390" s="862" t="s">
        <v>693</v>
      </c>
      <c r="E390" s="862" t="s">
        <v>526</v>
      </c>
      <c r="F390" s="875" t="s">
        <v>436</v>
      </c>
    </row>
    <row r="391" spans="1:6" s="68" customFormat="1" ht="14.4" x14ac:dyDescent="0.3">
      <c r="A391" s="59" t="str">
        <f t="shared" ca="1" si="9"/>
        <v>Agile Manifesto</v>
      </c>
      <c r="B391" s="67"/>
      <c r="C391" s="59" t="s">
        <v>1454</v>
      </c>
      <c r="D391" s="59" t="s">
        <v>1436</v>
      </c>
      <c r="E391" s="59" t="s">
        <v>1417</v>
      </c>
      <c r="F391" s="59" t="s">
        <v>1492</v>
      </c>
    </row>
    <row r="392" spans="1:6" ht="55.2" x14ac:dyDescent="0.3">
      <c r="A392" s="47" t="str">
        <f t="shared" ref="A392:A402" ca="1" si="10">OFFSET($C392,0,$B$4-1)</f>
        <v>We are uncovering better ways of developing software by doing it and helping others do it. Through this work we have come to value:</v>
      </c>
      <c r="B392" s="46"/>
      <c r="C392" s="5" t="s">
        <v>1453</v>
      </c>
      <c r="D392" s="5" t="s">
        <v>1438</v>
      </c>
      <c r="E392" s="5" t="s">
        <v>1418</v>
      </c>
      <c r="F392" s="875" t="s">
        <v>1502</v>
      </c>
    </row>
    <row r="393" spans="1:6" x14ac:dyDescent="0.3">
      <c r="A393" s="47" t="str">
        <f t="shared" ca="1" si="10"/>
        <v>Individuals and interactions</v>
      </c>
      <c r="B393" s="46"/>
      <c r="C393" s="5" t="s">
        <v>1472</v>
      </c>
      <c r="D393" s="5" t="s">
        <v>1464</v>
      </c>
      <c r="E393" s="5" t="s">
        <v>1455</v>
      </c>
      <c r="F393" s="875" t="s">
        <v>1493</v>
      </c>
    </row>
    <row r="394" spans="1:6" x14ac:dyDescent="0.3">
      <c r="A394" s="47" t="str">
        <f t="shared" ca="1" si="10"/>
        <v>over processes and tools</v>
      </c>
      <c r="B394" s="1082"/>
      <c r="C394" s="862" t="s">
        <v>1471</v>
      </c>
      <c r="D394" s="862" t="s">
        <v>1463</v>
      </c>
      <c r="E394" s="862" t="s">
        <v>1457</v>
      </c>
      <c r="F394" s="875" t="s">
        <v>1494</v>
      </c>
    </row>
    <row r="395" spans="1:6" x14ac:dyDescent="0.3">
      <c r="A395" s="47" t="str">
        <f t="shared" ca="1" si="10"/>
        <v>Working software</v>
      </c>
      <c r="B395" s="46"/>
      <c r="C395" s="5" t="s">
        <v>1473</v>
      </c>
      <c r="D395" s="5" t="s">
        <v>1466</v>
      </c>
      <c r="E395" s="5" t="s">
        <v>1456</v>
      </c>
      <c r="F395" s="875" t="s">
        <v>1495</v>
      </c>
    </row>
    <row r="396" spans="1:6" x14ac:dyDescent="0.3">
      <c r="A396" s="47" t="str">
        <f t="shared" ca="1" si="10"/>
        <v>over comprehensive documentation</v>
      </c>
      <c r="B396" s="1082"/>
      <c r="C396" s="862" t="s">
        <v>1474</v>
      </c>
      <c r="D396" s="862" t="s">
        <v>1465</v>
      </c>
      <c r="E396" s="862" t="s">
        <v>1462</v>
      </c>
      <c r="F396" s="875" t="s">
        <v>1496</v>
      </c>
    </row>
    <row r="397" spans="1:6" x14ac:dyDescent="0.3">
      <c r="A397" s="47" t="str">
        <f t="shared" ca="1" si="10"/>
        <v>Customer collaboration</v>
      </c>
      <c r="B397" s="46"/>
      <c r="C397" s="5" t="s">
        <v>1475</v>
      </c>
      <c r="D397" s="5" t="s">
        <v>1467</v>
      </c>
      <c r="E397" s="5" t="s">
        <v>1458</v>
      </c>
      <c r="F397" s="875" t="s">
        <v>1497</v>
      </c>
    </row>
    <row r="398" spans="1:6" x14ac:dyDescent="0.3">
      <c r="A398" s="47" t="str">
        <f t="shared" ca="1" si="10"/>
        <v>over contract negotiation</v>
      </c>
      <c r="B398" s="1082"/>
      <c r="C398" s="862" t="s">
        <v>1476</v>
      </c>
      <c r="D398" s="862" t="s">
        <v>1468</v>
      </c>
      <c r="E398" s="862" t="s">
        <v>1459</v>
      </c>
      <c r="F398" s="875" t="s">
        <v>1498</v>
      </c>
    </row>
    <row r="399" spans="1:6" x14ac:dyDescent="0.3">
      <c r="A399" s="47" t="str">
        <f t="shared" ca="1" si="10"/>
        <v>Responding to change</v>
      </c>
      <c r="B399" s="46"/>
      <c r="C399" s="5" t="s">
        <v>1477</v>
      </c>
      <c r="D399" s="5" t="s">
        <v>1469</v>
      </c>
      <c r="E399" s="5" t="s">
        <v>1460</v>
      </c>
      <c r="F399" s="875" t="s">
        <v>1499</v>
      </c>
    </row>
    <row r="400" spans="1:6" x14ac:dyDescent="0.3">
      <c r="A400" s="47" t="str">
        <f t="shared" ca="1" si="10"/>
        <v>over following a plan</v>
      </c>
      <c r="B400" s="1082"/>
      <c r="C400" s="862" t="s">
        <v>1478</v>
      </c>
      <c r="D400" s="862" t="s">
        <v>1470</v>
      </c>
      <c r="E400" s="862" t="s">
        <v>1461</v>
      </c>
      <c r="F400" s="875" t="s">
        <v>1500</v>
      </c>
    </row>
    <row r="401" spans="1:6" ht="55.2" x14ac:dyDescent="0.3">
      <c r="A401" s="47" t="str">
        <f t="shared" ca="1" si="10"/>
        <v>That is, while there is value in the items on the right, we value the items on the left more.</v>
      </c>
      <c r="B401" s="46"/>
      <c r="C401" s="5" t="s">
        <v>1479</v>
      </c>
      <c r="D401" s="5" t="s">
        <v>1439</v>
      </c>
      <c r="E401" s="5" t="s">
        <v>1437</v>
      </c>
      <c r="F401" s="875" t="s">
        <v>1501</v>
      </c>
    </row>
    <row r="402" spans="1:6" ht="41.4" x14ac:dyDescent="0.3">
      <c r="A402" s="47" t="str">
        <f t="shared" ca="1" si="10"/>
        <v>Our highest priority is to satisfy the customer through early and continuous delivery of valuable software.</v>
      </c>
      <c r="B402" s="46"/>
      <c r="C402" s="5" t="s">
        <v>1480</v>
      </c>
      <c r="D402" s="5" t="s">
        <v>1440</v>
      </c>
      <c r="E402" s="5" t="s">
        <v>1419</v>
      </c>
      <c r="F402" s="875" t="s">
        <v>1503</v>
      </c>
    </row>
    <row r="403" spans="1:6" ht="38.25" customHeight="1" x14ac:dyDescent="0.3">
      <c r="A403" s="47" t="str">
        <f t="shared" ref="A403:A422" ca="1" si="11">OFFSET($C403,0,$B$4-1)</f>
        <v>Welcome changing requirements, even late in development. Agile processes harness change for the customer’s competitive advantage.</v>
      </c>
      <c r="B403" s="46"/>
      <c r="C403" s="5" t="s">
        <v>1481</v>
      </c>
      <c r="D403" s="5" t="s">
        <v>1441</v>
      </c>
      <c r="E403" s="5" t="s">
        <v>1421</v>
      </c>
      <c r="F403" s="875" t="s">
        <v>1504</v>
      </c>
    </row>
    <row r="404" spans="1:6" ht="55.2" x14ac:dyDescent="0.3">
      <c r="A404" s="47" t="str">
        <f t="shared" ca="1" si="11"/>
        <v>Deliver working software frequently, from a couple of weeks to a couple of months, with a preference to the shorter timescale.</v>
      </c>
      <c r="B404" s="46"/>
      <c r="C404" s="5" t="s">
        <v>1482</v>
      </c>
      <c r="D404" s="5" t="s">
        <v>1442</v>
      </c>
      <c r="E404" s="5" t="s">
        <v>1422</v>
      </c>
      <c r="F404" s="875" t="s">
        <v>1505</v>
      </c>
    </row>
    <row r="405" spans="1:6" ht="25.5" customHeight="1" x14ac:dyDescent="0.3">
      <c r="A405" s="47" t="str">
        <f t="shared" ca="1" si="11"/>
        <v>Business people and developers must work together daily throughout the project.</v>
      </c>
      <c r="B405" s="46"/>
      <c r="C405" s="5" t="s">
        <v>1483</v>
      </c>
      <c r="D405" s="5" t="s">
        <v>1443</v>
      </c>
      <c r="E405" s="5" t="s">
        <v>1423</v>
      </c>
      <c r="F405" s="875" t="s">
        <v>1506</v>
      </c>
    </row>
    <row r="406" spans="1:6" ht="38.25" customHeight="1" x14ac:dyDescent="0.3">
      <c r="A406" s="47" t="str">
        <f t="shared" ca="1" si="11"/>
        <v>Build projects around motivated individuals. Give them the environment and support they need, and trust them to get the job done.</v>
      </c>
      <c r="B406" s="46"/>
      <c r="C406" s="5" t="s">
        <v>1484</v>
      </c>
      <c r="D406" s="5" t="s">
        <v>1444</v>
      </c>
      <c r="E406" s="5" t="s">
        <v>1424</v>
      </c>
      <c r="F406" s="875" t="s">
        <v>1507</v>
      </c>
    </row>
    <row r="407" spans="1:6" ht="55.2" x14ac:dyDescent="0.3">
      <c r="A407" s="47" t="str">
        <f t="shared" ca="1" si="11"/>
        <v>The most efficient and effective method of conveying information to and within a development team is face-to-face conversation.</v>
      </c>
      <c r="B407" s="46"/>
      <c r="C407" s="5" t="s">
        <v>1485</v>
      </c>
      <c r="D407" s="5" t="s">
        <v>1445</v>
      </c>
      <c r="E407" s="5" t="s">
        <v>1425</v>
      </c>
      <c r="F407" s="875" t="s">
        <v>1508</v>
      </c>
    </row>
    <row r="408" spans="1:6" ht="27.6" x14ac:dyDescent="0.3">
      <c r="A408" s="47" t="str">
        <f t="shared" ca="1" si="11"/>
        <v>Working software is the primary measure of progress.</v>
      </c>
      <c r="B408" s="46"/>
      <c r="C408" s="5" t="s">
        <v>1486</v>
      </c>
      <c r="D408" s="5" t="s">
        <v>1446</v>
      </c>
      <c r="E408" s="5" t="s">
        <v>1420</v>
      </c>
      <c r="F408" s="875" t="s">
        <v>1509</v>
      </c>
    </row>
    <row r="409" spans="1:6" ht="51" customHeight="1" x14ac:dyDescent="0.3">
      <c r="A409" s="47" t="str">
        <f t="shared" ca="1" si="11"/>
        <v>Agile processes promote sustainable development. The sponsors, developers, and users should be able to maintain a constant pace indefinitely.</v>
      </c>
      <c r="B409" s="1082"/>
      <c r="C409" s="862" t="s">
        <v>1487</v>
      </c>
      <c r="D409" s="5" t="s">
        <v>1447</v>
      </c>
      <c r="E409" s="5" t="s">
        <v>1426</v>
      </c>
      <c r="F409" s="875" t="s">
        <v>1510</v>
      </c>
    </row>
    <row r="410" spans="1:6" ht="27.6" x14ac:dyDescent="0.3">
      <c r="A410" s="47" t="str">
        <f t="shared" ca="1" si="11"/>
        <v>Continuous attention to technical excellence and good design enhances agility.</v>
      </c>
      <c r="B410" s="1082"/>
      <c r="C410" s="862" t="s">
        <v>1488</v>
      </c>
      <c r="D410" s="5" t="s">
        <v>1448</v>
      </c>
      <c r="E410" s="5" t="s">
        <v>1427</v>
      </c>
      <c r="F410" s="875" t="s">
        <v>1511</v>
      </c>
    </row>
    <row r="411" spans="1:6" ht="27.6" x14ac:dyDescent="0.3">
      <c r="A411" s="47" t="str">
        <f t="shared" ca="1" si="11"/>
        <v>Simplicity–the art of maximizing the amount of work not done–is essential.</v>
      </c>
      <c r="B411" s="1082"/>
      <c r="C411" s="862" t="s">
        <v>1489</v>
      </c>
      <c r="D411" s="5" t="s">
        <v>1449</v>
      </c>
      <c r="E411" s="5" t="s">
        <v>1428</v>
      </c>
      <c r="F411" s="875" t="s">
        <v>1512</v>
      </c>
    </row>
    <row r="412" spans="1:6" ht="25.5" customHeight="1" x14ac:dyDescent="0.3">
      <c r="A412" s="47" t="str">
        <f t="shared" ca="1" si="11"/>
        <v>The best architectures, requirements, and designs emerge from self-organizing teams.</v>
      </c>
      <c r="B412" s="1082"/>
      <c r="C412" s="862" t="s">
        <v>1490</v>
      </c>
      <c r="D412" s="5" t="s">
        <v>1450</v>
      </c>
      <c r="E412" s="5" t="s">
        <v>1429</v>
      </c>
      <c r="F412" s="875" t="s">
        <v>1513</v>
      </c>
    </row>
    <row r="413" spans="1:6" ht="55.2" x14ac:dyDescent="0.3">
      <c r="A413" s="47" t="str">
        <f t="shared" ca="1" si="11"/>
        <v>At regular intervals, the team reflects on how to become more effective, then tunes and adjusts its behavior accordingly.</v>
      </c>
      <c r="B413" s="1082"/>
      <c r="C413" s="862" t="s">
        <v>1491</v>
      </c>
      <c r="D413" s="5" t="s">
        <v>1451</v>
      </c>
      <c r="E413" s="5" t="s">
        <v>1430</v>
      </c>
      <c r="F413" s="875" t="s">
        <v>1514</v>
      </c>
    </row>
    <row r="414" spans="1:6" x14ac:dyDescent="0.3">
      <c r="A414" s="47">
        <f t="shared" ca="1" si="11"/>
        <v>0</v>
      </c>
      <c r="B414" s="1082"/>
      <c r="C414" s="862"/>
      <c r="D414" s="862"/>
      <c r="E414" s="5"/>
      <c r="F414" s="875"/>
    </row>
    <row r="415" spans="1:6" x14ac:dyDescent="0.3">
      <c r="A415" s="47">
        <f t="shared" ca="1" si="11"/>
        <v>0</v>
      </c>
      <c r="B415" s="1082"/>
      <c r="C415" s="862"/>
      <c r="D415" s="862"/>
      <c r="E415" s="5"/>
      <c r="F415" s="875"/>
    </row>
    <row r="416" spans="1:6" x14ac:dyDescent="0.3">
      <c r="A416" s="47">
        <f t="shared" ca="1" si="11"/>
        <v>0</v>
      </c>
      <c r="B416" s="1082"/>
      <c r="C416" s="862"/>
      <c r="D416" s="862"/>
      <c r="E416" s="5"/>
      <c r="F416" s="875"/>
    </row>
    <row r="417" spans="1:1" x14ac:dyDescent="0.3">
      <c r="A417" s="47">
        <f t="shared" ca="1" si="11"/>
        <v>0</v>
      </c>
    </row>
    <row r="418" spans="1:1" x14ac:dyDescent="0.3">
      <c r="A418" s="47">
        <f t="shared" ca="1" si="11"/>
        <v>0</v>
      </c>
    </row>
    <row r="419" spans="1:1" x14ac:dyDescent="0.3">
      <c r="A419" s="47">
        <f t="shared" ca="1" si="11"/>
        <v>0</v>
      </c>
    </row>
    <row r="420" spans="1:1" x14ac:dyDescent="0.3">
      <c r="A420" s="47">
        <f t="shared" ca="1" si="11"/>
        <v>0</v>
      </c>
    </row>
    <row r="421" spans="1:1" x14ac:dyDescent="0.3">
      <c r="A421" s="47">
        <f t="shared" ca="1" si="11"/>
        <v>0</v>
      </c>
    </row>
    <row r="422" spans="1:1" x14ac:dyDescent="0.3">
      <c r="A422" s="47">
        <f t="shared" ca="1" si="11"/>
        <v>0</v>
      </c>
    </row>
    <row r="467" spans="1:1" x14ac:dyDescent="0.3">
      <c r="A467" s="47">
        <f t="shared" ref="A467:A498" ca="1" si="12">OFFSET($C467,0,$B$4-1)</f>
        <v>0</v>
      </c>
    </row>
    <row r="468" spans="1:1" x14ac:dyDescent="0.3">
      <c r="A468" s="47">
        <f t="shared" ca="1" si="12"/>
        <v>0</v>
      </c>
    </row>
    <row r="469" spans="1:1" x14ac:dyDescent="0.3">
      <c r="A469" s="47">
        <f t="shared" ca="1" si="12"/>
        <v>0</v>
      </c>
    </row>
    <row r="470" spans="1:1" x14ac:dyDescent="0.3">
      <c r="A470" s="47">
        <f t="shared" ca="1" si="12"/>
        <v>0</v>
      </c>
    </row>
    <row r="471" spans="1:1" x14ac:dyDescent="0.3">
      <c r="A471" s="47">
        <f t="shared" ca="1" si="12"/>
        <v>0</v>
      </c>
    </row>
    <row r="472" spans="1:1" x14ac:dyDescent="0.3">
      <c r="A472" s="47">
        <f t="shared" ca="1" si="12"/>
        <v>0</v>
      </c>
    </row>
    <row r="473" spans="1:1" x14ac:dyDescent="0.3">
      <c r="A473" s="47">
        <f t="shared" ca="1" si="12"/>
        <v>0</v>
      </c>
    </row>
    <row r="474" spans="1:1" x14ac:dyDescent="0.3">
      <c r="A474" s="47">
        <f t="shared" ca="1" si="12"/>
        <v>0</v>
      </c>
    </row>
    <row r="475" spans="1:1" x14ac:dyDescent="0.3">
      <c r="A475" s="47">
        <f t="shared" ca="1" si="12"/>
        <v>0</v>
      </c>
    </row>
    <row r="476" spans="1:1" x14ac:dyDescent="0.3">
      <c r="A476" s="47">
        <f t="shared" ca="1" si="12"/>
        <v>0</v>
      </c>
    </row>
    <row r="477" spans="1:1" x14ac:dyDescent="0.3">
      <c r="A477" s="47">
        <f t="shared" ca="1" si="12"/>
        <v>0</v>
      </c>
    </row>
    <row r="478" spans="1:1" x14ac:dyDescent="0.3">
      <c r="A478" s="47">
        <f t="shared" ca="1" si="12"/>
        <v>0</v>
      </c>
    </row>
    <row r="479" spans="1:1" x14ac:dyDescent="0.3">
      <c r="A479" s="47">
        <f t="shared" ca="1" si="12"/>
        <v>0</v>
      </c>
    </row>
    <row r="480" spans="1:1" x14ac:dyDescent="0.3">
      <c r="A480" s="47">
        <f t="shared" ca="1" si="12"/>
        <v>0</v>
      </c>
    </row>
    <row r="481" spans="1:1" x14ac:dyDescent="0.3">
      <c r="A481" s="47">
        <f t="shared" ca="1" si="12"/>
        <v>0</v>
      </c>
    </row>
    <row r="482" spans="1:1" x14ac:dyDescent="0.3">
      <c r="A482" s="47">
        <f t="shared" ca="1" si="12"/>
        <v>0</v>
      </c>
    </row>
    <row r="483" spans="1:1" x14ac:dyDescent="0.3">
      <c r="A483" s="47">
        <f t="shared" ca="1" si="12"/>
        <v>0</v>
      </c>
    </row>
    <row r="484" spans="1:1" x14ac:dyDescent="0.3">
      <c r="A484" s="47">
        <f t="shared" ca="1" si="12"/>
        <v>0</v>
      </c>
    </row>
    <row r="485" spans="1:1" x14ac:dyDescent="0.3">
      <c r="A485" s="47">
        <f t="shared" ca="1" si="12"/>
        <v>0</v>
      </c>
    </row>
    <row r="486" spans="1:1" x14ac:dyDescent="0.3">
      <c r="A486" s="47">
        <f t="shared" ca="1" si="12"/>
        <v>0</v>
      </c>
    </row>
    <row r="487" spans="1:1" x14ac:dyDescent="0.3">
      <c r="A487" s="47">
        <f t="shared" ca="1" si="12"/>
        <v>0</v>
      </c>
    </row>
    <row r="488" spans="1:1" x14ac:dyDescent="0.3">
      <c r="A488" s="47">
        <f t="shared" ca="1" si="12"/>
        <v>0</v>
      </c>
    </row>
    <row r="489" spans="1:1" x14ac:dyDescent="0.3">
      <c r="A489" s="47">
        <f t="shared" ca="1" si="12"/>
        <v>0</v>
      </c>
    </row>
    <row r="490" spans="1:1" x14ac:dyDescent="0.3">
      <c r="A490" s="47">
        <f t="shared" ca="1" si="12"/>
        <v>0</v>
      </c>
    </row>
    <row r="491" spans="1:1" x14ac:dyDescent="0.3">
      <c r="A491" s="47">
        <f t="shared" ca="1" si="12"/>
        <v>0</v>
      </c>
    </row>
    <row r="492" spans="1:1" x14ac:dyDescent="0.3">
      <c r="A492" s="47">
        <f t="shared" ca="1" si="12"/>
        <v>0</v>
      </c>
    </row>
    <row r="493" spans="1:1" x14ac:dyDescent="0.3">
      <c r="A493" s="47">
        <f t="shared" ca="1" si="12"/>
        <v>0</v>
      </c>
    </row>
    <row r="494" spans="1:1" x14ac:dyDescent="0.3">
      <c r="A494" s="47">
        <f t="shared" ca="1" si="12"/>
        <v>0</v>
      </c>
    </row>
    <row r="495" spans="1:1" x14ac:dyDescent="0.3">
      <c r="A495" s="47">
        <f t="shared" ca="1" si="12"/>
        <v>0</v>
      </c>
    </row>
    <row r="496" spans="1:1" x14ac:dyDescent="0.3">
      <c r="A496" s="47">
        <f t="shared" ca="1" si="12"/>
        <v>0</v>
      </c>
    </row>
    <row r="497" spans="1:1" x14ac:dyDescent="0.3">
      <c r="A497" s="47">
        <f t="shared" ca="1" si="12"/>
        <v>0</v>
      </c>
    </row>
    <row r="498" spans="1:1" x14ac:dyDescent="0.3">
      <c r="A498" s="47">
        <f t="shared" ca="1" si="12"/>
        <v>0</v>
      </c>
    </row>
    <row r="499" spans="1:1" x14ac:dyDescent="0.3">
      <c r="A499" s="47">
        <f t="shared" ref="A499:A516" ca="1" si="13">OFFSET($C499,0,$B$4-1)</f>
        <v>0</v>
      </c>
    </row>
    <row r="500" spans="1:1" x14ac:dyDescent="0.3">
      <c r="A500" s="47">
        <f t="shared" ca="1" si="13"/>
        <v>0</v>
      </c>
    </row>
    <row r="501" spans="1:1" x14ac:dyDescent="0.3">
      <c r="A501" s="47">
        <f t="shared" ca="1" si="13"/>
        <v>0</v>
      </c>
    </row>
    <row r="502" spans="1:1" x14ac:dyDescent="0.3">
      <c r="A502" s="47">
        <f t="shared" ca="1" si="13"/>
        <v>0</v>
      </c>
    </row>
    <row r="503" spans="1:1" x14ac:dyDescent="0.3">
      <c r="A503" s="47">
        <f t="shared" ca="1" si="13"/>
        <v>0</v>
      </c>
    </row>
    <row r="504" spans="1:1" x14ac:dyDescent="0.3">
      <c r="A504" s="47">
        <f t="shared" ca="1" si="13"/>
        <v>0</v>
      </c>
    </row>
    <row r="505" spans="1:1" x14ac:dyDescent="0.3">
      <c r="A505" s="47">
        <f t="shared" ca="1" si="13"/>
        <v>0</v>
      </c>
    </row>
    <row r="506" spans="1:1" x14ac:dyDescent="0.3">
      <c r="A506" s="47">
        <f t="shared" ca="1" si="13"/>
        <v>0</v>
      </c>
    </row>
    <row r="507" spans="1:1" x14ac:dyDescent="0.3">
      <c r="A507" s="47">
        <f t="shared" ca="1" si="13"/>
        <v>0</v>
      </c>
    </row>
    <row r="508" spans="1:1" x14ac:dyDescent="0.3">
      <c r="A508" s="47">
        <f t="shared" ca="1" si="13"/>
        <v>0</v>
      </c>
    </row>
    <row r="509" spans="1:1" x14ac:dyDescent="0.3">
      <c r="A509" s="47">
        <f t="shared" ca="1" si="13"/>
        <v>0</v>
      </c>
    </row>
    <row r="510" spans="1:1" x14ac:dyDescent="0.3">
      <c r="A510" s="47">
        <f t="shared" ca="1" si="13"/>
        <v>0</v>
      </c>
    </row>
    <row r="511" spans="1:1" x14ac:dyDescent="0.3">
      <c r="A511" s="47">
        <f t="shared" ca="1" si="13"/>
        <v>0</v>
      </c>
    </row>
    <row r="512" spans="1:1" x14ac:dyDescent="0.3">
      <c r="A512" s="47">
        <f t="shared" ca="1" si="13"/>
        <v>0</v>
      </c>
    </row>
    <row r="513" spans="1:1" x14ac:dyDescent="0.3">
      <c r="A513" s="47">
        <f t="shared" ca="1" si="13"/>
        <v>0</v>
      </c>
    </row>
    <row r="514" spans="1:1" x14ac:dyDescent="0.3">
      <c r="A514" s="47">
        <f t="shared" ca="1" si="13"/>
        <v>0</v>
      </c>
    </row>
    <row r="515" spans="1:1" x14ac:dyDescent="0.3">
      <c r="A515" s="47">
        <f t="shared" ca="1" si="13"/>
        <v>0</v>
      </c>
    </row>
    <row r="516" spans="1:1" x14ac:dyDescent="0.3">
      <c r="A516" s="47">
        <f t="shared" ca="1" si="13"/>
        <v>0</v>
      </c>
    </row>
  </sheetData>
  <sheetProtection sheet="1" objects="1" scenarios="1"/>
  <dataValidations disablePrompts="1" count="1">
    <dataValidation type="custom" allowBlank="1" showInputMessage="1" showErrorMessage="1" sqref="X4 W467:W1355 W1372:W1048576 W1:W5 G305:G321 G339:G370 W371:W386 W7:W304 W322:W338 W391 W403:W422" xr:uid="{00000000-0002-0000-0000-000000000000}">
      <formula1>$W$1=";"</formula1>
    </dataValidation>
  </dataValidations>
  <hyperlinks>
    <hyperlink ref="A339" location="Stakeholder!A1" display="Stakeholder!A1" xr:uid="{00000000-0004-0000-0000-000000000000}"/>
  </hyperlinks>
  <pageMargins left="0.7" right="0.7" top="0.78740157499999996" bottom="0.78740157499999996"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Menu">
    <tabColor theme="3" tint="0.39997558519241921"/>
    <pageSetUpPr fitToPage="1"/>
  </sheetPr>
  <dimension ref="C1:O96"/>
  <sheetViews>
    <sheetView showGridLines="0" showRowColHeaders="0" tabSelected="1" zoomScaleNormal="100" workbookViewId="0">
      <selection activeCell="N1" sqref="N1:O1"/>
    </sheetView>
  </sheetViews>
  <sheetFormatPr baseColWidth="10" defaultColWidth="11.44140625" defaultRowHeight="14.4" x14ac:dyDescent="0.3"/>
  <cols>
    <col min="1" max="1" width="0.109375" style="75" customWidth="1"/>
    <col min="2" max="2" width="4.109375" style="75" customWidth="1"/>
    <col min="3" max="3" width="4" style="75" customWidth="1"/>
    <col min="4" max="4" width="3.109375" style="75" customWidth="1"/>
    <col min="5" max="5" width="29.109375" style="75" customWidth="1"/>
    <col min="6" max="6" width="4.88671875" style="75" customWidth="1"/>
    <col min="7" max="7" width="13" style="75" customWidth="1"/>
    <col min="8" max="8" width="10.109375" style="75" customWidth="1"/>
    <col min="9" max="9" width="4.44140625" style="75" customWidth="1"/>
    <col min="10" max="10" width="3.109375" style="75" customWidth="1"/>
    <col min="11" max="11" width="14.109375" style="75" customWidth="1"/>
    <col min="12" max="12" width="13.109375" style="75" customWidth="1"/>
    <col min="13" max="13" width="17.88671875" style="75" customWidth="1"/>
    <col min="14" max="14" width="22.109375" style="75" customWidth="1"/>
    <col min="15" max="15" width="13.88671875" style="75" customWidth="1"/>
    <col min="16" max="16384" width="11.44140625" style="75"/>
  </cols>
  <sheetData>
    <row r="1" spans="3:15" s="70" customFormat="1" ht="42" customHeight="1" x14ac:dyDescent="0.6">
      <c r="C1" s="1102" t="str">
        <f>IF(ISTEXT(Projektauftrag!D5),Projektauftrag!D5,"")</f>
        <v>Projet Agile 1</v>
      </c>
      <c r="D1" s="1102"/>
      <c r="E1" s="1102"/>
      <c r="F1" s="1102"/>
      <c r="G1" s="1102"/>
      <c r="H1" s="1102"/>
      <c r="I1" s="1102"/>
      <c r="J1" s="1102"/>
      <c r="K1" s="1102"/>
      <c r="L1" s="1102"/>
      <c r="M1" s="1102"/>
      <c r="N1" s="1100"/>
      <c r="O1" s="1100"/>
    </row>
    <row r="2" spans="3:15" s="70" customFormat="1" ht="2.25" customHeight="1" x14ac:dyDescent="0.3">
      <c r="C2" s="72"/>
      <c r="D2" s="71"/>
      <c r="E2" s="73"/>
      <c r="F2" s="71"/>
      <c r="G2" s="73"/>
      <c r="H2" s="71"/>
      <c r="I2" s="73"/>
      <c r="J2" s="73"/>
      <c r="K2" s="73"/>
      <c r="L2" s="73"/>
      <c r="M2" s="73"/>
      <c r="N2" s="73"/>
      <c r="O2" s="74"/>
    </row>
    <row r="3" spans="3:15" ht="20.100000000000001" customHeight="1" x14ac:dyDescent="0.3">
      <c r="C3" s="76">
        <f>SprintRetrospective!E10</f>
        <v>1</v>
      </c>
      <c r="D3" s="77" t="str">
        <f ca="1">CONCATENATE(' '!A61,"  ",Projektauftrag!J5)</f>
        <v>Scrum Master:  abc def (abc)</v>
      </c>
      <c r="E3" s="78"/>
      <c r="F3" s="79"/>
      <c r="G3" s="77" t="str">
        <f ca="1">' '!A49&amp;":"</f>
        <v>Internal res.:</v>
      </c>
      <c r="H3" s="80" t="str">
        <f>IF(Projektteam!$BL$3=TRUE,Logo!D12&amp;" "&amp;Projektauftrag!G31,Projektauftrag!G31&amp;" h")</f>
        <v>CHF 500</v>
      </c>
      <c r="I3" s="81"/>
      <c r="J3" s="82"/>
      <c r="K3" s="83" t="str">
        <f ca="1">' '!A48&amp;":"</f>
        <v>External res.:</v>
      </c>
      <c r="L3" s="80" t="str">
        <f>Logo!D12&amp;" "&amp;Projektauftrag!G33</f>
        <v>CHF 0</v>
      </c>
      <c r="M3" s="83" t="str">
        <f>Projektteam!AE34 &amp;" h / "&amp;ROUND(Projektteam!AD34,0)&amp;" h (Budget)"</f>
        <v>0 h / 0 h (Budget)</v>
      </c>
      <c r="N3" s="768"/>
      <c r="O3" s="85"/>
    </row>
    <row r="4" spans="3:15" ht="47.25" customHeight="1" x14ac:dyDescent="0.3">
      <c r="C4" s="76"/>
      <c r="D4" s="86"/>
      <c r="E4" s="87"/>
      <c r="F4" s="87"/>
      <c r="G4" s="88"/>
      <c r="H4" s="89"/>
      <c r="I4" s="90"/>
      <c r="J4" s="89"/>
      <c r="K4" s="91"/>
      <c r="L4" s="91"/>
      <c r="M4" s="92"/>
      <c r="N4" s="84"/>
    </row>
    <row r="5" spans="3:15" ht="14.25" customHeight="1" x14ac:dyDescent="0.3">
      <c r="D5" s="1101"/>
      <c r="E5" s="1101"/>
      <c r="O5" s="93"/>
    </row>
    <row r="8" spans="3:15" ht="18" x14ac:dyDescent="0.35">
      <c r="E8" s="94"/>
    </row>
    <row r="11" spans="3:15" ht="17.25" customHeight="1" x14ac:dyDescent="0.3"/>
    <row r="12" spans="3:15" ht="5.0999999999999996" customHeight="1" x14ac:dyDescent="0.3">
      <c r="G12" s="95"/>
      <c r="H12" s="95"/>
      <c r="J12" s="95"/>
      <c r="L12" s="95"/>
    </row>
    <row r="13" spans="3:15" s="96" customFormat="1" x14ac:dyDescent="0.2">
      <c r="C13" s="97"/>
      <c r="N13" s="98"/>
      <c r="O13" s="99"/>
    </row>
    <row r="14" spans="3:15" x14ac:dyDescent="0.3">
      <c r="O14" s="112"/>
    </row>
    <row r="16" spans="3:15" ht="4.5" customHeight="1" x14ac:dyDescent="0.3"/>
    <row r="32" spans="3:15" ht="21.75" customHeight="1" x14ac:dyDescent="0.3">
      <c r="C32" s="855" t="s">
        <v>1136</v>
      </c>
      <c r="O32" s="1047" t="s">
        <v>1516</v>
      </c>
    </row>
    <row r="34" spans="3:15" ht="18" hidden="1" x14ac:dyDescent="0.35">
      <c r="D34" s="100" t="str">
        <f ca="1">' '!A334</f>
        <v>Protocol of modifications</v>
      </c>
    </row>
    <row r="35" spans="3:15" hidden="1" x14ac:dyDescent="0.3"/>
    <row r="36" spans="3:15" ht="15.6" hidden="1" x14ac:dyDescent="0.3">
      <c r="D36" s="1103" t="str">
        <f ca="1">' '!A337</f>
        <v>Who?</v>
      </c>
      <c r="E36" s="1104"/>
      <c r="F36" s="1105" t="str">
        <f ca="1">' '!A335</f>
        <v>Date</v>
      </c>
      <c r="G36" s="1106"/>
      <c r="H36" s="1099" t="str">
        <f ca="1">' '!A336</f>
        <v>Modifications</v>
      </c>
      <c r="I36" s="1099"/>
      <c r="J36" s="1099"/>
      <c r="K36" s="1099"/>
      <c r="L36" s="1099"/>
      <c r="M36" s="1099"/>
      <c r="N36" s="1099"/>
      <c r="O36" s="1099"/>
    </row>
    <row r="37" spans="3:15" hidden="1" x14ac:dyDescent="0.3">
      <c r="C37" s="101">
        <v>1</v>
      </c>
      <c r="D37" s="1092"/>
      <c r="E37" s="1093"/>
      <c r="F37" s="1097"/>
      <c r="G37" s="1098"/>
      <c r="H37" s="1092"/>
      <c r="I37" s="1096"/>
      <c r="J37" s="1096"/>
      <c r="K37" s="1096"/>
      <c r="L37" s="1096"/>
      <c r="M37" s="1096"/>
      <c r="N37" s="1096"/>
      <c r="O37" s="1093"/>
    </row>
    <row r="38" spans="3:15" hidden="1" x14ac:dyDescent="0.3">
      <c r="C38" s="101">
        <v>2</v>
      </c>
      <c r="D38" s="1092"/>
      <c r="E38" s="1093"/>
      <c r="F38" s="1094"/>
      <c r="G38" s="1095"/>
      <c r="H38" s="1092"/>
      <c r="I38" s="1096"/>
      <c r="J38" s="1096"/>
      <c r="K38" s="1096"/>
      <c r="L38" s="1096"/>
      <c r="M38" s="1096"/>
      <c r="N38" s="1096"/>
      <c r="O38" s="1093"/>
    </row>
    <row r="39" spans="3:15" hidden="1" x14ac:dyDescent="0.3">
      <c r="C39" s="101">
        <v>3</v>
      </c>
      <c r="D39" s="1092"/>
      <c r="E39" s="1093"/>
      <c r="F39" s="1094"/>
      <c r="G39" s="1095"/>
      <c r="H39" s="1092"/>
      <c r="I39" s="1096"/>
      <c r="J39" s="1096"/>
      <c r="K39" s="1096"/>
      <c r="L39" s="1096"/>
      <c r="M39" s="1096"/>
      <c r="N39" s="1096"/>
      <c r="O39" s="1093"/>
    </row>
    <row r="40" spans="3:15" hidden="1" x14ac:dyDescent="0.3">
      <c r="C40" s="101">
        <v>4</v>
      </c>
      <c r="D40" s="1092"/>
      <c r="E40" s="1093"/>
      <c r="F40" s="1094"/>
      <c r="G40" s="1095"/>
      <c r="H40" s="1092"/>
      <c r="I40" s="1096"/>
      <c r="J40" s="1096"/>
      <c r="K40" s="1096"/>
      <c r="L40" s="1096"/>
      <c r="M40" s="1096"/>
      <c r="N40" s="1096"/>
      <c r="O40" s="1093"/>
    </row>
    <row r="41" spans="3:15" hidden="1" x14ac:dyDescent="0.3">
      <c r="C41" s="101">
        <v>5</v>
      </c>
      <c r="D41" s="1092"/>
      <c r="E41" s="1093"/>
      <c r="F41" s="1094"/>
      <c r="G41" s="1095"/>
      <c r="H41" s="1092"/>
      <c r="I41" s="1096"/>
      <c r="J41" s="1096"/>
      <c r="K41" s="1096"/>
      <c r="L41" s="1096"/>
      <c r="M41" s="1096"/>
      <c r="N41" s="1096"/>
      <c r="O41" s="1093"/>
    </row>
    <row r="42" spans="3:15" hidden="1" x14ac:dyDescent="0.3">
      <c r="C42" s="101">
        <v>6</v>
      </c>
      <c r="D42" s="1092"/>
      <c r="E42" s="1093"/>
      <c r="F42" s="1094"/>
      <c r="G42" s="1095"/>
      <c r="H42" s="1092"/>
      <c r="I42" s="1096"/>
      <c r="J42" s="1096"/>
      <c r="K42" s="1096"/>
      <c r="L42" s="1096"/>
      <c r="M42" s="1096"/>
      <c r="N42" s="1096"/>
      <c r="O42" s="1093"/>
    </row>
    <row r="43" spans="3:15" hidden="1" x14ac:dyDescent="0.3">
      <c r="C43" s="101">
        <v>7</v>
      </c>
      <c r="D43" s="1092"/>
      <c r="E43" s="1093"/>
      <c r="F43" s="1094"/>
      <c r="G43" s="1095"/>
      <c r="H43" s="1092"/>
      <c r="I43" s="1096"/>
      <c r="J43" s="1096"/>
      <c r="K43" s="1096"/>
      <c r="L43" s="1096"/>
      <c r="M43" s="1096"/>
      <c r="N43" s="1096"/>
      <c r="O43" s="1093"/>
    </row>
    <row r="44" spans="3:15" hidden="1" x14ac:dyDescent="0.3">
      <c r="C44" s="101">
        <v>8</v>
      </c>
      <c r="D44" s="1092"/>
      <c r="E44" s="1093"/>
      <c r="F44" s="1094"/>
      <c r="G44" s="1095"/>
      <c r="H44" s="1092"/>
      <c r="I44" s="1096"/>
      <c r="J44" s="1096"/>
      <c r="K44" s="1096"/>
      <c r="L44" s="1096"/>
      <c r="M44" s="1096"/>
      <c r="N44" s="1096"/>
      <c r="O44" s="1093"/>
    </row>
    <row r="45" spans="3:15" hidden="1" x14ac:dyDescent="0.3">
      <c r="C45" s="101">
        <v>9</v>
      </c>
      <c r="D45" s="1092"/>
      <c r="E45" s="1093"/>
      <c r="F45" s="1094"/>
      <c r="G45" s="1095"/>
      <c r="H45" s="1092"/>
      <c r="I45" s="1096"/>
      <c r="J45" s="1096"/>
      <c r="K45" s="1096"/>
      <c r="L45" s="1096"/>
      <c r="M45" s="1096"/>
      <c r="N45" s="1096"/>
      <c r="O45" s="1093"/>
    </row>
    <row r="46" spans="3:15" hidden="1" x14ac:dyDescent="0.3">
      <c r="C46" s="101">
        <v>10</v>
      </c>
      <c r="D46" s="1092"/>
      <c r="E46" s="1093"/>
      <c r="F46" s="1094"/>
      <c r="G46" s="1095"/>
      <c r="H46" s="1092"/>
      <c r="I46" s="1096"/>
      <c r="J46" s="1096"/>
      <c r="K46" s="1096"/>
      <c r="L46" s="1096"/>
      <c r="M46" s="1096"/>
      <c r="N46" s="1096"/>
      <c r="O46" s="1093"/>
    </row>
    <row r="47" spans="3:15" hidden="1" x14ac:dyDescent="0.3">
      <c r="C47" s="101">
        <v>11</v>
      </c>
      <c r="D47" s="1092"/>
      <c r="E47" s="1093"/>
      <c r="F47" s="1094"/>
      <c r="G47" s="1095"/>
      <c r="H47" s="1092"/>
      <c r="I47" s="1096"/>
      <c r="J47" s="1096"/>
      <c r="K47" s="1096"/>
      <c r="L47" s="1096"/>
      <c r="M47" s="1096"/>
      <c r="N47" s="1096"/>
      <c r="O47" s="1093"/>
    </row>
    <row r="48" spans="3:15" hidden="1" x14ac:dyDescent="0.3">
      <c r="C48" s="101">
        <v>12</v>
      </c>
      <c r="D48" s="1092"/>
      <c r="E48" s="1093"/>
      <c r="F48" s="1094"/>
      <c r="G48" s="1095"/>
      <c r="H48" s="1092"/>
      <c r="I48" s="1096"/>
      <c r="J48" s="1096"/>
      <c r="K48" s="1096"/>
      <c r="L48" s="1096"/>
      <c r="M48" s="1096"/>
      <c r="N48" s="1096"/>
      <c r="O48" s="1093"/>
    </row>
    <row r="49" spans="3:15" hidden="1" x14ac:dyDescent="0.3">
      <c r="C49" s="101">
        <v>13</v>
      </c>
      <c r="D49" s="1092"/>
      <c r="E49" s="1093"/>
      <c r="F49" s="1094"/>
      <c r="G49" s="1095"/>
      <c r="H49" s="1092"/>
      <c r="I49" s="1096"/>
      <c r="J49" s="1096"/>
      <c r="K49" s="1096"/>
      <c r="L49" s="1096"/>
      <c r="M49" s="1096"/>
      <c r="N49" s="1096"/>
      <c r="O49" s="1093"/>
    </row>
    <row r="50" spans="3:15" hidden="1" x14ac:dyDescent="0.3">
      <c r="C50" s="101">
        <v>14</v>
      </c>
      <c r="D50" s="1092"/>
      <c r="E50" s="1093"/>
      <c r="F50" s="1094"/>
      <c r="G50" s="1095"/>
      <c r="H50" s="1092"/>
      <c r="I50" s="1096"/>
      <c r="J50" s="1096"/>
      <c r="K50" s="1096"/>
      <c r="L50" s="1096"/>
      <c r="M50" s="1096"/>
      <c r="N50" s="1096"/>
      <c r="O50" s="1093"/>
    </row>
    <row r="51" spans="3:15" hidden="1" x14ac:dyDescent="0.3">
      <c r="C51" s="101">
        <v>15</v>
      </c>
      <c r="D51" s="1092"/>
      <c r="E51" s="1093"/>
      <c r="F51" s="1094"/>
      <c r="G51" s="1095"/>
      <c r="H51" s="1092"/>
      <c r="I51" s="1096"/>
      <c r="J51" s="1096"/>
      <c r="K51" s="1096"/>
      <c r="L51" s="1096"/>
      <c r="M51" s="1096"/>
      <c r="N51" s="1096"/>
      <c r="O51" s="1093"/>
    </row>
    <row r="52" spans="3:15" hidden="1" x14ac:dyDescent="0.3">
      <c r="C52" s="101">
        <v>16</v>
      </c>
      <c r="D52" s="1092"/>
      <c r="E52" s="1093"/>
      <c r="F52" s="1094"/>
      <c r="G52" s="1095"/>
      <c r="H52" s="1092"/>
      <c r="I52" s="1096"/>
      <c r="J52" s="1096"/>
      <c r="K52" s="1096"/>
      <c r="L52" s="1096"/>
      <c r="M52" s="1096"/>
      <c r="N52" s="1096"/>
      <c r="O52" s="1093"/>
    </row>
    <row r="53" spans="3:15" hidden="1" x14ac:dyDescent="0.3">
      <c r="C53" s="101">
        <v>17</v>
      </c>
      <c r="D53" s="970"/>
      <c r="E53" s="971"/>
      <c r="F53" s="972"/>
      <c r="G53" s="973"/>
      <c r="H53" s="970"/>
      <c r="I53" s="974"/>
      <c r="J53" s="974"/>
      <c r="K53" s="974"/>
      <c r="L53" s="974"/>
      <c r="M53" s="974"/>
      <c r="N53" s="974"/>
      <c r="O53" s="971"/>
    </row>
    <row r="54" spans="3:15" hidden="1" x14ac:dyDescent="0.3">
      <c r="C54" s="101">
        <v>18</v>
      </c>
      <c r="D54" s="970"/>
      <c r="E54" s="971"/>
      <c r="F54" s="972"/>
      <c r="G54" s="973"/>
      <c r="H54" s="970"/>
      <c r="I54" s="974"/>
      <c r="J54" s="974"/>
      <c r="K54" s="974"/>
      <c r="L54" s="974"/>
      <c r="M54" s="974"/>
      <c r="N54" s="974"/>
      <c r="O54" s="971"/>
    </row>
    <row r="55" spans="3:15" hidden="1" x14ac:dyDescent="0.3">
      <c r="C55" s="101">
        <v>19</v>
      </c>
      <c r="D55" s="970"/>
      <c r="E55" s="971"/>
      <c r="F55" s="972"/>
      <c r="G55" s="973"/>
      <c r="H55" s="970"/>
      <c r="I55" s="974"/>
      <c r="J55" s="974"/>
      <c r="K55" s="974"/>
      <c r="L55" s="974"/>
      <c r="M55" s="974"/>
      <c r="N55" s="974"/>
      <c r="O55" s="971"/>
    </row>
    <row r="56" spans="3:15" hidden="1" x14ac:dyDescent="0.3">
      <c r="C56" s="101">
        <v>20</v>
      </c>
      <c r="D56" s="970"/>
      <c r="E56" s="971"/>
      <c r="F56" s="972"/>
      <c r="G56" s="973"/>
      <c r="H56" s="970"/>
      <c r="I56" s="974"/>
      <c r="J56" s="974"/>
      <c r="K56" s="974"/>
      <c r="L56" s="974"/>
      <c r="M56" s="974"/>
      <c r="N56" s="974"/>
      <c r="O56" s="971"/>
    </row>
    <row r="57" spans="3:15" hidden="1" x14ac:dyDescent="0.3">
      <c r="C57" s="101">
        <v>21</v>
      </c>
      <c r="D57" s="970"/>
      <c r="E57" s="971"/>
      <c r="F57" s="972"/>
      <c r="G57" s="973"/>
      <c r="H57" s="970"/>
      <c r="I57" s="974"/>
      <c r="J57" s="974"/>
      <c r="K57" s="974"/>
      <c r="L57" s="974"/>
      <c r="M57" s="974"/>
      <c r="N57" s="974"/>
      <c r="O57" s="971"/>
    </row>
    <row r="58" spans="3:15" hidden="1" x14ac:dyDescent="0.3">
      <c r="C58" s="101">
        <v>22</v>
      </c>
      <c r="D58" s="970"/>
      <c r="E58" s="971"/>
      <c r="F58" s="972"/>
      <c r="G58" s="973"/>
      <c r="H58" s="970"/>
      <c r="I58" s="974"/>
      <c r="J58" s="974"/>
      <c r="K58" s="974"/>
      <c r="L58" s="974"/>
      <c r="M58" s="974"/>
      <c r="N58" s="974"/>
      <c r="O58" s="971"/>
    </row>
    <row r="59" spans="3:15" hidden="1" x14ac:dyDescent="0.3">
      <c r="C59" s="101">
        <v>23</v>
      </c>
      <c r="D59" s="970"/>
      <c r="E59" s="971"/>
      <c r="F59" s="972"/>
      <c r="G59" s="973"/>
      <c r="H59" s="970"/>
      <c r="I59" s="974"/>
      <c r="J59" s="974"/>
      <c r="K59" s="974"/>
      <c r="L59" s="974"/>
      <c r="M59" s="974"/>
      <c r="N59" s="974"/>
      <c r="O59" s="971"/>
    </row>
    <row r="60" spans="3:15" hidden="1" x14ac:dyDescent="0.3">
      <c r="C60" s="101">
        <v>24</v>
      </c>
      <c r="D60" s="970"/>
      <c r="E60" s="971"/>
      <c r="F60" s="972"/>
      <c r="G60" s="973"/>
      <c r="H60" s="970"/>
      <c r="I60" s="974"/>
      <c r="J60" s="974"/>
      <c r="K60" s="974"/>
      <c r="L60" s="974"/>
      <c r="M60" s="974"/>
      <c r="N60" s="974"/>
      <c r="O60" s="971"/>
    </row>
    <row r="61" spans="3:15" hidden="1" x14ac:dyDescent="0.3">
      <c r="C61" s="101">
        <v>25</v>
      </c>
      <c r="D61" s="970"/>
      <c r="E61" s="971"/>
      <c r="F61" s="972"/>
      <c r="G61" s="973"/>
      <c r="H61" s="970"/>
      <c r="I61" s="974"/>
      <c r="J61" s="974"/>
      <c r="K61" s="974"/>
      <c r="L61" s="974"/>
      <c r="M61" s="974"/>
      <c r="N61" s="974"/>
      <c r="O61" s="971"/>
    </row>
    <row r="62" spans="3:15" hidden="1" x14ac:dyDescent="0.3">
      <c r="C62" s="101">
        <v>26</v>
      </c>
      <c r="D62" s="970"/>
      <c r="E62" s="971"/>
      <c r="F62" s="972"/>
      <c r="G62" s="973"/>
      <c r="H62" s="970"/>
      <c r="I62" s="974"/>
      <c r="J62" s="974"/>
      <c r="K62" s="974"/>
      <c r="L62" s="974"/>
      <c r="M62" s="974"/>
      <c r="N62" s="974"/>
      <c r="O62" s="971"/>
    </row>
    <row r="63" spans="3:15" hidden="1" x14ac:dyDescent="0.3">
      <c r="C63" s="101">
        <v>27</v>
      </c>
      <c r="D63" s="970"/>
      <c r="E63" s="971"/>
      <c r="F63" s="972"/>
      <c r="G63" s="973"/>
      <c r="H63" s="970"/>
      <c r="I63" s="974"/>
      <c r="J63" s="974"/>
      <c r="K63" s="974"/>
      <c r="L63" s="974"/>
      <c r="M63" s="974"/>
      <c r="N63" s="974"/>
      <c r="O63" s="971"/>
    </row>
    <row r="64" spans="3:15" hidden="1" x14ac:dyDescent="0.3">
      <c r="C64" s="101">
        <v>28</v>
      </c>
      <c r="D64" s="970"/>
      <c r="E64" s="971"/>
      <c r="F64" s="972"/>
      <c r="G64" s="973"/>
      <c r="H64" s="970"/>
      <c r="I64" s="974"/>
      <c r="J64" s="974"/>
      <c r="K64" s="974"/>
      <c r="L64" s="974"/>
      <c r="M64" s="974"/>
      <c r="N64" s="974"/>
      <c r="O64" s="971"/>
    </row>
    <row r="65" spans="3:15" hidden="1" x14ac:dyDescent="0.3">
      <c r="C65" s="101">
        <v>29</v>
      </c>
      <c r="D65" s="970"/>
      <c r="E65" s="971"/>
      <c r="F65" s="972"/>
      <c r="G65" s="973"/>
      <c r="H65" s="970"/>
      <c r="I65" s="974"/>
      <c r="J65" s="974"/>
      <c r="K65" s="974"/>
      <c r="L65" s="974"/>
      <c r="M65" s="974"/>
      <c r="N65" s="974"/>
      <c r="O65" s="971"/>
    </row>
    <row r="66" spans="3:15" hidden="1" x14ac:dyDescent="0.3">
      <c r="C66" s="101">
        <v>30</v>
      </c>
      <c r="D66" s="970"/>
      <c r="E66" s="971"/>
      <c r="F66" s="972"/>
      <c r="G66" s="973"/>
      <c r="H66" s="970"/>
      <c r="I66" s="974"/>
      <c r="J66" s="974"/>
      <c r="K66" s="974"/>
      <c r="L66" s="974"/>
      <c r="M66" s="974"/>
      <c r="N66" s="974"/>
      <c r="O66" s="971"/>
    </row>
    <row r="67" spans="3:15" hidden="1" x14ac:dyDescent="0.3">
      <c r="C67" s="101">
        <v>31</v>
      </c>
      <c r="D67" s="970"/>
      <c r="E67" s="971"/>
      <c r="F67" s="972"/>
      <c r="G67" s="973"/>
      <c r="H67" s="970"/>
      <c r="I67" s="974"/>
      <c r="J67" s="974"/>
      <c r="K67" s="974"/>
      <c r="L67" s="974"/>
      <c r="M67" s="974"/>
      <c r="N67" s="974"/>
      <c r="O67" s="971"/>
    </row>
    <row r="68" spans="3:15" hidden="1" x14ac:dyDescent="0.3">
      <c r="C68" s="101">
        <v>32</v>
      </c>
      <c r="D68" s="970"/>
      <c r="E68" s="971"/>
      <c r="F68" s="972"/>
      <c r="G68" s="973"/>
      <c r="H68" s="970"/>
      <c r="I68" s="974"/>
      <c r="J68" s="974"/>
      <c r="K68" s="974"/>
      <c r="L68" s="974"/>
      <c r="M68" s="974"/>
      <c r="N68" s="974"/>
      <c r="O68" s="971"/>
    </row>
    <row r="69" spans="3:15" hidden="1" x14ac:dyDescent="0.3">
      <c r="C69" s="101">
        <v>33</v>
      </c>
      <c r="D69" s="970"/>
      <c r="E69" s="971"/>
      <c r="F69" s="972"/>
      <c r="G69" s="973"/>
      <c r="H69" s="970"/>
      <c r="I69" s="974"/>
      <c r="J69" s="974"/>
      <c r="K69" s="974"/>
      <c r="L69" s="974"/>
      <c r="M69" s="974"/>
      <c r="N69" s="974"/>
      <c r="O69" s="971"/>
    </row>
    <row r="70" spans="3:15" hidden="1" x14ac:dyDescent="0.3">
      <c r="C70" s="101">
        <v>34</v>
      </c>
      <c r="D70" s="970"/>
      <c r="E70" s="971"/>
      <c r="F70" s="972"/>
      <c r="G70" s="973"/>
      <c r="H70" s="970"/>
      <c r="I70" s="974"/>
      <c r="J70" s="974"/>
      <c r="K70" s="974"/>
      <c r="L70" s="974"/>
      <c r="M70" s="974"/>
      <c r="N70" s="974"/>
      <c r="O70" s="971"/>
    </row>
    <row r="71" spans="3:15" hidden="1" x14ac:dyDescent="0.3">
      <c r="C71" s="101">
        <v>35</v>
      </c>
      <c r="D71" s="970"/>
      <c r="E71" s="971"/>
      <c r="F71" s="972"/>
      <c r="G71" s="973"/>
      <c r="H71" s="970"/>
      <c r="I71" s="974"/>
      <c r="J71" s="974"/>
      <c r="K71" s="974"/>
      <c r="L71" s="974"/>
      <c r="M71" s="974"/>
      <c r="N71" s="974"/>
      <c r="O71" s="971"/>
    </row>
    <row r="72" spans="3:15" hidden="1" x14ac:dyDescent="0.3">
      <c r="C72" s="101">
        <v>36</v>
      </c>
      <c r="D72" s="970"/>
      <c r="E72" s="971"/>
      <c r="F72" s="972"/>
      <c r="G72" s="973"/>
      <c r="H72" s="970"/>
      <c r="I72" s="974"/>
      <c r="J72" s="974"/>
      <c r="K72" s="974"/>
      <c r="L72" s="974"/>
      <c r="M72" s="974"/>
      <c r="N72" s="974"/>
      <c r="O72" s="971"/>
    </row>
    <row r="73" spans="3:15" hidden="1" x14ac:dyDescent="0.3">
      <c r="C73" s="101">
        <v>37</v>
      </c>
      <c r="D73" s="970"/>
      <c r="E73" s="971"/>
      <c r="F73" s="972"/>
      <c r="G73" s="973"/>
      <c r="H73" s="970"/>
      <c r="I73" s="974"/>
      <c r="J73" s="974"/>
      <c r="K73" s="974"/>
      <c r="L73" s="974"/>
      <c r="M73" s="974"/>
      <c r="N73" s="974"/>
      <c r="O73" s="971"/>
    </row>
    <row r="74" spans="3:15" hidden="1" x14ac:dyDescent="0.3">
      <c r="C74" s="101">
        <v>38</v>
      </c>
      <c r="D74" s="970"/>
      <c r="E74" s="971"/>
      <c r="F74" s="972"/>
      <c r="G74" s="973"/>
      <c r="H74" s="970"/>
      <c r="I74" s="974"/>
      <c r="J74" s="974"/>
      <c r="K74" s="974"/>
      <c r="L74" s="974"/>
      <c r="M74" s="974"/>
      <c r="N74" s="974"/>
      <c r="O74" s="971"/>
    </row>
    <row r="75" spans="3:15" hidden="1" x14ac:dyDescent="0.3">
      <c r="C75" s="101">
        <v>39</v>
      </c>
      <c r="D75" s="970"/>
      <c r="E75" s="971"/>
      <c r="F75" s="972"/>
      <c r="G75" s="973"/>
      <c r="H75" s="970"/>
      <c r="I75" s="974"/>
      <c r="J75" s="974"/>
      <c r="K75" s="974"/>
      <c r="L75" s="974"/>
      <c r="M75" s="974"/>
      <c r="N75" s="974"/>
      <c r="O75" s="971"/>
    </row>
    <row r="76" spans="3:15" hidden="1" x14ac:dyDescent="0.3">
      <c r="C76" s="101">
        <v>40</v>
      </c>
      <c r="D76" s="970"/>
      <c r="E76" s="971"/>
      <c r="F76" s="972"/>
      <c r="G76" s="973"/>
      <c r="H76" s="970"/>
      <c r="I76" s="974"/>
      <c r="J76" s="974"/>
      <c r="K76" s="974"/>
      <c r="L76" s="974"/>
      <c r="M76" s="974"/>
      <c r="N76" s="974"/>
      <c r="O76" s="971"/>
    </row>
    <row r="77" spans="3:15" hidden="1" x14ac:dyDescent="0.3">
      <c r="C77" s="101">
        <v>41</v>
      </c>
      <c r="D77" s="970"/>
      <c r="E77" s="971"/>
      <c r="F77" s="972"/>
      <c r="G77" s="973"/>
      <c r="H77" s="970"/>
      <c r="I77" s="974"/>
      <c r="J77" s="974"/>
      <c r="K77" s="974"/>
      <c r="L77" s="974"/>
      <c r="M77" s="974"/>
      <c r="N77" s="974"/>
      <c r="O77" s="971"/>
    </row>
    <row r="78" spans="3:15" s="96" customFormat="1" hidden="1" x14ac:dyDescent="0.2">
      <c r="C78" s="101">
        <v>42</v>
      </c>
      <c r="D78" s="970"/>
      <c r="E78" s="971"/>
      <c r="F78" s="972"/>
      <c r="G78" s="973"/>
      <c r="H78" s="970"/>
      <c r="I78" s="974"/>
      <c r="J78" s="974"/>
      <c r="K78" s="974"/>
      <c r="L78" s="974"/>
      <c r="M78" s="974"/>
      <c r="N78" s="974"/>
      <c r="O78" s="971"/>
    </row>
    <row r="79" spans="3:15" hidden="1" x14ac:dyDescent="0.3">
      <c r="C79" s="101">
        <v>43</v>
      </c>
      <c r="D79" s="970"/>
      <c r="E79" s="971"/>
      <c r="F79" s="972"/>
      <c r="G79" s="973"/>
      <c r="H79" s="970"/>
      <c r="I79" s="974"/>
      <c r="J79" s="974"/>
      <c r="K79" s="974"/>
      <c r="L79" s="974"/>
      <c r="M79" s="974"/>
      <c r="N79" s="974"/>
      <c r="O79" s="971"/>
    </row>
    <row r="80" spans="3:15" hidden="1" x14ac:dyDescent="0.3">
      <c r="C80" s="101">
        <v>44</v>
      </c>
      <c r="D80" s="970"/>
      <c r="E80" s="971"/>
      <c r="F80" s="972"/>
      <c r="G80" s="973"/>
      <c r="H80" s="970"/>
      <c r="I80" s="974"/>
      <c r="J80" s="974"/>
      <c r="K80" s="974"/>
      <c r="L80" s="974"/>
      <c r="M80" s="974"/>
      <c r="N80" s="974"/>
      <c r="O80" s="971"/>
    </row>
    <row r="81" spans="3:15" hidden="1" x14ac:dyDescent="0.3">
      <c r="C81" s="101">
        <v>45</v>
      </c>
      <c r="D81" s="970"/>
      <c r="E81" s="971"/>
      <c r="F81" s="972"/>
      <c r="G81" s="973"/>
      <c r="H81" s="970"/>
      <c r="I81" s="974"/>
      <c r="J81" s="974"/>
      <c r="K81" s="974"/>
      <c r="L81" s="974"/>
      <c r="M81" s="974"/>
      <c r="N81" s="974"/>
      <c r="O81" s="971"/>
    </row>
    <row r="82" spans="3:15" hidden="1" x14ac:dyDescent="0.3">
      <c r="C82" s="101">
        <v>46</v>
      </c>
      <c r="D82" s="970"/>
      <c r="E82" s="971"/>
      <c r="F82" s="972"/>
      <c r="G82" s="973"/>
      <c r="H82" s="970"/>
      <c r="I82" s="974"/>
      <c r="J82" s="974"/>
      <c r="K82" s="974"/>
      <c r="L82" s="974"/>
      <c r="M82" s="974"/>
      <c r="N82" s="974"/>
      <c r="O82" s="971"/>
    </row>
    <row r="83" spans="3:15" hidden="1" x14ac:dyDescent="0.3">
      <c r="C83" s="101">
        <v>47</v>
      </c>
      <c r="D83" s="970"/>
      <c r="E83" s="971"/>
      <c r="F83" s="972"/>
      <c r="G83" s="973"/>
      <c r="H83" s="970"/>
      <c r="I83" s="974"/>
      <c r="J83" s="974"/>
      <c r="K83" s="974"/>
      <c r="L83" s="974"/>
      <c r="M83" s="974"/>
      <c r="N83" s="974"/>
      <c r="O83" s="971"/>
    </row>
    <row r="84" spans="3:15" hidden="1" x14ac:dyDescent="0.3">
      <c r="C84" s="101">
        <v>48</v>
      </c>
      <c r="D84" s="970"/>
      <c r="E84" s="971"/>
      <c r="F84" s="972"/>
      <c r="G84" s="973"/>
      <c r="H84" s="970"/>
      <c r="I84" s="974"/>
      <c r="J84" s="974"/>
      <c r="K84" s="974"/>
      <c r="L84" s="974"/>
      <c r="M84" s="974"/>
      <c r="N84" s="974"/>
      <c r="O84" s="971"/>
    </row>
    <row r="85" spans="3:15" hidden="1" x14ac:dyDescent="0.3">
      <c r="C85" s="101">
        <v>49</v>
      </c>
      <c r="D85" s="970"/>
      <c r="E85" s="971"/>
      <c r="F85" s="972"/>
      <c r="G85" s="973"/>
      <c r="H85" s="970"/>
      <c r="I85" s="974"/>
      <c r="J85" s="974"/>
      <c r="K85" s="974"/>
      <c r="L85" s="974"/>
      <c r="M85" s="974"/>
      <c r="N85" s="974"/>
      <c r="O85" s="971"/>
    </row>
    <row r="86" spans="3:15" hidden="1" x14ac:dyDescent="0.3">
      <c r="C86" s="101">
        <v>50</v>
      </c>
      <c r="D86" s="970"/>
      <c r="E86" s="971"/>
      <c r="F86" s="972"/>
      <c r="G86" s="973"/>
      <c r="H86" s="970"/>
      <c r="I86" s="974"/>
      <c r="J86" s="974"/>
      <c r="K86" s="974"/>
      <c r="L86" s="974"/>
      <c r="M86" s="974"/>
      <c r="N86" s="974"/>
      <c r="O86" s="971"/>
    </row>
    <row r="87" spans="3:15" s="96" customFormat="1" hidden="1" x14ac:dyDescent="0.2">
      <c r="C87" s="101">
        <v>51</v>
      </c>
      <c r="D87" s="970"/>
      <c r="E87" s="971"/>
      <c r="F87" s="972"/>
      <c r="G87" s="973"/>
      <c r="H87" s="970"/>
      <c r="I87" s="974"/>
      <c r="J87" s="974"/>
      <c r="K87" s="974"/>
      <c r="L87" s="974"/>
      <c r="M87" s="974"/>
      <c r="N87" s="974"/>
      <c r="O87" s="971"/>
    </row>
    <row r="88" spans="3:15" hidden="1" x14ac:dyDescent="0.3">
      <c r="C88" s="101">
        <v>52</v>
      </c>
      <c r="D88" s="970"/>
      <c r="E88" s="971"/>
      <c r="F88" s="972"/>
      <c r="G88" s="973"/>
      <c r="H88" s="970"/>
      <c r="I88" s="974"/>
      <c r="J88" s="974"/>
      <c r="K88" s="974"/>
      <c r="L88" s="974"/>
      <c r="M88" s="974"/>
      <c r="N88" s="974"/>
      <c r="O88" s="971"/>
    </row>
    <row r="89" spans="3:15" hidden="1" x14ac:dyDescent="0.3">
      <c r="C89" s="101">
        <v>53</v>
      </c>
      <c r="D89" s="970"/>
      <c r="E89" s="971"/>
      <c r="F89" s="972"/>
      <c r="G89" s="973"/>
      <c r="H89" s="970"/>
      <c r="I89" s="974"/>
      <c r="J89" s="974"/>
      <c r="K89" s="974"/>
      <c r="L89" s="974"/>
      <c r="M89" s="974"/>
      <c r="N89" s="974"/>
      <c r="O89" s="971"/>
    </row>
    <row r="90" spans="3:15" hidden="1" x14ac:dyDescent="0.3">
      <c r="C90" s="101">
        <v>54</v>
      </c>
      <c r="D90" s="970"/>
      <c r="E90" s="971"/>
      <c r="F90" s="972"/>
      <c r="G90" s="973"/>
      <c r="H90" s="970"/>
      <c r="I90" s="974"/>
      <c r="J90" s="974"/>
      <c r="K90" s="974"/>
      <c r="L90" s="974"/>
      <c r="M90" s="974"/>
      <c r="N90" s="974"/>
      <c r="O90" s="971"/>
    </row>
    <row r="91" spans="3:15" hidden="1" x14ac:dyDescent="0.3">
      <c r="C91" s="101">
        <v>55</v>
      </c>
      <c r="D91" s="970"/>
      <c r="E91" s="971"/>
      <c r="F91" s="972"/>
      <c r="G91" s="973"/>
      <c r="H91" s="970"/>
      <c r="I91" s="974"/>
      <c r="J91" s="974"/>
      <c r="K91" s="974"/>
      <c r="L91" s="974"/>
      <c r="M91" s="974"/>
      <c r="N91" s="974"/>
      <c r="O91" s="971"/>
    </row>
    <row r="92" spans="3:15" hidden="1" x14ac:dyDescent="0.3">
      <c r="C92" s="101">
        <v>56</v>
      </c>
      <c r="D92" s="970"/>
      <c r="E92" s="971"/>
      <c r="F92" s="972"/>
      <c r="G92" s="973"/>
      <c r="H92" s="970"/>
      <c r="I92" s="974"/>
      <c r="J92" s="974"/>
      <c r="K92" s="974"/>
      <c r="L92" s="974"/>
      <c r="M92" s="974"/>
      <c r="N92" s="974"/>
      <c r="O92" s="971"/>
    </row>
    <row r="93" spans="3:15" hidden="1" x14ac:dyDescent="0.3">
      <c r="C93" s="101">
        <v>57</v>
      </c>
      <c r="D93" s="970"/>
      <c r="E93" s="971"/>
      <c r="F93" s="972"/>
      <c r="G93" s="973"/>
      <c r="H93" s="970"/>
      <c r="I93" s="974"/>
      <c r="J93" s="974"/>
      <c r="K93" s="974"/>
      <c r="L93" s="974"/>
      <c r="M93" s="974"/>
      <c r="N93" s="974"/>
      <c r="O93" s="971"/>
    </row>
    <row r="94" spans="3:15" ht="12.75" hidden="1" customHeight="1" x14ac:dyDescent="0.3">
      <c r="C94" s="101">
        <v>58</v>
      </c>
      <c r="D94" s="970"/>
      <c r="E94" s="971"/>
      <c r="F94" s="972"/>
      <c r="G94" s="973"/>
      <c r="H94" s="970"/>
      <c r="I94" s="974"/>
      <c r="J94" s="974"/>
      <c r="K94" s="974"/>
      <c r="L94" s="974"/>
      <c r="M94" s="974"/>
      <c r="N94" s="974"/>
      <c r="O94" s="971"/>
    </row>
    <row r="95" spans="3:15" hidden="1" x14ac:dyDescent="0.3">
      <c r="C95" s="101">
        <v>59</v>
      </c>
      <c r="D95" s="970"/>
      <c r="E95" s="971"/>
      <c r="F95" s="972"/>
      <c r="G95" s="973"/>
      <c r="H95" s="970"/>
      <c r="I95" s="974"/>
      <c r="J95" s="974"/>
      <c r="K95" s="974"/>
      <c r="L95" s="974"/>
      <c r="M95" s="974"/>
      <c r="N95" s="974"/>
      <c r="O95" s="971"/>
    </row>
    <row r="96" spans="3:15" s="96" customFormat="1" hidden="1" x14ac:dyDescent="0.2">
      <c r="C96" s="101">
        <v>60</v>
      </c>
      <c r="D96" s="970"/>
      <c r="E96" s="971"/>
      <c r="F96" s="972"/>
      <c r="G96" s="973"/>
      <c r="H96" s="970"/>
      <c r="I96" s="974"/>
      <c r="J96" s="974"/>
      <c r="K96" s="974"/>
      <c r="L96" s="974"/>
      <c r="M96" s="974"/>
      <c r="N96" s="974"/>
      <c r="O96" s="971"/>
    </row>
  </sheetData>
  <sheetProtection sheet="1" objects="1" scenarios="1" formatCells="0" formatColumns="0" formatRows="0" insertHyperlinks="0" selectLockedCells="1" sort="0" autoFilter="0"/>
  <autoFilter ref="D36:O96" xr:uid="{00000000-0009-0000-0000-000006000000}">
    <filterColumn colId="0" showButton="0"/>
    <filterColumn colId="2" showButton="0"/>
    <filterColumn colId="4" showButton="0"/>
    <filterColumn colId="5" showButton="0"/>
    <filterColumn colId="6" showButton="0"/>
    <filterColumn colId="7" showButton="0"/>
    <filterColumn colId="8" showButton="0"/>
    <filterColumn colId="9" showButton="0"/>
    <filterColumn colId="10" showButton="0"/>
  </autoFilter>
  <mergeCells count="54">
    <mergeCell ref="D52:E52"/>
    <mergeCell ref="F52:G52"/>
    <mergeCell ref="H52:O52"/>
    <mergeCell ref="D50:E50"/>
    <mergeCell ref="F50:G50"/>
    <mergeCell ref="H50:O50"/>
    <mergeCell ref="D51:E51"/>
    <mergeCell ref="F51:G51"/>
    <mergeCell ref="H51:O51"/>
    <mergeCell ref="D48:E48"/>
    <mergeCell ref="F48:G48"/>
    <mergeCell ref="H48:O48"/>
    <mergeCell ref="D49:E49"/>
    <mergeCell ref="F49:G49"/>
    <mergeCell ref="H49:O49"/>
    <mergeCell ref="F45:G45"/>
    <mergeCell ref="H45:O45"/>
    <mergeCell ref="F46:G46"/>
    <mergeCell ref="H46:O46"/>
    <mergeCell ref="D47:E47"/>
    <mergeCell ref="F47:G47"/>
    <mergeCell ref="H47:O47"/>
    <mergeCell ref="D46:E46"/>
    <mergeCell ref="D45:E45"/>
    <mergeCell ref="D42:E42"/>
    <mergeCell ref="D43:E43"/>
    <mergeCell ref="D44:E44"/>
    <mergeCell ref="F42:G42"/>
    <mergeCell ref="H42:O42"/>
    <mergeCell ref="F43:G43"/>
    <mergeCell ref="H43:O43"/>
    <mergeCell ref="F44:G44"/>
    <mergeCell ref="H44:O44"/>
    <mergeCell ref="N1:O1"/>
    <mergeCell ref="D5:E5"/>
    <mergeCell ref="C1:M1"/>
    <mergeCell ref="D36:E36"/>
    <mergeCell ref="F36:G36"/>
    <mergeCell ref="F37:G37"/>
    <mergeCell ref="H36:O36"/>
    <mergeCell ref="H37:O37"/>
    <mergeCell ref="D37:E37"/>
    <mergeCell ref="D38:E38"/>
    <mergeCell ref="D39:E39"/>
    <mergeCell ref="D40:E40"/>
    <mergeCell ref="D41:E41"/>
    <mergeCell ref="F38:G38"/>
    <mergeCell ref="H38:O38"/>
    <mergeCell ref="F39:G39"/>
    <mergeCell ref="H39:O39"/>
    <mergeCell ref="F40:G40"/>
    <mergeCell ref="H40:O40"/>
    <mergeCell ref="F41:G41"/>
    <mergeCell ref="H41:O41"/>
  </mergeCells>
  <conditionalFormatting sqref="C3:C4">
    <cfRule type="iconSet" priority="9">
      <iconSet iconSet="3Symbols2" showValue="0" reverse="1">
        <cfvo type="percent" val="0"/>
        <cfvo type="num" val="1.25"/>
        <cfvo type="num" val="2.25"/>
      </iconSet>
    </cfRule>
  </conditionalFormatting>
  <conditionalFormatting sqref="I3:I4">
    <cfRule type="expression" dxfId="238" priority="7">
      <formula>$I$3&lt;TODAY()</formula>
    </cfRule>
  </conditionalFormatting>
  <pageMargins left="0.19685039370078741" right="0.19685039370078741" top="0.31496062992125984" bottom="0.43307086614173229" header="0" footer="0.19685039370078741"/>
  <pageSetup paperSize="9" scale="94" orientation="landscape" r:id="rId1"/>
  <headerFooter scaleWithDoc="0">
    <oddFooter>&amp;L&amp;8&amp;K01+049(c) s. imboden&amp;C&amp;8&amp;K01+049printed &amp;D&amp;R&amp;8&amp;K03+000&amp;P/&amp;N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0013" r:id="rId4" name="Drop Down 333">
              <controlPr defaultSize="0" print="0" autoLine="0" autoPict="0" altText="Choose language">
                <anchor>
                  <from>
                    <xdr:col>14</xdr:col>
                    <xdr:colOff>0</xdr:colOff>
                    <xdr:row>2</xdr:row>
                    <xdr:rowOff>38100</xdr:rowOff>
                  </from>
                  <to>
                    <xdr:col>15</xdr:col>
                    <xdr:colOff>0</xdr:colOff>
                    <xdr:row>2</xdr:row>
                    <xdr:rowOff>228600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2" id="{A36FD62A-69E9-4AD8-A0D3-2C741308AC28}">
            <x14:iconSet showValue="0" custom="1">
              <x14:cfvo type="percent">
                <xm:f>0</xm:f>
              </x14:cfvo>
              <x14:cfvo type="num" gte="0">
                <xm:f>2</xm:f>
              </x14:cfvo>
              <x14:cfvo type="num">
                <xm:f>2</xm:f>
              </x14:cfvo>
              <x14:cfIcon iconSet="3TrafficLights1" iconId="1"/>
              <x14:cfIcon iconSet="3TrafficLights1" iconId="1"/>
              <x14:cfIcon iconSet="3TrafficLights1" iconId="1"/>
            </x14:iconSet>
          </x14:cfRule>
          <xm:sqref>N3</xm:sqref>
        </x14:conditionalFormatting>
        <x14:conditionalFormatting xmlns:xm="http://schemas.microsoft.com/office/excel/2006/main">
          <x14:cfRule type="expression" priority="19874" id="{BF9800EF-45EA-4253-83AA-E0B839950428}">
            <xm:f>Detailplan!#REF!&gt;Detailplan!#REF!</xm:f>
            <x14:dxf>
              <font>
                <color rgb="FFFF3300"/>
              </font>
            </x14:dxf>
          </x14:cfRule>
          <xm:sqref>M4</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InputMessage="1" xr:uid="{00000000-0002-0000-0600-000000000000}">
          <x14:formula1>
            <xm:f>Projektteam!$AZ$10:$AZ$31</xm:f>
          </x14:formula1>
          <xm:sqref>D37:E96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eam">
    <tabColor theme="3" tint="0.59999389629810485"/>
    <pageSetUpPr fitToPage="1"/>
  </sheetPr>
  <dimension ref="A1:DQ52"/>
  <sheetViews>
    <sheetView showGridLines="0" zoomScaleNormal="100" zoomScaleSheetLayoutView="100" workbookViewId="0">
      <pane xSplit="3" ySplit="10" topLeftCell="D11" activePane="bottomRight" state="frozen"/>
      <selection activeCell="C28" sqref="C28"/>
      <selection pane="topRight" activeCell="C28" sqref="C28"/>
      <selection pane="bottomLeft" activeCell="C28" sqref="C28"/>
      <selection pane="bottomRight" activeCell="AM3" sqref="AM3"/>
    </sheetView>
  </sheetViews>
  <sheetFormatPr baseColWidth="10" defaultColWidth="11.44140625" defaultRowHeight="14.4" x14ac:dyDescent="0.3"/>
  <cols>
    <col min="1" max="1" width="7" style="111" customWidth="1"/>
    <col min="2" max="3" width="18.88671875" style="112" customWidth="1"/>
    <col min="4" max="4" width="7.88671875" style="112" customWidth="1"/>
    <col min="5" max="5" width="4.88671875" style="112" customWidth="1"/>
    <col min="6" max="8" width="3.109375" style="112" hidden="1" customWidth="1"/>
    <col min="9" max="9" width="2.44140625" style="112" hidden="1" customWidth="1"/>
    <col min="10" max="18" width="3.109375" style="112" hidden="1" customWidth="1"/>
    <col min="19" max="22" width="7" style="112" hidden="1" customWidth="1"/>
    <col min="23" max="23" width="3.5546875" style="112" hidden="1" customWidth="1"/>
    <col min="24" max="24" width="6.88671875" style="112" customWidth="1"/>
    <col min="25" max="25" width="3.88671875" style="112" customWidth="1"/>
    <col min="26" max="26" width="14.88671875" style="112" customWidth="1"/>
    <col min="27" max="27" width="15.5546875" style="112" customWidth="1"/>
    <col min="28" max="28" width="13.44140625" style="112" customWidth="1"/>
    <col min="29" max="29" width="12.44140625" style="112" customWidth="1"/>
    <col min="30" max="30" width="8.88671875" style="112" hidden="1" customWidth="1"/>
    <col min="31" max="31" width="12.44140625" style="112" hidden="1" customWidth="1"/>
    <col min="32" max="32" width="8.88671875" style="112" hidden="1" customWidth="1"/>
    <col min="33" max="33" width="15.5546875" style="112" hidden="1" customWidth="1"/>
    <col min="34" max="35" width="13.88671875" style="112" hidden="1" customWidth="1"/>
    <col min="36" max="36" width="15.5546875" style="112" hidden="1" customWidth="1"/>
    <col min="37" max="37" width="8.88671875" style="112" hidden="1" customWidth="1"/>
    <col min="38" max="38" width="15.5546875" style="112" hidden="1" customWidth="1"/>
    <col min="39" max="39" width="25.5546875" style="112" customWidth="1"/>
    <col min="40" max="40" width="14.109375" style="665" hidden="1" customWidth="1"/>
    <col min="41" max="44" width="14.109375" style="666" hidden="1" customWidth="1"/>
    <col min="45" max="50" width="14.109375" style="667" hidden="1" customWidth="1"/>
    <col min="51" max="51" width="32.5546875" style="586" hidden="1" customWidth="1"/>
    <col min="52" max="52" width="24.44140625" style="587" hidden="1" customWidth="1"/>
    <col min="53" max="53" width="31.88671875" style="579" hidden="1" customWidth="1"/>
    <col min="54" max="54" width="36.109375" style="112" hidden="1" customWidth="1"/>
    <col min="55" max="62" width="3" style="112" hidden="1" customWidth="1"/>
    <col min="63" max="63" width="11.88671875" style="588" hidden="1" customWidth="1"/>
    <col min="64" max="64" width="3" style="112" hidden="1" customWidth="1"/>
    <col min="65" max="65" width="8.88671875" style="112" customWidth="1"/>
    <col min="66" max="93" width="3" style="112" customWidth="1"/>
    <col min="94" max="95" width="11.44140625" style="112" customWidth="1"/>
    <col min="96" max="96" width="5.109375" style="112" customWidth="1"/>
    <col min="97" max="120" width="11.44140625" style="112"/>
    <col min="121" max="121" width="11.44140625" style="78"/>
    <col min="122" max="16384" width="11.44140625" style="112"/>
  </cols>
  <sheetData>
    <row r="1" spans="1:64" s="70" customFormat="1" ht="46.5" customHeight="1" x14ac:dyDescent="0.6">
      <c r="A1" s="825"/>
      <c r="B1" s="825" t="str">
        <f ca="1">' '!A18</f>
        <v>Project team</v>
      </c>
      <c r="C1" s="566"/>
      <c r="D1" s="566"/>
      <c r="E1" s="566"/>
      <c r="F1" s="566"/>
      <c r="G1" s="566"/>
      <c r="H1" s="566"/>
      <c r="I1" s="566"/>
      <c r="J1" s="566"/>
      <c r="K1" s="566"/>
      <c r="L1" s="566"/>
      <c r="M1" s="566"/>
      <c r="N1" s="566"/>
      <c r="O1" s="566"/>
      <c r="P1" s="566"/>
      <c r="Q1" s="566"/>
      <c r="R1" s="566"/>
      <c r="S1" s="566"/>
      <c r="T1" s="566"/>
      <c r="U1" s="566"/>
      <c r="V1" s="566"/>
      <c r="W1" s="566"/>
      <c r="X1" s="567"/>
      <c r="Y1" s="567"/>
      <c r="Z1" s="566"/>
      <c r="AA1" s="567"/>
      <c r="AB1" s="73"/>
      <c r="AC1" s="73"/>
      <c r="AD1" s="73"/>
      <c r="AE1" s="73"/>
      <c r="AF1" s="73"/>
      <c r="AG1" s="73"/>
      <c r="AH1" s="73"/>
      <c r="AI1" s="73"/>
      <c r="AJ1" s="73"/>
      <c r="AK1" s="73"/>
      <c r="AL1" s="73"/>
      <c r="AM1" s="132"/>
      <c r="AN1" s="711"/>
      <c r="AO1" s="710"/>
      <c r="AP1" s="568"/>
      <c r="AQ1" s="568"/>
      <c r="AR1" s="568"/>
      <c r="AS1" s="569"/>
      <c r="AT1" s="569"/>
      <c r="AU1" s="569"/>
      <c r="AV1" s="569"/>
      <c r="AW1" s="569"/>
      <c r="AX1" s="569"/>
      <c r="AY1" s="570"/>
      <c r="AZ1" s="571"/>
      <c r="BA1" s="572"/>
      <c r="BK1" s="573"/>
    </row>
    <row r="2" spans="1:64" s="75" customFormat="1" ht="32.1" customHeight="1" x14ac:dyDescent="0.3">
      <c r="A2" s="105"/>
      <c r="B2" s="135"/>
      <c r="AN2" s="629" t="str">
        <f t="shared" ref="AN2:AN25" si="0">IF(D11&lt;&gt;"",D11,"")</f>
        <v>abd</v>
      </c>
      <c r="AO2" s="630" t="str">
        <f t="array" ref="AO2">IF(ROW(AN1)&gt;COUNTIF($AN:$AN,"&gt;*"),"",INDEX(AN:AN,SMALL(IF(AN$1:AN$1001&lt;&gt;"",ROW($1:$101)),ROWS($1:1))))</f>
        <v>abd</v>
      </c>
      <c r="AP2" s="575"/>
      <c r="AQ2" s="575"/>
      <c r="AR2" s="575"/>
      <c r="AS2" s="576"/>
      <c r="AT2" s="576"/>
      <c r="AU2" s="576"/>
      <c r="AV2" s="576"/>
      <c r="AW2" s="576"/>
      <c r="AX2" s="576"/>
      <c r="AY2" s="577"/>
      <c r="AZ2" s="578"/>
      <c r="BA2" s="579"/>
      <c r="BB2" s="75" t="str">
        <f t="array" aca="1" ref="BB2" ca="1">IF(ROW(AY1)&gt;COUNTIF($AY:$AY,"&gt;*"),"",INDEX(AY:AY,SMALL(IF(AY$1:AY$1001&lt;&gt;"",ROW($1:$101)),ROWS($1:1))))</f>
        <v>abc def (abd): Budget [h]: 0 / balance budget [h]: 0 / realized [h]: 0</v>
      </c>
      <c r="BK2" s="580"/>
    </row>
    <row r="3" spans="1:64" ht="15" customHeight="1" x14ac:dyDescent="0.3">
      <c r="A3" s="78"/>
      <c r="B3" s="594" t="str">
        <f ca="1">Projektauftrag!B4</f>
        <v>Project number:</v>
      </c>
      <c r="C3" s="729" t="str">
        <f>IF(Projektauftrag!D4&lt;&gt;"",Projektauftrag!D4,' '!A190)</f>
        <v>P1</v>
      </c>
      <c r="D3" s="584" t="str">
        <f ca="1">Projektauftrag!E4</f>
        <v>Start:</v>
      </c>
      <c r="E3" s="582"/>
      <c r="F3" s="582"/>
      <c r="G3" s="582"/>
      <c r="H3" s="582"/>
      <c r="I3" s="582"/>
      <c r="J3" s="582"/>
      <c r="K3" s="582"/>
      <c r="L3" s="582"/>
      <c r="M3" s="582"/>
      <c r="N3" s="582"/>
      <c r="O3" s="582"/>
      <c r="P3" s="582"/>
      <c r="Q3" s="582"/>
      <c r="R3" s="582"/>
      <c r="S3" s="582"/>
      <c r="T3" s="582"/>
      <c r="U3" s="582"/>
      <c r="V3" s="582"/>
      <c r="W3" s="582"/>
      <c r="X3" s="582"/>
      <c r="Y3" s="1107">
        <f ca="1">IF(Projektauftrag!G4&lt;&gt;"",Projektauftrag!G4,' '!A190)</f>
        <v>46049</v>
      </c>
      <c r="Z3" s="1107"/>
      <c r="AA3" s="727" t="str">
        <f ca="1">Projektauftrag!H4</f>
        <v>Finish:</v>
      </c>
      <c r="AB3" s="763">
        <f ca="1">IF(Projektauftrag!J4&lt;&gt;"",Projektauftrag!J4,' '!A190)</f>
        <v>46799</v>
      </c>
      <c r="AC3" s="764"/>
      <c r="AD3" s="584" t="str">
        <f ca="1">' '!A182</f>
        <v>Remarks</v>
      </c>
      <c r="AE3" s="584"/>
      <c r="AF3" s="585"/>
      <c r="AG3" s="585"/>
      <c r="AH3" s="585"/>
      <c r="AI3" s="585"/>
      <c r="AJ3" s="585"/>
      <c r="AK3" s="585"/>
      <c r="AL3" s="585"/>
      <c r="AM3" s="766" t="str">
        <f ca="1">AD3</f>
        <v>Remarks</v>
      </c>
      <c r="AN3" s="629" t="str">
        <f t="shared" si="0"/>
        <v>ghj</v>
      </c>
      <c r="AO3" s="630" t="str">
        <f t="array" ref="AO3">IF(ROW(AN2)&gt;COUNTIF($AN:$AN,"&gt;*"),"",INDEX(AN:AN,SMALL(IF(AN$1:AN$1001&lt;&gt;"",ROW($1:$101)),ROWS($1:2))))</f>
        <v>ghj</v>
      </c>
      <c r="AP3" s="575"/>
      <c r="AQ3" s="575"/>
      <c r="AR3" s="575"/>
      <c r="AS3" s="576"/>
      <c r="AT3" s="576"/>
      <c r="AU3" s="576"/>
      <c r="AV3" s="576"/>
      <c r="AW3" s="576"/>
      <c r="AX3" s="576"/>
      <c r="BB3" s="75" t="str">
        <f t="array" aca="1" ref="BB3" ca="1">IF(ROW(AY2)&gt;COUNTIF($AY:$AY,"&gt;*"),"",INDEX(AY:AY,SMALL(IF(AY$1:AY$1001&lt;&gt;"",ROW($1:$101)),ROWS($1:2))))</f>
        <v>ghi jkl (ghj): Budget [h]: 0 / balance budget [h]: 0 / realized [h]: 0</v>
      </c>
      <c r="BL3" s="857" t="b">
        <v>1</v>
      </c>
    </row>
    <row r="4" spans="1:64" ht="27" customHeight="1" x14ac:dyDescent="0.3">
      <c r="B4" s="724" t="str">
        <f ca="1">Projektauftrag!B5</f>
        <v>Project title:</v>
      </c>
      <c r="C4" s="907" t="str">
        <f>IF(Projektauftrag!D5&lt;&gt;"",Projektauftrag!D5,' '!A190)</f>
        <v>Projet Agile 1</v>
      </c>
      <c r="D4" s="726" t="str">
        <f ca="1">Projektauftrag!E5</f>
        <v>Procuct Owner:</v>
      </c>
      <c r="E4" s="590"/>
      <c r="F4" s="590"/>
      <c r="G4" s="590"/>
      <c r="H4" s="590"/>
      <c r="I4" s="590"/>
      <c r="J4" s="590"/>
      <c r="K4" s="590"/>
      <c r="L4" s="590"/>
      <c r="M4" s="590"/>
      <c r="N4" s="590"/>
      <c r="O4" s="590"/>
      <c r="P4" s="590"/>
      <c r="Q4" s="590"/>
      <c r="R4" s="590"/>
      <c r="S4" s="590"/>
      <c r="T4" s="590"/>
      <c r="U4" s="590"/>
      <c r="V4" s="590"/>
      <c r="W4" s="590"/>
      <c r="X4" s="590"/>
      <c r="Y4" s="1108" t="str">
        <f>IF(Projektauftrag!G5&lt;&gt;"",Projektauftrag!G5,' '!A190)</f>
        <v>xyz xxx</v>
      </c>
      <c r="Z4" s="1108"/>
      <c r="AA4" s="728" t="str">
        <f ca="1">Projektauftrag!H5</f>
        <v>Scrum Master:</v>
      </c>
      <c r="AB4" s="1108" t="str">
        <f>IF(Projektauftrag!J5&lt;&gt;"",Projektauftrag!J5,' '!A190)</f>
        <v>abc def (abc)</v>
      </c>
      <c r="AC4" s="1109"/>
      <c r="AD4" s="1116"/>
      <c r="AE4" s="1116"/>
      <c r="AF4" s="1116"/>
      <c r="AG4" s="1116"/>
      <c r="AH4" s="1116"/>
      <c r="AI4" s="1116"/>
      <c r="AJ4" s="1116"/>
      <c r="AK4" s="1116"/>
      <c r="AL4" s="1116"/>
      <c r="AM4" s="1110"/>
      <c r="AN4" s="629" t="str">
        <f t="shared" si="0"/>
        <v>Sc1</v>
      </c>
      <c r="AO4" s="630" t="str">
        <f t="array" ref="AO4">IF(ROW(AN3)&gt;COUNTIF($AN:$AN,"&gt;*"),"",INDEX(AN:AN,SMALL(IF(AN$1:AN$1001&lt;&gt;"",ROW($1:$101)),ROWS($1:3))))</f>
        <v>Sc1</v>
      </c>
      <c r="AP4" s="575"/>
      <c r="AQ4" s="575"/>
      <c r="AR4" s="575"/>
      <c r="AS4" s="576"/>
      <c r="AT4" s="576"/>
      <c r="AU4" s="576"/>
      <c r="AV4" s="576"/>
      <c r="AW4" s="576"/>
      <c r="AX4" s="576"/>
      <c r="BB4" s="75" t="str">
        <f t="array" aca="1" ref="BB4" ca="1">IF(ROW(AY3)&gt;COUNTIF($AY:$AY,"&gt;*"),"",INDEX(AY:AY,SMALL(IF(AY$1:AY$1001&lt;&gt;"",ROW($1:$101)),ROWS($1:3))))</f>
        <v>ScrumTeam 1 1 (Sc1): Budget [h]: 0 / balance budget [h]: 0 / realized [h]: 0</v>
      </c>
    </row>
    <row r="5" spans="1:64" ht="15.75" customHeight="1" x14ac:dyDescent="0.3">
      <c r="B5" s="724" t="str">
        <f ca="1">Projektauftrag!B6</f>
        <v>Department:</v>
      </c>
      <c r="C5" s="730" t="str">
        <f ca="1">IF(Projektauftrag!D6&lt;&gt;"",Projektauftrag!D6,' '!A190)</f>
        <v>see charter</v>
      </c>
      <c r="D5" s="726" t="str">
        <f ca="1">Projektauftrag!E6</f>
        <v>Modified on:</v>
      </c>
      <c r="E5" s="590"/>
      <c r="F5" s="590"/>
      <c r="G5" s="590"/>
      <c r="H5" s="590"/>
      <c r="I5" s="590"/>
      <c r="J5" s="590"/>
      <c r="K5" s="590"/>
      <c r="L5" s="590"/>
      <c r="M5" s="590"/>
      <c r="N5" s="590"/>
      <c r="O5" s="590"/>
      <c r="P5" s="590"/>
      <c r="Q5" s="590"/>
      <c r="R5" s="590"/>
      <c r="S5" s="590"/>
      <c r="T5" s="590"/>
      <c r="U5" s="590"/>
      <c r="V5" s="590"/>
      <c r="W5" s="590"/>
      <c r="X5" s="590"/>
      <c r="Y5" s="1121"/>
      <c r="Z5" s="1121"/>
      <c r="AA5" s="728" t="str">
        <f ca="1">Projektauftrag!H6</f>
        <v>Deputy:</v>
      </c>
      <c r="AB5" s="1108" t="str">
        <f>IF(Projektauftrag!J6&lt;&gt;"",Projektauftrag!J6,' '!A190)</f>
        <v>ghi jkl (ghi)</v>
      </c>
      <c r="AC5" s="1109"/>
      <c r="AD5" s="1117"/>
      <c r="AE5" s="1117"/>
      <c r="AF5" s="1117"/>
      <c r="AG5" s="1117"/>
      <c r="AH5" s="1117"/>
      <c r="AI5" s="1117"/>
      <c r="AJ5" s="1117"/>
      <c r="AK5" s="1117"/>
      <c r="AL5" s="1117"/>
      <c r="AM5" s="1110"/>
      <c r="AN5" s="629" t="str">
        <f t="shared" si="0"/>
        <v/>
      </c>
      <c r="AO5" s="630" t="str">
        <f t="array" ref="AO5">IF(ROW(AN4)&gt;COUNTIF($AN:$AN,"&gt;*"),"",INDEX(AN:AN,SMALL(IF(AN$1:AN$1001&lt;&gt;"",ROW($1:$101)),ROWS($1:4))))</f>
        <v>T1 (abd)</v>
      </c>
      <c r="AP5" s="575"/>
      <c r="AQ5" s="575"/>
      <c r="AR5" s="575"/>
      <c r="AS5" s="576"/>
      <c r="AT5" s="576"/>
      <c r="AU5" s="576"/>
      <c r="AV5" s="576"/>
      <c r="AW5" s="576"/>
      <c r="AX5" s="576"/>
      <c r="BB5" s="75" t="str">
        <f t="array" aca="1" ref="BB5" ca="1">IF(ROW(AY4)&gt;COUNTIF($AY:$AY,"&gt;*"),"",INDEX(AY:AY,SMALL(IF(AY$1:AY$1001&lt;&gt;"",ROW($1:$101)),ROWS($1:4))))</f>
        <v>T1 (abd) (3)</v>
      </c>
    </row>
    <row r="6" spans="1:64" ht="29.1" customHeight="1" thickBot="1" x14ac:dyDescent="0.35">
      <c r="B6" s="725" t="str">
        <f ca="1">Projektauftrag!B7</f>
        <v>Strategic goal:</v>
      </c>
      <c r="C6" s="592" t="str">
        <f ca="1">IF(Projektauftrag!D7&lt;&gt;"",Projektauftrag!D7,' '!A190)</f>
        <v>see charter</v>
      </c>
      <c r="D6" s="593"/>
      <c r="E6" s="593"/>
      <c r="F6" s="593"/>
      <c r="G6" s="593"/>
      <c r="H6" s="593"/>
      <c r="I6" s="593"/>
      <c r="J6" s="593"/>
      <c r="K6" s="593"/>
      <c r="L6" s="593"/>
      <c r="M6" s="593"/>
      <c r="N6" s="593"/>
      <c r="O6" s="593"/>
      <c r="P6" s="593"/>
      <c r="Q6" s="593"/>
      <c r="R6" s="593"/>
      <c r="S6" s="593"/>
      <c r="T6" s="593"/>
      <c r="U6" s="593"/>
      <c r="V6" s="593"/>
      <c r="W6" s="593"/>
      <c r="X6" s="593"/>
      <c r="Y6" s="593"/>
      <c r="Z6" s="593"/>
      <c r="AA6" s="593"/>
      <c r="AB6" s="762"/>
      <c r="AC6" s="765"/>
      <c r="AD6" s="1117"/>
      <c r="AE6" s="1117"/>
      <c r="AF6" s="1117"/>
      <c r="AG6" s="1117"/>
      <c r="AH6" s="1117"/>
      <c r="AI6" s="1117"/>
      <c r="AJ6" s="1117"/>
      <c r="AK6" s="1117"/>
      <c r="AL6" s="1117"/>
      <c r="AM6" s="1110"/>
      <c r="AN6" s="629" t="str">
        <f t="shared" si="0"/>
        <v/>
      </c>
      <c r="AO6" s="630" t="str">
        <f t="array" ref="AO6">IF(ROW(AN5)&gt;COUNTIF($AN:$AN,"&gt;*"),"",INDEX(AN:AN,SMALL(IF(AN$1:AN$1001&lt;&gt;"",ROW($1:$101)),ROWS($1:5))))</f>
        <v/>
      </c>
      <c r="AP6" s="575"/>
      <c r="AQ6" s="575"/>
      <c r="AR6" s="575"/>
      <c r="AS6" s="576"/>
      <c r="AT6" s="576"/>
      <c r="AU6" s="576"/>
      <c r="AV6" s="576"/>
      <c r="AW6" s="576"/>
      <c r="AX6" s="576"/>
      <c r="BB6" s="75" t="str">
        <f t="array" aca="1" ref="BB6" ca="1">IF(ROW(AY5)&gt;COUNTIF($AY:$AY,"&gt;*"),"",INDEX(AY:AY,SMALL(IF(AY$1:AY$1001&lt;&gt;"",ROW($1:$101)),ROWS($1:5))))</f>
        <v/>
      </c>
    </row>
    <row r="7" spans="1:64" ht="9.75" customHeight="1" thickTop="1" x14ac:dyDescent="0.3">
      <c r="B7" s="114"/>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24" t="str">
        <f ca="1">' '!A211</f>
        <v>BUDGET</v>
      </c>
      <c r="AE7" s="1124"/>
      <c r="AF7" s="1124"/>
      <c r="AG7" s="1124"/>
      <c r="AH7" s="1124"/>
      <c r="AI7" s="1124"/>
      <c r="AJ7" s="1125"/>
      <c r="AK7" s="1122" t="str">
        <f ca="1">' '!A137</f>
        <v>Realized</v>
      </c>
      <c r="AL7" s="1122"/>
      <c r="AM7" s="856"/>
      <c r="AN7" s="629" t="str">
        <f t="shared" si="0"/>
        <v/>
      </c>
      <c r="AO7" s="630" t="str">
        <f t="array" ref="AO7">IF(ROW(AN6)&gt;COUNTIF($AN:$AN,"&gt;*"),"",INDEX(AN:AN,SMALL(IF(AN$1:AN$1001&lt;&gt;"",ROW($1:$101)),ROWS($1:6))))</f>
        <v/>
      </c>
      <c r="AP7" s="575"/>
      <c r="AQ7" s="575"/>
      <c r="AR7" s="575"/>
      <c r="AS7" s="576"/>
      <c r="AT7" s="576"/>
      <c r="AU7" s="576"/>
      <c r="AV7" s="576"/>
      <c r="AW7" s="576"/>
      <c r="AX7" s="576"/>
      <c r="BB7" s="75" t="str">
        <f t="array" aca="1" ref="BB7" ca="1">IF(ROW(AY6)&gt;COUNTIF($AY:$AY,"&gt;*"),"",INDEX(AY:AY,SMALL(IF(AY$1:AY$1001&lt;&gt;"",ROW($1:$101)),ROWS($1:6))))</f>
        <v/>
      </c>
    </row>
    <row r="8" spans="1:64" ht="15" customHeight="1" thickBot="1" x14ac:dyDescent="0.35">
      <c r="AD8" s="1126"/>
      <c r="AE8" s="1126"/>
      <c r="AF8" s="1126"/>
      <c r="AG8" s="1126"/>
      <c r="AH8" s="1126"/>
      <c r="AI8" s="1126"/>
      <c r="AJ8" s="1127"/>
      <c r="AK8" s="1123"/>
      <c r="AL8" s="1123"/>
      <c r="AM8" s="854"/>
      <c r="AN8" s="629" t="str">
        <f t="shared" si="0"/>
        <v/>
      </c>
      <c r="AO8" s="630" t="str">
        <f t="array" ref="AO8">IF(ROW(AN7)&gt;COUNTIF($AN:$AN,"&gt;*"),"",INDEX(AN:AN,SMALL(IF(AN$1:AN$1001&lt;&gt;"",ROW($1:$101)),ROWS($1:7))))</f>
        <v/>
      </c>
      <c r="AP8" s="575"/>
      <c r="AQ8" s="575"/>
      <c r="AR8" s="575"/>
      <c r="AS8" s="576"/>
      <c r="AT8" s="576"/>
      <c r="AU8" s="576"/>
      <c r="AV8" s="576"/>
      <c r="AW8" s="576"/>
      <c r="AX8" s="576"/>
      <c r="BB8" s="75" t="str">
        <f t="array" aca="1" ref="BB8" ca="1">IF(ROW(AY7)&gt;COUNTIF($AY:$AY,"&gt;*"),"",INDEX(AY:AY,SMALL(IF(AY$1:AY$1001&lt;&gt;"",ROW($1:$101)),ROWS($1:7))))</f>
        <v/>
      </c>
    </row>
    <row r="9" spans="1:64" ht="32.25" customHeight="1" x14ac:dyDescent="0.3">
      <c r="A9" s="139">
        <f>COUNTA(D11:D31)</f>
        <v>21</v>
      </c>
      <c r="B9" s="742" t="str">
        <f ca="1">' '!A204</f>
        <v>Name</v>
      </c>
      <c r="C9" s="743" t="str">
        <f ca="1">' '!A205</f>
        <v>First name</v>
      </c>
      <c r="D9" s="746" t="str">
        <f ca="1">' '!A206</f>
        <v>Initials</v>
      </c>
      <c r="E9" s="744" t="str">
        <f ca="1">' '!A207</f>
        <v>intern</v>
      </c>
      <c r="F9" s="738" t="s">
        <v>1114</v>
      </c>
      <c r="G9" s="738" t="s">
        <v>1114</v>
      </c>
      <c r="H9" s="738" t="s">
        <v>1114</v>
      </c>
      <c r="I9" s="739">
        <v>1</v>
      </c>
      <c r="J9" s="739">
        <v>2</v>
      </c>
      <c r="K9" s="739">
        <v>3</v>
      </c>
      <c r="L9" s="739">
        <v>4</v>
      </c>
      <c r="M9" s="739">
        <v>5</v>
      </c>
      <c r="N9" s="1113" t="s">
        <v>1155</v>
      </c>
      <c r="O9" s="1114"/>
      <c r="P9" s="1114"/>
      <c r="Q9" s="1114"/>
      <c r="R9" s="1115"/>
      <c r="S9" s="715"/>
      <c r="T9" s="715"/>
      <c r="U9" s="715"/>
      <c r="V9" s="715"/>
      <c r="W9" s="715"/>
      <c r="X9" s="1128" t="str">
        <f ca="1">' '!A208</f>
        <v>Email</v>
      </c>
      <c r="Y9" s="1128"/>
      <c r="Z9" s="1128"/>
      <c r="AA9" s="743" t="str">
        <f ca="1">' '!A209</f>
        <v>Telephone</v>
      </c>
      <c r="AB9" s="743" t="str">
        <f ca="1">' '!A220</f>
        <v xml:space="preserve"> Function</v>
      </c>
      <c r="AC9" s="745" t="str">
        <f ca="1">' '!A210&amp;" ["&amp;Logo!D12&amp;"]"</f>
        <v>Hourly rate [CHF]</v>
      </c>
      <c r="AD9" s="734" t="str">
        <f ca="1">' '!A212</f>
        <v>hours budget</v>
      </c>
      <c r="AE9" s="734" t="str">
        <f ca="1">' '!A213</f>
        <v>allocated hours</v>
      </c>
      <c r="AF9" s="735" t="str">
        <f ca="1">' '!A222&amp;" [h]"</f>
        <v>BALANCE [h]</v>
      </c>
      <c r="AG9" s="736" t="str">
        <f ca="1">IF($BL$3=TRUE,' '!A215,' '!A144)</f>
        <v>[CHF]</v>
      </c>
      <c r="AH9" s="861" t="str">
        <f ca="1">IF($BL$3=TRUE,' '!A227&amp;" ["&amp;Logo!D12&amp;"]",' '!A227&amp;" [h]")</f>
        <v>Internal resources [CHF]</v>
      </c>
      <c r="AI9" s="861" t="str">
        <f ca="1">' '!A233&amp;" ["&amp;Logo!D12&amp;"]"</f>
        <v>External resources [CHF]</v>
      </c>
      <c r="AJ9" s="737" t="str">
        <f ca="1">IF($BL$3=TRUE,' '!A222&amp;" ["&amp;Logo!D12&amp;"]",' '!A143)</f>
        <v>BALANCE [CHF]</v>
      </c>
      <c r="AK9" s="733" t="str">
        <f ca="1">' '!A214</f>
        <v>realized hours</v>
      </c>
      <c r="AL9" s="732" t="str">
        <f ca="1">AG9</f>
        <v>[CHF]</v>
      </c>
      <c r="AM9" s="594" t="str">
        <f ca="1">' '!A216</f>
        <v>Absence/Remarks</v>
      </c>
      <c r="AN9" s="629" t="str">
        <f t="shared" si="0"/>
        <v/>
      </c>
      <c r="AO9" s="630" t="str">
        <f t="array" ref="AO9">IF(ROW(AN8)&gt;COUNTIF($AN:$AN,"&gt;*"),"",INDEX(AN:AN,SMALL(IF(AN$1:AN$1001&lt;&gt;"",ROW($1:$101)),ROWS($1:8))))</f>
        <v/>
      </c>
      <c r="AP9" s="1118" t="s">
        <v>1134</v>
      </c>
      <c r="AQ9" s="1119"/>
      <c r="AR9" s="1119"/>
      <c r="AS9" s="1120"/>
      <c r="AT9" s="1118" t="s">
        <v>1135</v>
      </c>
      <c r="AU9" s="1119"/>
      <c r="AV9" s="1119"/>
      <c r="AW9" s="1120"/>
      <c r="AX9" s="595"/>
      <c r="AY9" s="596"/>
      <c r="BA9" s="597"/>
      <c r="BB9" s="75" t="str">
        <f t="array" aca="1" ref="BB9" ca="1">IF(ROW(AY8)&gt;COUNTIF($AY:$AY,"&gt;*"),"",INDEX(AY:AY,SMALL(IF(AY$1:AY$1001&lt;&gt;"",ROW($1:$101)),ROWS($1:8))))</f>
        <v/>
      </c>
    </row>
    <row r="10" spans="1:64" s="614" customFormat="1" ht="7.5" customHeight="1" x14ac:dyDescent="0.3">
      <c r="A10" s="598"/>
      <c r="B10" s="599"/>
      <c r="C10" s="600"/>
      <c r="D10" s="601"/>
      <c r="E10" s="602"/>
      <c r="F10" s="603"/>
      <c r="G10" s="603"/>
      <c r="H10" s="603"/>
      <c r="I10" s="603"/>
      <c r="J10" s="603"/>
      <c r="K10" s="603"/>
      <c r="L10" s="603"/>
      <c r="M10" s="603"/>
      <c r="N10" s="603"/>
      <c r="O10" s="603"/>
      <c r="P10" s="603"/>
      <c r="Q10" s="603"/>
      <c r="R10" s="603"/>
      <c r="S10" s="603"/>
      <c r="T10" s="603"/>
      <c r="U10" s="603"/>
      <c r="V10" s="603"/>
      <c r="W10" s="603"/>
      <c r="X10" s="604"/>
      <c r="Y10" s="604"/>
      <c r="Z10" s="604"/>
      <c r="AA10" s="600"/>
      <c r="AB10" s="600"/>
      <c r="AC10" s="603"/>
      <c r="AD10" s="602"/>
      <c r="AE10" s="602"/>
      <c r="AF10" s="605"/>
      <c r="AG10" s="606"/>
      <c r="AH10" s="607"/>
      <c r="AI10" s="607"/>
      <c r="AJ10" s="608"/>
      <c r="AK10" s="603"/>
      <c r="AL10" s="609"/>
      <c r="AM10" s="610"/>
      <c r="AN10" s="629" t="str">
        <f t="shared" si="0"/>
        <v/>
      </c>
      <c r="AO10" s="630" t="str">
        <f t="array" ref="AO10">IF(ROW(AN9)&gt;COUNTIF($AN:$AN,"&gt;*"),"",INDEX(AN:AN,SMALL(IF(AN$1:AN$1001&lt;&gt;"",ROW($1:$101)),ROWS($1:9))))</f>
        <v/>
      </c>
      <c r="AP10" s="575"/>
      <c r="AQ10" s="575"/>
      <c r="AR10" s="575"/>
      <c r="AS10" s="576"/>
      <c r="AT10" s="576"/>
      <c r="AU10" s="576"/>
      <c r="AV10" s="576"/>
      <c r="AW10" s="576"/>
      <c r="AX10" s="576"/>
      <c r="AY10" s="611"/>
      <c r="AZ10" s="612"/>
      <c r="BA10" s="613"/>
      <c r="BB10" s="75" t="str">
        <f t="array" aca="1" ref="BB10" ca="1">IF(ROW(AY9)&gt;COUNTIF($AY:$AY,"&gt;*"),"",INDEX(AY:AY,SMALL(IF(AY$1:AY$1001&lt;&gt;"",ROW($1:$101)),ROWS($1:9))))</f>
        <v/>
      </c>
      <c r="BK10" s="615"/>
    </row>
    <row r="11" spans="1:64" s="636" customFormat="1" ht="15.75" customHeight="1" x14ac:dyDescent="0.3">
      <c r="A11" s="616">
        <v>1</v>
      </c>
      <c r="B11" s="617" t="s">
        <v>699</v>
      </c>
      <c r="C11" s="618" t="s">
        <v>730</v>
      </c>
      <c r="D11" s="619" t="str">
        <f t="shared" ref="D11:D12" si="1">CONCATENATE(MID(B11,1,2),MID(C11,1,1))</f>
        <v>abd</v>
      </c>
      <c r="E11" s="620" t="s">
        <v>1120</v>
      </c>
      <c r="F11" s="621">
        <v>1</v>
      </c>
      <c r="G11" s="621"/>
      <c r="H11" s="621"/>
      <c r="I11" s="622" t="str">
        <f>IF(OR(F11=1,G11=1,H11=1),"",1)</f>
        <v/>
      </c>
      <c r="J11" s="622">
        <f>IF(OR(F11=2,G11=2,H11=2),"",2)</f>
        <v>2</v>
      </c>
      <c r="K11" s="622">
        <f>IF(OR(F11=3,G11=3,H11=3),"",3)</f>
        <v>3</v>
      </c>
      <c r="L11" s="622">
        <f>IF(OR(F11=4,G11=4,H11=4),"",4)</f>
        <v>4</v>
      </c>
      <c r="M11" s="709">
        <f>IF(OR(F11=5,G11=5,H11=5),"",5)</f>
        <v>5</v>
      </c>
      <c r="N11" s="716" t="s">
        <v>1158</v>
      </c>
      <c r="O11" s="621"/>
      <c r="P11" s="621"/>
      <c r="Q11" s="621"/>
      <c r="R11" s="621"/>
      <c r="S11" s="622" t="str">
        <f>IF(COUNTIFS(N11:R11,"T1"),"T1 "&amp;"("&amp;D11&amp;")","")</f>
        <v>T1 (abd)</v>
      </c>
      <c r="T11" s="622" t="str">
        <f>IF(COUNTIFS(N11:R11,"T2"),"T2 "&amp;"("&amp;D11&amp;")","")</f>
        <v/>
      </c>
      <c r="U11" s="622" t="str">
        <f>IF(COUNTIFS(N11:R11,"T3"),"T3 "&amp;"("&amp;D11&amp;")","")</f>
        <v/>
      </c>
      <c r="V11" s="622" t="str">
        <f>IF(COUNTIFS(N11:R11,"T4"),"T4 "&amp;"("&amp;D11&amp;")","")</f>
        <v/>
      </c>
      <c r="W11" s="622" t="str">
        <f>IF(COUNTIFS(N11:R11,"T5"),"T5 "&amp;"("&amp;D11&amp;")","")</f>
        <v/>
      </c>
      <c r="X11" s="1111" t="s">
        <v>886</v>
      </c>
      <c r="Y11" s="1112"/>
      <c r="Z11" s="1112"/>
      <c r="AA11" s="623">
        <v>123</v>
      </c>
      <c r="AB11" s="623" t="s">
        <v>1281</v>
      </c>
      <c r="AC11" s="624">
        <v>160</v>
      </c>
      <c r="AD11" s="625">
        <f t="shared" ref="AD11:AD31" si="2">AE11</f>
        <v>0</v>
      </c>
      <c r="AE11" s="626">
        <f xml:space="preserve"> SUMIF(Detailplan!$K$9:$K$223,Projektteam!D11,Detailplan!$N$9:$N$223)+AW11</f>
        <v>0</v>
      </c>
      <c r="AF11" s="626">
        <f t="shared" ref="AF11:AF31" si="3">AD11-(AE11)</f>
        <v>0</v>
      </c>
      <c r="AG11" s="627">
        <f t="shared" ref="AG11:AG31" si="4">IF(AND($BL$3=TRUE,$BA11=1),AC11*AD11,
IF($BA11=0,AC11*AD11,AD11))</f>
        <v>0</v>
      </c>
      <c r="AH11" s="628">
        <f t="shared" ref="AH11:AH31" si="5">IF($BA11=1,$AG11,0)</f>
        <v>0</v>
      </c>
      <c r="AI11" s="628">
        <f>AG11-AH11</f>
        <v>0</v>
      </c>
      <c r="AJ11" s="628">
        <f t="shared" ref="AJ11:AJ31" si="6">IF(AND($BL$3=TRUE,$BA11=1),AG11-((AE11)*AC11),
IF($BA11=0,AG11-((AE11)*AC11),AF11))</f>
        <v>0</v>
      </c>
      <c r="AK11" s="626">
        <f xml:space="preserve"> SUMIFS(Detailplan!$N$9:$N$223,Detailplan!$K$9:$K$223,Projektteam!$D$11:$D$31,Detailplan!$M$9:$M$223,"=1")+AS11</f>
        <v>0</v>
      </c>
      <c r="AL11" s="628">
        <f>IF(AND($BL$3=TRUE,$BA11=1),AK11*AC11,
IF($BA11=0,AK11*AC11,AK11))</f>
        <v>0</v>
      </c>
      <c r="AM11" s="618"/>
      <c r="AN11" s="629" t="str">
        <f t="shared" si="0"/>
        <v/>
      </c>
      <c r="AO11" s="630" t="str">
        <f t="array" ref="AO11">IF(ROW(AN10)&gt;COUNTIF($AN:$AN,"&gt;*"),"",INDEX(AN:AN,SMALL(IF(AN$1:AN$1001&lt;&gt;"",ROW($1:$101)),ROWS($1:10))))</f>
        <v/>
      </c>
      <c r="AP11" s="576">
        <f t="shared" ref="AP11:AP31" si="7">IF(F11=1,$X$36,
IF(F11=2,$X$37,
IF(F11=3,$X$38,
IF(F11=4,$X$39,
IF(F11=5,$X$40,0)))))</f>
        <v>0</v>
      </c>
      <c r="AQ11" s="576">
        <f t="shared" ref="AQ11:AQ31" si="8">IF(G11=1,$X$36,
IF(G11=2,$X$37,
IF(G11=3,$X$38,
IF(G11=4,$X$39,
IF(G11=5,$X$40,0)))))</f>
        <v>0</v>
      </c>
      <c r="AR11" s="576">
        <f t="shared" ref="AR11:AR31" si="9">IF(H11=1,$X$36,
IF(H11=2,$X$37,
IF(H11=3,$X$38,
IF(H11=4,$X$39,
IF(H11=5,$X$40,0)))))</f>
        <v>0</v>
      </c>
      <c r="AS11" s="631">
        <f>SUM(AP11:AR11)</f>
        <v>0</v>
      </c>
      <c r="AT11" s="576">
        <f t="shared" ref="AT11:AT31" si="10">IF(F11=1,$Y$36,
IF(F11=2,$Y$37,
IF(F11=3,$Y$38,
IF(F11=4,$Y$39,
IF(F11=5,$Y$40,0)))))</f>
        <v>0</v>
      </c>
      <c r="AU11" s="576">
        <f t="shared" ref="AU11:AU31" si="11">IF(G11=1,$Y$36,
IF(G11=2,$Y$37,
IF(G11=3,$Y$38,
IF(G11=4,$Y$39,
IF(G11=5,$Y$40,0)))))</f>
        <v>0</v>
      </c>
      <c r="AV11" s="576">
        <f t="shared" ref="AV11:AV31" si="12">IF(H11=1,$Y$36,
IF(H11=2,$Y$37,
IF(H11=3,$Y$38,
IF(H11=4,$Y$39,
IF(H11=5,$Y$40,0)))))</f>
        <v>0</v>
      </c>
      <c r="AW11" s="631">
        <f>SUM(AT11:AV11)</f>
        <v>0</v>
      </c>
      <c r="AX11" s="576"/>
      <c r="AY11" s="632" t="str">
        <f ca="1">IF(D11&lt;&gt;"",CONCATENATE(B11," ",C11," (",D11,"): ",' '!$A$223,": ",AD11," / ",' '!$A$225,": ",AF11," / ",' '!$A$224,": ",AK11,),"")</f>
        <v>abc def (abd): Budget [h]: 0 / balance budget [h]: 0 / realized [h]: 0</v>
      </c>
      <c r="AZ11" s="633" t="str">
        <f t="shared" ref="AZ11:AZ31" si="13">IF(B11&lt;&gt;"",CONCATENATE(B11," ",C11, " (",D11,")"),"")</f>
        <v>abc def (abd)</v>
      </c>
      <c r="BA11" s="634">
        <f t="shared" ref="BA11:BA31" si="14">N(BK11)</f>
        <v>1</v>
      </c>
      <c r="BB11" s="75" t="str">
        <f t="array" aca="1" ref="BB11" ca="1">IF(ROW(AY10)&gt;COUNTIF($AY:$AY,"&gt;*"),"",INDEX(AY:AY,SMALL(IF(AY$1:AY$1001&lt;&gt;"",ROW($1:$101)),ROWS($1:10))))</f>
        <v/>
      </c>
      <c r="BC11" s="96"/>
      <c r="BD11" s="96"/>
      <c r="BE11" s="96"/>
      <c r="BF11" s="96"/>
      <c r="BG11" s="96"/>
      <c r="BH11" s="96"/>
      <c r="BI11" s="96"/>
      <c r="BJ11" s="96"/>
      <c r="BK11" s="635" t="b">
        <f t="shared" ref="BK11:BK31" si="15">IF(OR(E11="x",
E11="X"),
TRUE,FALSE)</f>
        <v>1</v>
      </c>
      <c r="BL11" s="96"/>
    </row>
    <row r="12" spans="1:64" s="636" customFormat="1" ht="15.75" customHeight="1" x14ac:dyDescent="0.3">
      <c r="A12" s="616">
        <v>2</v>
      </c>
      <c r="B12" s="617" t="s">
        <v>1057</v>
      </c>
      <c r="C12" s="618" t="s">
        <v>1058</v>
      </c>
      <c r="D12" s="619" t="str">
        <f t="shared" si="1"/>
        <v>ghj</v>
      </c>
      <c r="E12" s="620"/>
      <c r="F12" s="621">
        <v>1</v>
      </c>
      <c r="G12" s="621"/>
      <c r="H12" s="621"/>
      <c r="I12" s="622" t="str">
        <f t="shared" ref="I12" si="16">IF(OR(F12=1,G12=1,H12=1),"",1)</f>
        <v/>
      </c>
      <c r="J12" s="622">
        <f t="shared" ref="J12" si="17">IF(OR(F12=2,G12=2,H12=2),"",2)</f>
        <v>2</v>
      </c>
      <c r="K12" s="622">
        <f t="shared" ref="K12" si="18">IF(OR(F12=3,G12=3,H12=3),"",3)</f>
        <v>3</v>
      </c>
      <c r="L12" s="622">
        <f t="shared" ref="L12" si="19">IF(OR(F12=4,G12=4,H12=4),"",4)</f>
        <v>4</v>
      </c>
      <c r="M12" s="709">
        <f t="shared" ref="M12" si="20">IF(OR(F12=5,G12=5,H12=5),"",5)</f>
        <v>5</v>
      </c>
      <c r="N12" s="716"/>
      <c r="O12" s="621"/>
      <c r="P12" s="621"/>
      <c r="Q12" s="621"/>
      <c r="R12" s="621"/>
      <c r="S12" s="622" t="str">
        <f t="shared" ref="S12:S31" si="21">IF(COUNTIFS(N12:R12,"T1"),"T1 "&amp;"("&amp;D12&amp;")","")</f>
        <v/>
      </c>
      <c r="T12" s="622" t="str">
        <f t="shared" ref="T12:T31" si="22">IF(COUNTIFS(N12:R12,"T2"),"T2 "&amp;"("&amp;D12&amp;")","")</f>
        <v/>
      </c>
      <c r="U12" s="622" t="str">
        <f t="shared" ref="U12:U31" si="23">IF(COUNTIFS(N12:R12,"T3"),"T3 "&amp;"("&amp;D12&amp;")","")</f>
        <v/>
      </c>
      <c r="V12" s="622" t="str">
        <f t="shared" ref="V12:V31" si="24">IF(COUNTIFS(N12:R12,"T4"),"T4 "&amp;"("&amp;D12&amp;")","")</f>
        <v/>
      </c>
      <c r="W12" s="622" t="str">
        <f t="shared" ref="W12:W31" si="25">IF(COUNTIFS(N12:R12,"T5"),"T5 "&amp;"("&amp;D12&amp;")","")</f>
        <v/>
      </c>
      <c r="X12" s="1111" t="s">
        <v>805</v>
      </c>
      <c r="Y12" s="1112"/>
      <c r="Z12" s="1112"/>
      <c r="AA12" s="623">
        <v>567</v>
      </c>
      <c r="AB12" s="623" t="s">
        <v>1282</v>
      </c>
      <c r="AC12" s="624">
        <v>110</v>
      </c>
      <c r="AD12" s="625">
        <f t="shared" si="2"/>
        <v>0</v>
      </c>
      <c r="AE12" s="626">
        <f xml:space="preserve"> SUMIF(Detailplan!$K$9:$K$223,Projektteam!D12,Detailplan!$N$9:$N$223)+AW12</f>
        <v>0</v>
      </c>
      <c r="AF12" s="626">
        <f t="shared" si="3"/>
        <v>0</v>
      </c>
      <c r="AG12" s="627">
        <f t="shared" si="4"/>
        <v>0</v>
      </c>
      <c r="AH12" s="628">
        <f t="shared" si="5"/>
        <v>0</v>
      </c>
      <c r="AI12" s="628">
        <f t="shared" ref="AI12" si="26">AG12-AH12</f>
        <v>0</v>
      </c>
      <c r="AJ12" s="628">
        <f t="shared" si="6"/>
        <v>0</v>
      </c>
      <c r="AK12" s="626">
        <f xml:space="preserve"> SUMIFS(Detailplan!$N$9:$N$223,Detailplan!$K$9:$K$223,Projektteam!$D$11:$D$31,Detailplan!$M$9:$M$223,"=1")+AS12</f>
        <v>0</v>
      </c>
      <c r="AL12" s="628">
        <f>IF(AND($BL$3=TRUE,$BA12=1),AK12*AC12,
IF($BA12=0,AK12*AC12,AK12))</f>
        <v>0</v>
      </c>
      <c r="AM12" s="618"/>
      <c r="AN12" s="629" t="str">
        <f t="shared" si="0"/>
        <v/>
      </c>
      <c r="AO12" s="630" t="str">
        <f t="array" ref="AO12">IF(ROW(AN11)&gt;COUNTIF($AN:$AN,"&gt;*"),"",INDEX(AN:AN,SMALL(IF(AN$1:AN$1001&lt;&gt;"",ROW($1:$101)),ROWS($1:11))))</f>
        <v/>
      </c>
      <c r="AP12" s="576">
        <f t="shared" si="7"/>
        <v>0</v>
      </c>
      <c r="AQ12" s="576">
        <f t="shared" si="8"/>
        <v>0</v>
      </c>
      <c r="AR12" s="576">
        <f t="shared" si="9"/>
        <v>0</v>
      </c>
      <c r="AS12" s="631">
        <f t="shared" ref="AS12" si="27">SUM(AP12:AR12)</f>
        <v>0</v>
      </c>
      <c r="AT12" s="576">
        <f t="shared" si="10"/>
        <v>0</v>
      </c>
      <c r="AU12" s="576">
        <f t="shared" si="11"/>
        <v>0</v>
      </c>
      <c r="AV12" s="576">
        <f t="shared" si="12"/>
        <v>0</v>
      </c>
      <c r="AW12" s="631">
        <f t="shared" ref="AW12:AW31" si="28">SUM(AT12:AV12)</f>
        <v>0</v>
      </c>
      <c r="AX12" s="576"/>
      <c r="AY12" s="632" t="str">
        <f ca="1">IF(D12&lt;&gt;"",CONCATENATE(B12," ",C12," (",D12,"): ",' '!$A$223,": ",AD12," / ",' '!$A$225,": ",AF12," / ",' '!$A$224,": ",AK12,),"")</f>
        <v>ghi jkl (ghj): Budget [h]: 0 / balance budget [h]: 0 / realized [h]: 0</v>
      </c>
      <c r="AZ12" s="633" t="str">
        <f t="shared" si="13"/>
        <v>ghi jkl (ghj)</v>
      </c>
      <c r="BA12" s="634">
        <f t="shared" si="14"/>
        <v>0</v>
      </c>
      <c r="BB12" s="75" t="str">
        <f t="array" aca="1" ref="BB12" ca="1">IF(ROW(AY11)&gt;COUNTIF($AY:$AY,"&gt;*"),"",INDEX(AY:AY,SMALL(IF(AY$1:AY$1001&lt;&gt;"",ROW($1:$101)),ROWS($1:11))))</f>
        <v/>
      </c>
      <c r="BC12" s="96"/>
      <c r="BD12" s="96"/>
      <c r="BE12" s="96"/>
      <c r="BF12" s="96"/>
      <c r="BG12" s="96"/>
      <c r="BH12" s="96"/>
      <c r="BI12" s="96"/>
      <c r="BJ12" s="96"/>
      <c r="BK12" s="635" t="b">
        <f t="shared" si="15"/>
        <v>0</v>
      </c>
      <c r="BL12" s="96"/>
    </row>
    <row r="13" spans="1:64" s="636" customFormat="1" ht="15.75" customHeight="1" x14ac:dyDescent="0.3">
      <c r="A13" s="616">
        <v>3</v>
      </c>
      <c r="B13" s="617" t="s">
        <v>1408</v>
      </c>
      <c r="C13" s="618">
        <v>1</v>
      </c>
      <c r="D13" s="619" t="str">
        <f>CONCATENATE(MID(B13,1,2),MID(C13,1,1))</f>
        <v>Sc1</v>
      </c>
      <c r="E13" s="620"/>
      <c r="F13" s="621">
        <v>1</v>
      </c>
      <c r="G13" s="621"/>
      <c r="H13" s="621"/>
      <c r="I13" s="622" t="str">
        <f t="shared" ref="I13:I31" si="29">IF(OR(F13=1,G13=1,H13=1),"",1)</f>
        <v/>
      </c>
      <c r="J13" s="622">
        <f t="shared" ref="J13:J31" si="30">IF(OR(F13=2,G13=2,H13=2),"",2)</f>
        <v>2</v>
      </c>
      <c r="K13" s="622">
        <f t="shared" ref="K13:K31" si="31">IF(OR(F13=3,G13=3,H13=3),"",3)</f>
        <v>3</v>
      </c>
      <c r="L13" s="622">
        <f t="shared" ref="L13:L31" si="32">IF(OR(F13=4,G13=4,H13=4),"",4)</f>
        <v>4</v>
      </c>
      <c r="M13" s="709">
        <f t="shared" ref="M13:M31" si="33">IF(OR(F13=5,G13=5,H13=5),"",5)</f>
        <v>5</v>
      </c>
      <c r="N13" s="716"/>
      <c r="O13" s="621"/>
      <c r="P13" s="621"/>
      <c r="Q13" s="621"/>
      <c r="R13" s="621"/>
      <c r="S13" s="622" t="str">
        <f t="shared" si="21"/>
        <v/>
      </c>
      <c r="T13" s="622" t="str">
        <f t="shared" si="22"/>
        <v/>
      </c>
      <c r="U13" s="622" t="str">
        <f t="shared" si="23"/>
        <v/>
      </c>
      <c r="V13" s="622" t="str">
        <f t="shared" si="24"/>
        <v/>
      </c>
      <c r="W13" s="622" t="str">
        <f t="shared" si="25"/>
        <v/>
      </c>
      <c r="X13" s="1111"/>
      <c r="Y13" s="1112"/>
      <c r="Z13" s="1112"/>
      <c r="AA13" s="623"/>
      <c r="AB13" s="623" t="s">
        <v>1409</v>
      </c>
      <c r="AC13" s="624">
        <v>150</v>
      </c>
      <c r="AD13" s="625">
        <f t="shared" si="2"/>
        <v>0</v>
      </c>
      <c r="AE13" s="626">
        <f xml:space="preserve"> SUMIF(Detailplan!$K$9:$K$223,Projektteam!D13,Detailplan!$N$9:$N$223)+AW13</f>
        <v>0</v>
      </c>
      <c r="AF13" s="626">
        <f t="shared" si="3"/>
        <v>0</v>
      </c>
      <c r="AG13" s="627">
        <f t="shared" si="4"/>
        <v>0</v>
      </c>
      <c r="AH13" s="628">
        <f t="shared" si="5"/>
        <v>0</v>
      </c>
      <c r="AI13" s="628">
        <f t="shared" ref="AI13:AI31" si="34">AG13-AH13</f>
        <v>0</v>
      </c>
      <c r="AJ13" s="628">
        <f t="shared" si="6"/>
        <v>0</v>
      </c>
      <c r="AK13" s="626">
        <f xml:space="preserve"> SUMIFS(Detailplan!$N$9:$N$223,Detailplan!$K$9:$K$223,Projektteam!$D$11:$D$31,Detailplan!$M$9:$M$223,"=1")+AS13</f>
        <v>0</v>
      </c>
      <c r="AL13" s="628">
        <f t="shared" ref="AL13:AL31" si="35">IF($BL$3=TRUE,(AK13*AC13),AK13)</f>
        <v>0</v>
      </c>
      <c r="AM13" s="618"/>
      <c r="AN13" s="629" t="str">
        <f t="shared" si="0"/>
        <v/>
      </c>
      <c r="AO13" s="630" t="str">
        <f t="array" ref="AO13">IF(ROW(AN12)&gt;COUNTIF($AN:$AN,"&gt;*"),"",INDEX(AN:AN,SMALL(IF(AN$1:AN$1001&lt;&gt;"",ROW($1:$101)),ROWS($1:12))))</f>
        <v/>
      </c>
      <c r="AP13" s="576">
        <f t="shared" si="7"/>
        <v>0</v>
      </c>
      <c r="AQ13" s="576">
        <f t="shared" si="8"/>
        <v>0</v>
      </c>
      <c r="AR13" s="576">
        <f t="shared" si="9"/>
        <v>0</v>
      </c>
      <c r="AS13" s="631">
        <f t="shared" ref="AS13:AS31" si="36">SUM(AP13:AR13)</f>
        <v>0</v>
      </c>
      <c r="AT13" s="576">
        <f t="shared" si="10"/>
        <v>0</v>
      </c>
      <c r="AU13" s="576">
        <f t="shared" si="11"/>
        <v>0</v>
      </c>
      <c r="AV13" s="576">
        <f t="shared" si="12"/>
        <v>0</v>
      </c>
      <c r="AW13" s="631">
        <f t="shared" si="28"/>
        <v>0</v>
      </c>
      <c r="AX13" s="576"/>
      <c r="AY13" s="632" t="str">
        <f ca="1">IF(D13&lt;&gt;"",CONCATENATE(B13," ",C13," (",D13,"): ",' '!$A$223,": ",AD13," / ",' '!$A$225,": ",AF13," / ",' '!$A$224,": ",AK13,),"")</f>
        <v>ScrumTeam 1 1 (Sc1): Budget [h]: 0 / balance budget [h]: 0 / realized [h]: 0</v>
      </c>
      <c r="AZ13" s="633" t="str">
        <f t="shared" si="13"/>
        <v>ScrumTeam 1 1 (Sc1)</v>
      </c>
      <c r="BA13" s="634">
        <f t="shared" si="14"/>
        <v>0</v>
      </c>
      <c r="BB13" s="75" t="str">
        <f t="array" aca="1" ref="BB13" ca="1">IF(ROW(AY12)&gt;COUNTIF($AY:$AY,"&gt;*"),"",INDEX(AY:AY,SMALL(IF(AY$1:AY$1001&lt;&gt;"",ROW($1:$101)),ROWS($1:12))))</f>
        <v/>
      </c>
      <c r="BC13" s="96"/>
      <c r="BD13" s="96"/>
      <c r="BE13" s="96"/>
      <c r="BF13" s="96"/>
      <c r="BG13" s="96"/>
      <c r="BH13" s="96"/>
      <c r="BI13" s="96"/>
      <c r="BJ13" s="96"/>
      <c r="BK13" s="635" t="b">
        <f t="shared" si="15"/>
        <v>0</v>
      </c>
      <c r="BL13" s="96"/>
    </row>
    <row r="14" spans="1:64" s="636" customFormat="1" ht="15.75" customHeight="1" x14ac:dyDescent="0.3">
      <c r="A14" s="616">
        <v>4</v>
      </c>
      <c r="B14" s="617"/>
      <c r="C14" s="618"/>
      <c r="D14" s="619" t="str">
        <f t="shared" ref="D14:D31" si="37">CONCATENATE(MID(B14,1,2),MID(C14,1,1))</f>
        <v/>
      </c>
      <c r="E14" s="620"/>
      <c r="F14" s="621"/>
      <c r="G14" s="621"/>
      <c r="H14" s="621"/>
      <c r="I14" s="622">
        <f t="shared" si="29"/>
        <v>1</v>
      </c>
      <c r="J14" s="622">
        <f t="shared" si="30"/>
        <v>2</v>
      </c>
      <c r="K14" s="622">
        <f t="shared" si="31"/>
        <v>3</v>
      </c>
      <c r="L14" s="622">
        <f t="shared" si="32"/>
        <v>4</v>
      </c>
      <c r="M14" s="709">
        <f t="shared" si="33"/>
        <v>5</v>
      </c>
      <c r="N14" s="716"/>
      <c r="O14" s="621"/>
      <c r="P14" s="621"/>
      <c r="Q14" s="621"/>
      <c r="R14" s="621"/>
      <c r="S14" s="622" t="str">
        <f t="shared" si="21"/>
        <v/>
      </c>
      <c r="T14" s="622" t="str">
        <f t="shared" si="22"/>
        <v/>
      </c>
      <c r="U14" s="622" t="str">
        <f t="shared" si="23"/>
        <v/>
      </c>
      <c r="V14" s="622" t="str">
        <f t="shared" si="24"/>
        <v/>
      </c>
      <c r="W14" s="622" t="str">
        <f t="shared" si="25"/>
        <v/>
      </c>
      <c r="X14" s="1111"/>
      <c r="Y14" s="1112"/>
      <c r="Z14" s="1112"/>
      <c r="AA14" s="623"/>
      <c r="AB14" s="623"/>
      <c r="AC14" s="624"/>
      <c r="AD14" s="625">
        <f t="shared" si="2"/>
        <v>0</v>
      </c>
      <c r="AE14" s="626">
        <f xml:space="preserve"> SUMIF(Detailplan!$K$9:$K$223,Projektteam!D14,Detailplan!$N$9:$N$223)+AW14</f>
        <v>0</v>
      </c>
      <c r="AF14" s="626">
        <f t="shared" si="3"/>
        <v>0</v>
      </c>
      <c r="AG14" s="627">
        <f t="shared" si="4"/>
        <v>0</v>
      </c>
      <c r="AH14" s="628">
        <f t="shared" si="5"/>
        <v>0</v>
      </c>
      <c r="AI14" s="628">
        <f t="shared" si="34"/>
        <v>0</v>
      </c>
      <c r="AJ14" s="628">
        <f t="shared" si="6"/>
        <v>0</v>
      </c>
      <c r="AK14" s="626">
        <f xml:space="preserve"> SUMIFS(Detailplan!$N$9:$N$223,Detailplan!$K$9:$K$223,Projektteam!$D$11:$D$31,Detailplan!$M$9:$M$223,"=1")+AS14</f>
        <v>0</v>
      </c>
      <c r="AL14" s="628">
        <f t="shared" si="35"/>
        <v>0</v>
      </c>
      <c r="AM14" s="618"/>
      <c r="AN14" s="629" t="str">
        <f t="shared" si="0"/>
        <v/>
      </c>
      <c r="AO14" s="630" t="str">
        <f t="array" ref="AO14">IF(ROW(AN13)&gt;COUNTIF($AN:$AN,"&gt;*"),"",INDEX(AN:AN,SMALL(IF(AN$1:AN$1001&lt;&gt;"",ROW($1:$101)),ROWS($1:13))))</f>
        <v/>
      </c>
      <c r="AP14" s="576">
        <f t="shared" si="7"/>
        <v>0</v>
      </c>
      <c r="AQ14" s="576">
        <f t="shared" si="8"/>
        <v>0</v>
      </c>
      <c r="AR14" s="576">
        <f t="shared" si="9"/>
        <v>0</v>
      </c>
      <c r="AS14" s="631">
        <f t="shared" si="36"/>
        <v>0</v>
      </c>
      <c r="AT14" s="576">
        <f t="shared" si="10"/>
        <v>0</v>
      </c>
      <c r="AU14" s="576">
        <f t="shared" si="11"/>
        <v>0</v>
      </c>
      <c r="AV14" s="576">
        <f t="shared" si="12"/>
        <v>0</v>
      </c>
      <c r="AW14" s="631">
        <f t="shared" si="28"/>
        <v>0</v>
      </c>
      <c r="AX14" s="576"/>
      <c r="AY14" s="632" t="str">
        <f>IF(D14&lt;&gt;"",CONCATENATE(B14," ",C14," (",D14,"): ",' '!$A$223,": ",AD14," / ",' '!$A$225,": ",AF14," / ",' '!$A$224,": ",AK14,),"")</f>
        <v/>
      </c>
      <c r="AZ14" s="633" t="str">
        <f t="shared" si="13"/>
        <v/>
      </c>
      <c r="BA14" s="634">
        <f t="shared" si="14"/>
        <v>0</v>
      </c>
      <c r="BB14" s="75" t="str">
        <f t="array" aca="1" ref="BB14" ca="1">IF(ROW(AY13)&gt;COUNTIF($AY:$AY,"&gt;*"),"",INDEX(AY:AY,SMALL(IF(AY$1:AY$1001&lt;&gt;"",ROW($1:$101)),ROWS($1:13))))</f>
        <v/>
      </c>
      <c r="BC14" s="96"/>
      <c r="BD14" s="96"/>
      <c r="BE14" s="96"/>
      <c r="BF14" s="96"/>
      <c r="BG14" s="96"/>
      <c r="BH14" s="96"/>
      <c r="BI14" s="96"/>
      <c r="BJ14" s="96"/>
      <c r="BK14" s="635" t="b">
        <f t="shared" si="15"/>
        <v>0</v>
      </c>
      <c r="BL14" s="96"/>
    </row>
    <row r="15" spans="1:64" s="636" customFormat="1" ht="15.75" customHeight="1" x14ac:dyDescent="0.3">
      <c r="A15" s="616">
        <v>5</v>
      </c>
      <c r="B15" s="617"/>
      <c r="C15" s="618"/>
      <c r="D15" s="619" t="str">
        <f t="shared" si="37"/>
        <v/>
      </c>
      <c r="E15" s="620"/>
      <c r="F15" s="621"/>
      <c r="G15" s="621"/>
      <c r="H15" s="621"/>
      <c r="I15" s="622">
        <f t="shared" si="29"/>
        <v>1</v>
      </c>
      <c r="J15" s="622">
        <f t="shared" si="30"/>
        <v>2</v>
      </c>
      <c r="K15" s="622">
        <f t="shared" si="31"/>
        <v>3</v>
      </c>
      <c r="L15" s="622">
        <f t="shared" si="32"/>
        <v>4</v>
      </c>
      <c r="M15" s="709">
        <f t="shared" si="33"/>
        <v>5</v>
      </c>
      <c r="N15" s="716"/>
      <c r="O15" s="621"/>
      <c r="P15" s="621"/>
      <c r="Q15" s="621"/>
      <c r="R15" s="621"/>
      <c r="S15" s="622" t="str">
        <f t="shared" si="21"/>
        <v/>
      </c>
      <c r="T15" s="622" t="str">
        <f t="shared" si="22"/>
        <v/>
      </c>
      <c r="U15" s="622" t="str">
        <f t="shared" si="23"/>
        <v/>
      </c>
      <c r="V15" s="622" t="str">
        <f t="shared" si="24"/>
        <v/>
      </c>
      <c r="W15" s="622" t="str">
        <f t="shared" si="25"/>
        <v/>
      </c>
      <c r="X15" s="1111"/>
      <c r="Y15" s="1112"/>
      <c r="Z15" s="1112"/>
      <c r="AA15" s="623"/>
      <c r="AB15" s="623"/>
      <c r="AC15" s="624"/>
      <c r="AD15" s="625">
        <f t="shared" si="2"/>
        <v>0</v>
      </c>
      <c r="AE15" s="626">
        <f xml:space="preserve"> SUMIF(Detailplan!$K$9:$K$223,Projektteam!D15,Detailplan!$N$9:$N$223)+AW15</f>
        <v>0</v>
      </c>
      <c r="AF15" s="626">
        <f t="shared" si="3"/>
        <v>0</v>
      </c>
      <c r="AG15" s="627">
        <f t="shared" si="4"/>
        <v>0</v>
      </c>
      <c r="AH15" s="628">
        <f t="shared" si="5"/>
        <v>0</v>
      </c>
      <c r="AI15" s="628">
        <f t="shared" si="34"/>
        <v>0</v>
      </c>
      <c r="AJ15" s="628">
        <f t="shared" si="6"/>
        <v>0</v>
      </c>
      <c r="AK15" s="626">
        <f xml:space="preserve"> SUMIFS(Detailplan!$N$9:$N$223,Detailplan!$K$9:$K$223,Projektteam!$D$11:$D$31,Detailplan!$M$9:$M$223,"=1")+AS15</f>
        <v>0</v>
      </c>
      <c r="AL15" s="628">
        <f t="shared" si="35"/>
        <v>0</v>
      </c>
      <c r="AM15" s="618"/>
      <c r="AN15" s="629" t="str">
        <f t="shared" si="0"/>
        <v/>
      </c>
      <c r="AO15" s="630" t="str">
        <f t="array" ref="AO15">IF(ROW(AN14)&gt;COUNTIF($AN:$AN,"&gt;*"),"",INDEX(AN:AN,SMALL(IF(AN$1:AN$1001&lt;&gt;"",ROW($1:$101)),ROWS($1:14))))</f>
        <v/>
      </c>
      <c r="AP15" s="576">
        <f t="shared" si="7"/>
        <v>0</v>
      </c>
      <c r="AQ15" s="576">
        <f t="shared" si="8"/>
        <v>0</v>
      </c>
      <c r="AR15" s="576">
        <f t="shared" si="9"/>
        <v>0</v>
      </c>
      <c r="AS15" s="631">
        <f t="shared" si="36"/>
        <v>0</v>
      </c>
      <c r="AT15" s="576">
        <f t="shared" si="10"/>
        <v>0</v>
      </c>
      <c r="AU15" s="576">
        <f t="shared" si="11"/>
        <v>0</v>
      </c>
      <c r="AV15" s="576">
        <f t="shared" si="12"/>
        <v>0</v>
      </c>
      <c r="AW15" s="631">
        <f t="shared" si="28"/>
        <v>0</v>
      </c>
      <c r="AX15" s="576"/>
      <c r="AY15" s="632" t="str">
        <f>IF(D15&lt;&gt;"",CONCATENATE(B15," ",C15," (",D15,"): ",' '!$A$223,": ",AD15," / ",' '!$A$225,": ",AF15," / ",' '!$A$224,": ",AK15,),"")</f>
        <v/>
      </c>
      <c r="AZ15" s="633" t="str">
        <f t="shared" si="13"/>
        <v/>
      </c>
      <c r="BA15" s="634">
        <f t="shared" si="14"/>
        <v>0</v>
      </c>
      <c r="BB15" s="75" t="str">
        <f t="array" aca="1" ref="BB15" ca="1">IF(ROW(AY14)&gt;COUNTIF($AY:$AY,"&gt;*"),"",INDEX(AY:AY,SMALL(IF(AY$1:AY$1001&lt;&gt;"",ROW($1:$101)),ROWS($1:14))))</f>
        <v/>
      </c>
      <c r="BC15" s="96"/>
      <c r="BD15" s="96"/>
      <c r="BE15" s="96"/>
      <c r="BF15" s="96"/>
      <c r="BG15" s="96"/>
      <c r="BH15" s="96"/>
      <c r="BI15" s="96"/>
      <c r="BJ15" s="96"/>
      <c r="BK15" s="635" t="b">
        <f t="shared" si="15"/>
        <v>0</v>
      </c>
      <c r="BL15" s="96"/>
    </row>
    <row r="16" spans="1:64" s="636" customFormat="1" ht="15.75" customHeight="1" x14ac:dyDescent="0.3">
      <c r="A16" s="616">
        <v>6</v>
      </c>
      <c r="B16" s="617"/>
      <c r="C16" s="618"/>
      <c r="D16" s="619" t="str">
        <f t="shared" si="37"/>
        <v/>
      </c>
      <c r="E16" s="620"/>
      <c r="F16" s="621"/>
      <c r="G16" s="621"/>
      <c r="H16" s="621"/>
      <c r="I16" s="622">
        <f t="shared" si="29"/>
        <v>1</v>
      </c>
      <c r="J16" s="622">
        <f t="shared" si="30"/>
        <v>2</v>
      </c>
      <c r="K16" s="622">
        <f t="shared" si="31"/>
        <v>3</v>
      </c>
      <c r="L16" s="622">
        <f t="shared" si="32"/>
        <v>4</v>
      </c>
      <c r="M16" s="709">
        <f t="shared" si="33"/>
        <v>5</v>
      </c>
      <c r="N16" s="716"/>
      <c r="O16" s="621"/>
      <c r="P16" s="621"/>
      <c r="Q16" s="621"/>
      <c r="R16" s="621"/>
      <c r="S16" s="622" t="str">
        <f t="shared" si="21"/>
        <v/>
      </c>
      <c r="T16" s="622" t="str">
        <f t="shared" si="22"/>
        <v/>
      </c>
      <c r="U16" s="622" t="str">
        <f t="shared" si="23"/>
        <v/>
      </c>
      <c r="V16" s="622" t="str">
        <f t="shared" si="24"/>
        <v/>
      </c>
      <c r="W16" s="622" t="str">
        <f t="shared" si="25"/>
        <v/>
      </c>
      <c r="X16" s="1111"/>
      <c r="Y16" s="1112"/>
      <c r="Z16" s="1112"/>
      <c r="AA16" s="623"/>
      <c r="AB16" s="623"/>
      <c r="AC16" s="624"/>
      <c r="AD16" s="625">
        <f t="shared" si="2"/>
        <v>0</v>
      </c>
      <c r="AE16" s="626">
        <f xml:space="preserve"> SUMIF(Detailplan!$K$9:$K$223,Projektteam!D16,Detailplan!$N$9:$N$223)+AW16</f>
        <v>0</v>
      </c>
      <c r="AF16" s="626">
        <f t="shared" si="3"/>
        <v>0</v>
      </c>
      <c r="AG16" s="627">
        <f t="shared" si="4"/>
        <v>0</v>
      </c>
      <c r="AH16" s="628">
        <f t="shared" si="5"/>
        <v>0</v>
      </c>
      <c r="AI16" s="628">
        <f t="shared" si="34"/>
        <v>0</v>
      </c>
      <c r="AJ16" s="628">
        <f t="shared" si="6"/>
        <v>0</v>
      </c>
      <c r="AK16" s="626">
        <f xml:space="preserve"> SUMIFS(Detailplan!$N$9:$N$223,Detailplan!$K$9:$K$223,Projektteam!$D$11:$D$31,Detailplan!$M$9:$M$223,"=1")+AS16</f>
        <v>0</v>
      </c>
      <c r="AL16" s="628">
        <f t="shared" si="35"/>
        <v>0</v>
      </c>
      <c r="AM16" s="618"/>
      <c r="AN16" s="629" t="str">
        <f t="shared" si="0"/>
        <v/>
      </c>
      <c r="AO16" s="630" t="str">
        <f t="array" ref="AO16">IF(ROW(AN15)&gt;COUNTIF($AN:$AN,"&gt;*"),"",INDEX(AN:AN,SMALL(IF(AN$1:AN$1001&lt;&gt;"",ROW($1:$101)),ROWS($1:15))))</f>
        <v/>
      </c>
      <c r="AP16" s="576">
        <f t="shared" si="7"/>
        <v>0</v>
      </c>
      <c r="AQ16" s="576">
        <f t="shared" si="8"/>
        <v>0</v>
      </c>
      <c r="AR16" s="576">
        <f t="shared" si="9"/>
        <v>0</v>
      </c>
      <c r="AS16" s="631">
        <f t="shared" si="36"/>
        <v>0</v>
      </c>
      <c r="AT16" s="576">
        <f t="shared" si="10"/>
        <v>0</v>
      </c>
      <c r="AU16" s="576">
        <f t="shared" si="11"/>
        <v>0</v>
      </c>
      <c r="AV16" s="576">
        <f t="shared" si="12"/>
        <v>0</v>
      </c>
      <c r="AW16" s="631">
        <f t="shared" si="28"/>
        <v>0</v>
      </c>
      <c r="AX16" s="576"/>
      <c r="AY16" s="632" t="str">
        <f>IF(D16&lt;&gt;"",CONCATENATE(B16," ",C16," (",D16,"): ",' '!$A$223,": ",AD16," / ",' '!$A$225,": ",AF16," / ",' '!$A$224,": ",AK16,),"")</f>
        <v/>
      </c>
      <c r="AZ16" s="633" t="str">
        <f t="shared" si="13"/>
        <v/>
      </c>
      <c r="BA16" s="634">
        <f t="shared" si="14"/>
        <v>0</v>
      </c>
      <c r="BB16" s="75" t="str">
        <f t="array" aca="1" ref="BB16" ca="1">IF(ROW(AY15)&gt;COUNTIF($AY:$AY,"&gt;*"),"",INDEX(AY:AY,SMALL(IF(AY$1:AY$1001&lt;&gt;"",ROW($1:$101)),ROWS($1:15))))</f>
        <v/>
      </c>
      <c r="BC16" s="96"/>
      <c r="BD16" s="96"/>
      <c r="BE16" s="96"/>
      <c r="BF16" s="96"/>
      <c r="BG16" s="96"/>
      <c r="BH16" s="96"/>
      <c r="BI16" s="96"/>
      <c r="BJ16" s="96"/>
      <c r="BK16" s="635" t="b">
        <f t="shared" si="15"/>
        <v>0</v>
      </c>
      <c r="BL16" s="96"/>
    </row>
    <row r="17" spans="1:63" s="636" customFormat="1" ht="15.75" customHeight="1" x14ac:dyDescent="0.3">
      <c r="A17" s="616">
        <v>7</v>
      </c>
      <c r="B17" s="617"/>
      <c r="C17" s="618"/>
      <c r="D17" s="619" t="str">
        <f t="shared" si="37"/>
        <v/>
      </c>
      <c r="E17" s="620"/>
      <c r="F17" s="621"/>
      <c r="G17" s="621"/>
      <c r="H17" s="621"/>
      <c r="I17" s="622">
        <f t="shared" si="29"/>
        <v>1</v>
      </c>
      <c r="J17" s="622">
        <f t="shared" si="30"/>
        <v>2</v>
      </c>
      <c r="K17" s="622">
        <f t="shared" si="31"/>
        <v>3</v>
      </c>
      <c r="L17" s="622">
        <f t="shared" si="32"/>
        <v>4</v>
      </c>
      <c r="M17" s="709">
        <f t="shared" si="33"/>
        <v>5</v>
      </c>
      <c r="N17" s="716"/>
      <c r="O17" s="621"/>
      <c r="P17" s="621"/>
      <c r="Q17" s="621"/>
      <c r="R17" s="621"/>
      <c r="S17" s="622" t="str">
        <f t="shared" si="21"/>
        <v/>
      </c>
      <c r="T17" s="622" t="str">
        <f t="shared" si="22"/>
        <v/>
      </c>
      <c r="U17" s="622" t="str">
        <f t="shared" si="23"/>
        <v/>
      </c>
      <c r="V17" s="622" t="str">
        <f t="shared" si="24"/>
        <v/>
      </c>
      <c r="W17" s="622" t="str">
        <f t="shared" si="25"/>
        <v/>
      </c>
      <c r="X17" s="1111"/>
      <c r="Y17" s="1112"/>
      <c r="Z17" s="1112"/>
      <c r="AA17" s="623"/>
      <c r="AB17" s="623"/>
      <c r="AC17" s="624"/>
      <c r="AD17" s="625">
        <f t="shared" si="2"/>
        <v>0</v>
      </c>
      <c r="AE17" s="626">
        <f xml:space="preserve"> SUMIF(Detailplan!$K$9:$K$223,Projektteam!D17,Detailplan!$N$9:$N$223)+AW17</f>
        <v>0</v>
      </c>
      <c r="AF17" s="626">
        <f t="shared" si="3"/>
        <v>0</v>
      </c>
      <c r="AG17" s="627">
        <f t="shared" si="4"/>
        <v>0</v>
      </c>
      <c r="AH17" s="628">
        <f t="shared" si="5"/>
        <v>0</v>
      </c>
      <c r="AI17" s="628">
        <f t="shared" si="34"/>
        <v>0</v>
      </c>
      <c r="AJ17" s="628">
        <f t="shared" si="6"/>
        <v>0</v>
      </c>
      <c r="AK17" s="626">
        <f xml:space="preserve"> SUMIFS(Detailplan!$N$9:$N$223,Detailplan!$K$9:$K$223,Projektteam!$D$11:$D$31,Detailplan!$M$9:$M$223,"=1")+AS17</f>
        <v>0</v>
      </c>
      <c r="AL17" s="628">
        <f t="shared" si="35"/>
        <v>0</v>
      </c>
      <c r="AM17" s="618"/>
      <c r="AN17" s="629" t="str">
        <f t="shared" si="0"/>
        <v/>
      </c>
      <c r="AO17" s="630" t="str">
        <f t="array" ref="AO17">IF(ROW(AN16)&gt;COUNTIF($AN:$AN,"&gt;*"),"",INDEX(AN:AN,SMALL(IF(AN$1:AN$1001&lt;&gt;"",ROW($1:$101)),ROWS($1:16))))</f>
        <v/>
      </c>
      <c r="AP17" s="576">
        <f t="shared" si="7"/>
        <v>0</v>
      </c>
      <c r="AQ17" s="576">
        <f t="shared" si="8"/>
        <v>0</v>
      </c>
      <c r="AR17" s="576">
        <f t="shared" si="9"/>
        <v>0</v>
      </c>
      <c r="AS17" s="631">
        <f t="shared" si="36"/>
        <v>0</v>
      </c>
      <c r="AT17" s="576">
        <f t="shared" si="10"/>
        <v>0</v>
      </c>
      <c r="AU17" s="576">
        <f t="shared" si="11"/>
        <v>0</v>
      </c>
      <c r="AV17" s="576">
        <f t="shared" si="12"/>
        <v>0</v>
      </c>
      <c r="AW17" s="631">
        <f t="shared" si="28"/>
        <v>0</v>
      </c>
      <c r="AX17" s="576"/>
      <c r="AY17" s="632" t="str">
        <f>IF(D17&lt;&gt;"",CONCATENATE(B17," ",C17," (",D17,"): ",' '!$A$223,": ",AD17," / ",' '!$A$225,": ",AF17," / ",' '!$A$224,": ",AK17,),"")</f>
        <v/>
      </c>
      <c r="AZ17" s="633" t="str">
        <f t="shared" si="13"/>
        <v/>
      </c>
      <c r="BA17" s="634">
        <f t="shared" si="14"/>
        <v>0</v>
      </c>
      <c r="BB17" s="75" t="str">
        <f t="array" aca="1" ref="BB17" ca="1">IF(ROW(AY16)&gt;COUNTIF($AY:$AY,"&gt;*"),"",INDEX(AY:AY,SMALL(IF(AY$1:AY$1001&lt;&gt;"",ROW($1:$101)),ROWS($1:16))))</f>
        <v/>
      </c>
      <c r="BC17" s="96"/>
      <c r="BD17" s="96"/>
      <c r="BE17" s="96"/>
      <c r="BF17" s="96"/>
      <c r="BG17" s="96"/>
      <c r="BH17" s="96"/>
      <c r="BI17" s="96"/>
      <c r="BJ17" s="96"/>
      <c r="BK17" s="635" t="b">
        <f t="shared" si="15"/>
        <v>0</v>
      </c>
    </row>
    <row r="18" spans="1:63" s="636" customFormat="1" ht="15.75" customHeight="1" x14ac:dyDescent="0.3">
      <c r="A18" s="616">
        <v>8</v>
      </c>
      <c r="B18" s="617"/>
      <c r="C18" s="618"/>
      <c r="D18" s="619" t="str">
        <f t="shared" si="37"/>
        <v/>
      </c>
      <c r="E18" s="620"/>
      <c r="F18" s="621"/>
      <c r="G18" s="621"/>
      <c r="H18" s="621"/>
      <c r="I18" s="622">
        <f t="shared" si="29"/>
        <v>1</v>
      </c>
      <c r="J18" s="622">
        <f t="shared" si="30"/>
        <v>2</v>
      </c>
      <c r="K18" s="622">
        <f t="shared" si="31"/>
        <v>3</v>
      </c>
      <c r="L18" s="622">
        <f t="shared" si="32"/>
        <v>4</v>
      </c>
      <c r="M18" s="709">
        <f t="shared" si="33"/>
        <v>5</v>
      </c>
      <c r="N18" s="716"/>
      <c r="O18" s="621"/>
      <c r="P18" s="621"/>
      <c r="Q18" s="621"/>
      <c r="R18" s="621"/>
      <c r="S18" s="622" t="str">
        <f t="shared" si="21"/>
        <v/>
      </c>
      <c r="T18" s="622" t="str">
        <f t="shared" si="22"/>
        <v/>
      </c>
      <c r="U18" s="622" t="str">
        <f t="shared" si="23"/>
        <v/>
      </c>
      <c r="V18" s="622" t="str">
        <f t="shared" si="24"/>
        <v/>
      </c>
      <c r="W18" s="622" t="str">
        <f t="shared" si="25"/>
        <v/>
      </c>
      <c r="X18" s="1111"/>
      <c r="Y18" s="1112"/>
      <c r="Z18" s="1112"/>
      <c r="AA18" s="623"/>
      <c r="AB18" s="623"/>
      <c r="AC18" s="624"/>
      <c r="AD18" s="625">
        <f t="shared" si="2"/>
        <v>0</v>
      </c>
      <c r="AE18" s="626">
        <f xml:space="preserve"> SUMIF(Detailplan!$K$9:$K$223,Projektteam!D18,Detailplan!$N$9:$N$223)+AW18</f>
        <v>0</v>
      </c>
      <c r="AF18" s="626">
        <f t="shared" si="3"/>
        <v>0</v>
      </c>
      <c r="AG18" s="627">
        <f t="shared" si="4"/>
        <v>0</v>
      </c>
      <c r="AH18" s="628">
        <f t="shared" si="5"/>
        <v>0</v>
      </c>
      <c r="AI18" s="628">
        <f t="shared" si="34"/>
        <v>0</v>
      </c>
      <c r="AJ18" s="628">
        <f t="shared" si="6"/>
        <v>0</v>
      </c>
      <c r="AK18" s="626">
        <f xml:space="preserve"> SUMIFS(Detailplan!$N$9:$N$223,Detailplan!$K$9:$K$223,Projektteam!$D$11:$D$31,Detailplan!$M$9:$M$223,"=1")+AS18</f>
        <v>0</v>
      </c>
      <c r="AL18" s="628">
        <f t="shared" si="35"/>
        <v>0</v>
      </c>
      <c r="AM18" s="618"/>
      <c r="AN18" s="629" t="str">
        <f t="shared" si="0"/>
        <v/>
      </c>
      <c r="AO18" s="630" t="str">
        <f t="array" ref="AO18">IF(ROW(AN17)&gt;COUNTIF($AN:$AN,"&gt;*"),"",INDEX(AN:AN,SMALL(IF(AN$1:AN$1001&lt;&gt;"",ROW($1:$101)),ROWS($1:17))))</f>
        <v/>
      </c>
      <c r="AP18" s="576">
        <f t="shared" si="7"/>
        <v>0</v>
      </c>
      <c r="AQ18" s="576">
        <f t="shared" si="8"/>
        <v>0</v>
      </c>
      <c r="AR18" s="576">
        <f t="shared" si="9"/>
        <v>0</v>
      </c>
      <c r="AS18" s="631">
        <f t="shared" si="36"/>
        <v>0</v>
      </c>
      <c r="AT18" s="576">
        <f t="shared" si="10"/>
        <v>0</v>
      </c>
      <c r="AU18" s="576">
        <f t="shared" si="11"/>
        <v>0</v>
      </c>
      <c r="AV18" s="576">
        <f t="shared" si="12"/>
        <v>0</v>
      </c>
      <c r="AW18" s="631">
        <f t="shared" si="28"/>
        <v>0</v>
      </c>
      <c r="AX18" s="576"/>
      <c r="AY18" s="632" t="str">
        <f>IF(D18&lt;&gt;"",CONCATENATE(B18," ",C18," (",D18,"): ",' '!$A$223,": ",AD18," / ",' '!$A$225,": ",AF18," / ",' '!$A$224,": ",AK18,),"")</f>
        <v/>
      </c>
      <c r="AZ18" s="633" t="str">
        <f t="shared" si="13"/>
        <v/>
      </c>
      <c r="BA18" s="634">
        <f t="shared" si="14"/>
        <v>0</v>
      </c>
      <c r="BB18" s="75" t="str">
        <f t="array" aca="1" ref="BB18" ca="1">IF(ROW(AY17)&gt;COUNTIF($AY:$AY,"&gt;*"),"",INDEX(AY:AY,SMALL(IF(AY$1:AY$1001&lt;&gt;"",ROW($1:$101)),ROWS($1:17))))</f>
        <v/>
      </c>
      <c r="BC18" s="96"/>
      <c r="BD18" s="96"/>
      <c r="BE18" s="96"/>
      <c r="BF18" s="96"/>
      <c r="BG18" s="96"/>
      <c r="BH18" s="96"/>
      <c r="BI18" s="96"/>
      <c r="BJ18" s="96"/>
      <c r="BK18" s="635" t="b">
        <f t="shared" si="15"/>
        <v>0</v>
      </c>
    </row>
    <row r="19" spans="1:63" s="636" customFormat="1" ht="15.75" customHeight="1" x14ac:dyDescent="0.3">
      <c r="A19" s="616">
        <v>9</v>
      </c>
      <c r="B19" s="617"/>
      <c r="C19" s="618"/>
      <c r="D19" s="619" t="str">
        <f t="shared" si="37"/>
        <v/>
      </c>
      <c r="E19" s="620"/>
      <c r="F19" s="621"/>
      <c r="G19" s="621"/>
      <c r="H19" s="621"/>
      <c r="I19" s="622">
        <f t="shared" si="29"/>
        <v>1</v>
      </c>
      <c r="J19" s="622">
        <f t="shared" si="30"/>
        <v>2</v>
      </c>
      <c r="K19" s="622">
        <f t="shared" si="31"/>
        <v>3</v>
      </c>
      <c r="L19" s="622">
        <f t="shared" si="32"/>
        <v>4</v>
      </c>
      <c r="M19" s="709">
        <f t="shared" si="33"/>
        <v>5</v>
      </c>
      <c r="N19" s="716"/>
      <c r="O19" s="621"/>
      <c r="P19" s="621"/>
      <c r="Q19" s="621"/>
      <c r="R19" s="621"/>
      <c r="S19" s="622" t="str">
        <f t="shared" si="21"/>
        <v/>
      </c>
      <c r="T19" s="622" t="str">
        <f t="shared" si="22"/>
        <v/>
      </c>
      <c r="U19" s="622" t="str">
        <f t="shared" si="23"/>
        <v/>
      </c>
      <c r="V19" s="622" t="str">
        <f t="shared" si="24"/>
        <v/>
      </c>
      <c r="W19" s="622" t="str">
        <f t="shared" si="25"/>
        <v/>
      </c>
      <c r="X19" s="1111"/>
      <c r="Y19" s="1112"/>
      <c r="Z19" s="1112"/>
      <c r="AA19" s="623"/>
      <c r="AB19" s="623"/>
      <c r="AC19" s="624"/>
      <c r="AD19" s="625">
        <f t="shared" si="2"/>
        <v>0</v>
      </c>
      <c r="AE19" s="626">
        <f xml:space="preserve"> SUMIF(Detailplan!$K$9:$K$223,Projektteam!D19,Detailplan!$N$9:$N$223)+AW19</f>
        <v>0</v>
      </c>
      <c r="AF19" s="626">
        <f t="shared" si="3"/>
        <v>0</v>
      </c>
      <c r="AG19" s="627">
        <f t="shared" si="4"/>
        <v>0</v>
      </c>
      <c r="AH19" s="628">
        <f t="shared" si="5"/>
        <v>0</v>
      </c>
      <c r="AI19" s="628">
        <f t="shared" si="34"/>
        <v>0</v>
      </c>
      <c r="AJ19" s="628">
        <f t="shared" si="6"/>
        <v>0</v>
      </c>
      <c r="AK19" s="626">
        <f xml:space="preserve"> SUMIFS(Detailplan!$N$9:$N$223,Detailplan!$K$9:$K$223,Projektteam!$D$11:$D$31,Detailplan!$M$9:$M$223,"=1")+AS19</f>
        <v>0</v>
      </c>
      <c r="AL19" s="628">
        <f t="shared" si="35"/>
        <v>0</v>
      </c>
      <c r="AM19" s="618"/>
      <c r="AN19" s="629" t="str">
        <f t="shared" si="0"/>
        <v/>
      </c>
      <c r="AO19" s="630" t="str">
        <f t="array" ref="AO19">IF(ROW(AN18)&gt;COUNTIF($AN:$AN,"&gt;*"),"",INDEX(AN:AN,SMALL(IF(AN$1:AN$1001&lt;&gt;"",ROW($1:$101)),ROWS($1:18))))</f>
        <v/>
      </c>
      <c r="AP19" s="576">
        <f t="shared" si="7"/>
        <v>0</v>
      </c>
      <c r="AQ19" s="576">
        <f t="shared" si="8"/>
        <v>0</v>
      </c>
      <c r="AR19" s="576">
        <f t="shared" si="9"/>
        <v>0</v>
      </c>
      <c r="AS19" s="631">
        <f t="shared" si="36"/>
        <v>0</v>
      </c>
      <c r="AT19" s="576">
        <f t="shared" si="10"/>
        <v>0</v>
      </c>
      <c r="AU19" s="576">
        <f t="shared" si="11"/>
        <v>0</v>
      </c>
      <c r="AV19" s="576">
        <f t="shared" si="12"/>
        <v>0</v>
      </c>
      <c r="AW19" s="631">
        <f t="shared" si="28"/>
        <v>0</v>
      </c>
      <c r="AX19" s="576"/>
      <c r="AY19" s="632" t="str">
        <f>IF(D19&lt;&gt;"",CONCATENATE(B19," ",C19," (",D19,"): ",' '!$A$223,": ",AD19," / ",' '!$A$225,": ",AF19," / ",' '!$A$224,": ",AK19,),"")</f>
        <v/>
      </c>
      <c r="AZ19" s="633" t="str">
        <f t="shared" si="13"/>
        <v/>
      </c>
      <c r="BA19" s="634">
        <f t="shared" si="14"/>
        <v>0</v>
      </c>
      <c r="BB19" s="75" t="str">
        <f t="array" aca="1" ref="BB19" ca="1">IF(ROW(AY18)&gt;COUNTIF($AY:$AY,"&gt;*"),"",INDEX(AY:AY,SMALL(IF(AY$1:AY$1001&lt;&gt;"",ROW($1:$101)),ROWS($1:18))))</f>
        <v/>
      </c>
      <c r="BC19" s="96"/>
      <c r="BD19" s="96"/>
      <c r="BE19" s="96"/>
      <c r="BF19" s="96"/>
      <c r="BG19" s="96"/>
      <c r="BH19" s="96"/>
      <c r="BI19" s="96"/>
      <c r="BJ19" s="96"/>
      <c r="BK19" s="635" t="b">
        <f t="shared" si="15"/>
        <v>0</v>
      </c>
    </row>
    <row r="20" spans="1:63" s="636" customFormat="1" ht="15.75" customHeight="1" x14ac:dyDescent="0.3">
      <c r="A20" s="616">
        <v>10</v>
      </c>
      <c r="B20" s="617"/>
      <c r="C20" s="618"/>
      <c r="D20" s="619" t="str">
        <f t="shared" si="37"/>
        <v/>
      </c>
      <c r="E20" s="620"/>
      <c r="F20" s="621"/>
      <c r="G20" s="621"/>
      <c r="H20" s="621"/>
      <c r="I20" s="622">
        <f t="shared" si="29"/>
        <v>1</v>
      </c>
      <c r="J20" s="622">
        <f t="shared" si="30"/>
        <v>2</v>
      </c>
      <c r="K20" s="622">
        <f t="shared" si="31"/>
        <v>3</v>
      </c>
      <c r="L20" s="622">
        <f t="shared" si="32"/>
        <v>4</v>
      </c>
      <c r="M20" s="709">
        <f t="shared" si="33"/>
        <v>5</v>
      </c>
      <c r="N20" s="716"/>
      <c r="O20" s="621"/>
      <c r="P20" s="621"/>
      <c r="Q20" s="621"/>
      <c r="R20" s="621"/>
      <c r="S20" s="622" t="str">
        <f t="shared" si="21"/>
        <v/>
      </c>
      <c r="T20" s="622" t="str">
        <f t="shared" si="22"/>
        <v/>
      </c>
      <c r="U20" s="622" t="str">
        <f t="shared" si="23"/>
        <v/>
      </c>
      <c r="V20" s="622" t="str">
        <f t="shared" si="24"/>
        <v/>
      </c>
      <c r="W20" s="622" t="str">
        <f t="shared" si="25"/>
        <v/>
      </c>
      <c r="X20" s="1111"/>
      <c r="Y20" s="1112"/>
      <c r="Z20" s="1112"/>
      <c r="AA20" s="623"/>
      <c r="AB20" s="623"/>
      <c r="AC20" s="624"/>
      <c r="AD20" s="625">
        <f t="shared" si="2"/>
        <v>0</v>
      </c>
      <c r="AE20" s="626">
        <f xml:space="preserve"> SUMIF(Detailplan!$K$9:$K$223,Projektteam!D20,Detailplan!$N$9:$N$223)+AW20</f>
        <v>0</v>
      </c>
      <c r="AF20" s="626">
        <f t="shared" si="3"/>
        <v>0</v>
      </c>
      <c r="AG20" s="627">
        <f t="shared" si="4"/>
        <v>0</v>
      </c>
      <c r="AH20" s="628">
        <f t="shared" si="5"/>
        <v>0</v>
      </c>
      <c r="AI20" s="628">
        <f t="shared" si="34"/>
        <v>0</v>
      </c>
      <c r="AJ20" s="628">
        <f t="shared" si="6"/>
        <v>0</v>
      </c>
      <c r="AK20" s="626">
        <f xml:space="preserve"> SUMIFS(Detailplan!$N$9:$N$223,Detailplan!$K$9:$K$223,Projektteam!$D$11:$D$31,Detailplan!$M$9:$M$223,"=1")+AS20</f>
        <v>0</v>
      </c>
      <c r="AL20" s="628">
        <f t="shared" si="35"/>
        <v>0</v>
      </c>
      <c r="AM20" s="618"/>
      <c r="AN20" s="629" t="str">
        <f t="shared" si="0"/>
        <v/>
      </c>
      <c r="AO20" s="630" t="str">
        <f t="array" ref="AO20">IF(ROW(AN19)&gt;COUNTIF($AN:$AN,"&gt;*"),"",INDEX(AN:AN,SMALL(IF(AN$1:AN$1001&lt;&gt;"",ROW($1:$101)),ROWS($1:19))))</f>
        <v/>
      </c>
      <c r="AP20" s="576">
        <f t="shared" si="7"/>
        <v>0</v>
      </c>
      <c r="AQ20" s="576">
        <f t="shared" si="8"/>
        <v>0</v>
      </c>
      <c r="AR20" s="576">
        <f t="shared" si="9"/>
        <v>0</v>
      </c>
      <c r="AS20" s="631">
        <f t="shared" si="36"/>
        <v>0</v>
      </c>
      <c r="AT20" s="576">
        <f t="shared" si="10"/>
        <v>0</v>
      </c>
      <c r="AU20" s="576">
        <f t="shared" si="11"/>
        <v>0</v>
      </c>
      <c r="AV20" s="576">
        <f t="shared" si="12"/>
        <v>0</v>
      </c>
      <c r="AW20" s="631">
        <f t="shared" si="28"/>
        <v>0</v>
      </c>
      <c r="AX20" s="576"/>
      <c r="AY20" s="632" t="str">
        <f>IF(D20&lt;&gt;"",CONCATENATE(B20," ",C20," (",D20,"): ",' '!$A$223,": ",AD20," / ",' '!$A$225,": ",AF20," / ",' '!$A$224,": ",AK20,),"")</f>
        <v/>
      </c>
      <c r="AZ20" s="633" t="str">
        <f t="shared" si="13"/>
        <v/>
      </c>
      <c r="BA20" s="634">
        <f t="shared" si="14"/>
        <v>0</v>
      </c>
      <c r="BB20" s="75" t="str">
        <f t="array" aca="1" ref="BB20" ca="1">IF(ROW(AY19)&gt;COUNTIF($AY:$AY,"&gt;*"),"",INDEX(AY:AY,SMALL(IF(AY$1:AY$1001&lt;&gt;"",ROW($1:$101)),ROWS($1:19))))</f>
        <v/>
      </c>
      <c r="BC20" s="96"/>
      <c r="BD20" s="96"/>
      <c r="BE20" s="96"/>
      <c r="BF20" s="96"/>
      <c r="BG20" s="96"/>
      <c r="BH20" s="96"/>
      <c r="BI20" s="96"/>
      <c r="BJ20" s="96"/>
      <c r="BK20" s="635" t="b">
        <f t="shared" si="15"/>
        <v>0</v>
      </c>
    </row>
    <row r="21" spans="1:63" s="636" customFormat="1" ht="15.75" customHeight="1" x14ac:dyDescent="0.3">
      <c r="A21" s="616">
        <v>11</v>
      </c>
      <c r="B21" s="617"/>
      <c r="C21" s="618"/>
      <c r="D21" s="619" t="str">
        <f t="shared" si="37"/>
        <v/>
      </c>
      <c r="E21" s="620"/>
      <c r="F21" s="621"/>
      <c r="G21" s="621"/>
      <c r="H21" s="621"/>
      <c r="I21" s="622">
        <f t="shared" si="29"/>
        <v>1</v>
      </c>
      <c r="J21" s="622">
        <f t="shared" si="30"/>
        <v>2</v>
      </c>
      <c r="K21" s="622">
        <f t="shared" si="31"/>
        <v>3</v>
      </c>
      <c r="L21" s="622">
        <f t="shared" si="32"/>
        <v>4</v>
      </c>
      <c r="M21" s="709">
        <f t="shared" si="33"/>
        <v>5</v>
      </c>
      <c r="N21" s="716"/>
      <c r="O21" s="621"/>
      <c r="P21" s="621"/>
      <c r="Q21" s="621"/>
      <c r="R21" s="621"/>
      <c r="S21" s="622" t="str">
        <f t="shared" si="21"/>
        <v/>
      </c>
      <c r="T21" s="622" t="str">
        <f t="shared" si="22"/>
        <v/>
      </c>
      <c r="U21" s="622" t="str">
        <f t="shared" si="23"/>
        <v/>
      </c>
      <c r="V21" s="622" t="str">
        <f t="shared" si="24"/>
        <v/>
      </c>
      <c r="W21" s="622" t="str">
        <f t="shared" si="25"/>
        <v/>
      </c>
      <c r="X21" s="1111"/>
      <c r="Y21" s="1112"/>
      <c r="Z21" s="1112"/>
      <c r="AA21" s="623"/>
      <c r="AB21" s="623"/>
      <c r="AC21" s="624"/>
      <c r="AD21" s="625">
        <f t="shared" si="2"/>
        <v>0</v>
      </c>
      <c r="AE21" s="626">
        <f xml:space="preserve"> SUMIF(Detailplan!$K$9:$K$223,Projektteam!D21,Detailplan!$N$9:$N$223)+AW21</f>
        <v>0</v>
      </c>
      <c r="AF21" s="626">
        <f t="shared" si="3"/>
        <v>0</v>
      </c>
      <c r="AG21" s="627">
        <f t="shared" si="4"/>
        <v>0</v>
      </c>
      <c r="AH21" s="628">
        <f t="shared" si="5"/>
        <v>0</v>
      </c>
      <c r="AI21" s="628">
        <f t="shared" si="34"/>
        <v>0</v>
      </c>
      <c r="AJ21" s="628">
        <f t="shared" si="6"/>
        <v>0</v>
      </c>
      <c r="AK21" s="626">
        <f xml:space="preserve"> SUMIFS(Detailplan!$N$9:$N$223,Detailplan!$K$9:$K$223,Projektteam!$D$11:$D$31,Detailplan!$M$9:$M$223,"=1")+AS21</f>
        <v>0</v>
      </c>
      <c r="AL21" s="628">
        <f t="shared" si="35"/>
        <v>0</v>
      </c>
      <c r="AM21" s="618"/>
      <c r="AN21" s="629" t="str">
        <f t="shared" si="0"/>
        <v/>
      </c>
      <c r="AO21" s="630" t="str">
        <f t="array" ref="AO21">IF(ROW(AN20)&gt;COUNTIF($AN:$AN,"&gt;*"),"",INDEX(AN:AN,SMALL(IF(AN$1:AN$1001&lt;&gt;"",ROW($1:$101)),ROWS($1:20))))</f>
        <v/>
      </c>
      <c r="AP21" s="576">
        <f t="shared" si="7"/>
        <v>0</v>
      </c>
      <c r="AQ21" s="576">
        <f t="shared" si="8"/>
        <v>0</v>
      </c>
      <c r="AR21" s="576">
        <f t="shared" si="9"/>
        <v>0</v>
      </c>
      <c r="AS21" s="631">
        <f t="shared" si="36"/>
        <v>0</v>
      </c>
      <c r="AT21" s="576">
        <f t="shared" si="10"/>
        <v>0</v>
      </c>
      <c r="AU21" s="576">
        <f t="shared" si="11"/>
        <v>0</v>
      </c>
      <c r="AV21" s="576">
        <f t="shared" si="12"/>
        <v>0</v>
      </c>
      <c r="AW21" s="631">
        <f t="shared" si="28"/>
        <v>0</v>
      </c>
      <c r="AX21" s="576"/>
      <c r="AY21" s="632" t="str">
        <f>IF(D21&lt;&gt;"",CONCATENATE(B21," ",C21," (",D21,"): ",' '!$A$223,": ",AD21," / ",' '!$A$225,": ",AF21," / ",' '!$A$224,": ",AK21,),"")</f>
        <v/>
      </c>
      <c r="AZ21" s="633" t="str">
        <f t="shared" si="13"/>
        <v/>
      </c>
      <c r="BA21" s="634">
        <f t="shared" si="14"/>
        <v>0</v>
      </c>
      <c r="BB21" s="75" t="str">
        <f t="array" aca="1" ref="BB21" ca="1">IF(ROW(AY20)&gt;COUNTIF($AY:$AY,"&gt;*"),"",INDEX(AY:AY,SMALL(IF(AY$1:AY$1001&lt;&gt;"",ROW($1:$101)),ROWS($1:20))))</f>
        <v/>
      </c>
      <c r="BC21" s="96"/>
      <c r="BD21" s="96"/>
      <c r="BE21" s="96"/>
      <c r="BF21" s="96"/>
      <c r="BG21" s="96"/>
      <c r="BH21" s="96"/>
      <c r="BI21" s="96"/>
      <c r="BJ21" s="96"/>
      <c r="BK21" s="635" t="b">
        <f t="shared" si="15"/>
        <v>0</v>
      </c>
    </row>
    <row r="22" spans="1:63" s="636" customFormat="1" ht="15.75" customHeight="1" x14ac:dyDescent="0.3">
      <c r="A22" s="616">
        <v>12</v>
      </c>
      <c r="B22" s="617"/>
      <c r="C22" s="618"/>
      <c r="D22" s="619" t="str">
        <f t="shared" si="37"/>
        <v/>
      </c>
      <c r="E22" s="620"/>
      <c r="F22" s="621"/>
      <c r="G22" s="621"/>
      <c r="H22" s="621"/>
      <c r="I22" s="622">
        <f t="shared" si="29"/>
        <v>1</v>
      </c>
      <c r="J22" s="622">
        <f t="shared" si="30"/>
        <v>2</v>
      </c>
      <c r="K22" s="622">
        <f t="shared" si="31"/>
        <v>3</v>
      </c>
      <c r="L22" s="622">
        <f t="shared" si="32"/>
        <v>4</v>
      </c>
      <c r="M22" s="709">
        <f t="shared" si="33"/>
        <v>5</v>
      </c>
      <c r="N22" s="716"/>
      <c r="O22" s="621"/>
      <c r="P22" s="621"/>
      <c r="Q22" s="621"/>
      <c r="R22" s="621"/>
      <c r="S22" s="622" t="str">
        <f t="shared" si="21"/>
        <v/>
      </c>
      <c r="T22" s="622" t="str">
        <f t="shared" si="22"/>
        <v/>
      </c>
      <c r="U22" s="622" t="str">
        <f t="shared" si="23"/>
        <v/>
      </c>
      <c r="V22" s="622" t="str">
        <f t="shared" si="24"/>
        <v/>
      </c>
      <c r="W22" s="622" t="str">
        <f t="shared" si="25"/>
        <v/>
      </c>
      <c r="X22" s="1111"/>
      <c r="Y22" s="1112"/>
      <c r="Z22" s="1112"/>
      <c r="AA22" s="623"/>
      <c r="AB22" s="623"/>
      <c r="AC22" s="624"/>
      <c r="AD22" s="625">
        <f t="shared" si="2"/>
        <v>0</v>
      </c>
      <c r="AE22" s="626">
        <f xml:space="preserve"> SUMIF(Detailplan!$K$9:$K$223,Projektteam!D22,Detailplan!$N$9:$N$223)+AW22</f>
        <v>0</v>
      </c>
      <c r="AF22" s="626">
        <f t="shared" si="3"/>
        <v>0</v>
      </c>
      <c r="AG22" s="627">
        <f t="shared" si="4"/>
        <v>0</v>
      </c>
      <c r="AH22" s="628">
        <f t="shared" si="5"/>
        <v>0</v>
      </c>
      <c r="AI22" s="628">
        <f t="shared" si="34"/>
        <v>0</v>
      </c>
      <c r="AJ22" s="628">
        <f t="shared" si="6"/>
        <v>0</v>
      </c>
      <c r="AK22" s="626">
        <f xml:space="preserve"> SUMIFS(Detailplan!$N$9:$N$223,Detailplan!$K$9:$K$223,Projektteam!$D$11:$D$31,Detailplan!$M$9:$M$223,"=1")+AS22</f>
        <v>0</v>
      </c>
      <c r="AL22" s="628">
        <f t="shared" si="35"/>
        <v>0</v>
      </c>
      <c r="AM22" s="618"/>
      <c r="AN22" s="629" t="str">
        <f t="shared" si="0"/>
        <v/>
      </c>
      <c r="AO22" s="630" t="str">
        <f t="array" ref="AO22">IF(ROW(AN21)&gt;COUNTIF($AN:$AN,"&gt;*"),"",INDEX(AN:AN,SMALL(IF(AN$1:AN$1001&lt;&gt;"",ROW($1:$101)),ROWS($1:21))))</f>
        <v/>
      </c>
      <c r="AP22" s="576">
        <f t="shared" si="7"/>
        <v>0</v>
      </c>
      <c r="AQ22" s="576">
        <f t="shared" si="8"/>
        <v>0</v>
      </c>
      <c r="AR22" s="576">
        <f t="shared" si="9"/>
        <v>0</v>
      </c>
      <c r="AS22" s="631">
        <f t="shared" si="36"/>
        <v>0</v>
      </c>
      <c r="AT22" s="576">
        <f t="shared" si="10"/>
        <v>0</v>
      </c>
      <c r="AU22" s="576">
        <f t="shared" si="11"/>
        <v>0</v>
      </c>
      <c r="AV22" s="576">
        <f t="shared" si="12"/>
        <v>0</v>
      </c>
      <c r="AW22" s="631">
        <f t="shared" si="28"/>
        <v>0</v>
      </c>
      <c r="AX22" s="576"/>
      <c r="AY22" s="632" t="str">
        <f>IF(D22&lt;&gt;"",CONCATENATE(B22," ",C22," (",D22,"): ",' '!$A$223,": ",AD22," / ",' '!$A$225,": ",AF22," / ",' '!$A$224,": ",AK22,),"")</f>
        <v/>
      </c>
      <c r="AZ22" s="633" t="str">
        <f t="shared" si="13"/>
        <v/>
      </c>
      <c r="BA22" s="634">
        <f t="shared" si="14"/>
        <v>0</v>
      </c>
      <c r="BB22" s="75" t="str">
        <f t="array" aca="1" ref="BB22" ca="1">IF(ROW(AY21)&gt;COUNTIF($AY:$AY,"&gt;*"),"",INDEX(AY:AY,SMALL(IF(AY$1:AY$1001&lt;&gt;"",ROW($1:$101)),ROWS($1:21))))</f>
        <v/>
      </c>
      <c r="BC22" s="96"/>
      <c r="BD22" s="96"/>
      <c r="BE22" s="96"/>
      <c r="BF22" s="96"/>
      <c r="BG22" s="96"/>
      <c r="BH22" s="96"/>
      <c r="BI22" s="96"/>
      <c r="BJ22" s="96"/>
      <c r="BK22" s="635" t="b">
        <f t="shared" si="15"/>
        <v>0</v>
      </c>
    </row>
    <row r="23" spans="1:63" s="636" customFormat="1" ht="15.75" customHeight="1" x14ac:dyDescent="0.3">
      <c r="A23" s="616">
        <v>13</v>
      </c>
      <c r="B23" s="617"/>
      <c r="C23" s="618"/>
      <c r="D23" s="619" t="str">
        <f t="shared" si="37"/>
        <v/>
      </c>
      <c r="E23" s="620"/>
      <c r="F23" s="621"/>
      <c r="G23" s="621"/>
      <c r="H23" s="621"/>
      <c r="I23" s="622">
        <f t="shared" si="29"/>
        <v>1</v>
      </c>
      <c r="J23" s="622">
        <f t="shared" si="30"/>
        <v>2</v>
      </c>
      <c r="K23" s="622">
        <f t="shared" si="31"/>
        <v>3</v>
      </c>
      <c r="L23" s="622">
        <f t="shared" si="32"/>
        <v>4</v>
      </c>
      <c r="M23" s="709">
        <f t="shared" si="33"/>
        <v>5</v>
      </c>
      <c r="N23" s="716"/>
      <c r="O23" s="621"/>
      <c r="P23" s="621"/>
      <c r="Q23" s="621"/>
      <c r="R23" s="621"/>
      <c r="S23" s="622" t="str">
        <f t="shared" si="21"/>
        <v/>
      </c>
      <c r="T23" s="622" t="str">
        <f t="shared" si="22"/>
        <v/>
      </c>
      <c r="U23" s="622" t="str">
        <f t="shared" si="23"/>
        <v/>
      </c>
      <c r="V23" s="622" t="str">
        <f t="shared" si="24"/>
        <v/>
      </c>
      <c r="W23" s="622" t="str">
        <f t="shared" si="25"/>
        <v/>
      </c>
      <c r="X23" s="1111"/>
      <c r="Y23" s="1112"/>
      <c r="Z23" s="1112"/>
      <c r="AA23" s="623"/>
      <c r="AB23" s="623"/>
      <c r="AC23" s="624"/>
      <c r="AD23" s="625">
        <f t="shared" si="2"/>
        <v>0</v>
      </c>
      <c r="AE23" s="626">
        <f xml:space="preserve"> SUMIF(Detailplan!$K$9:$K$223,Projektteam!D23,Detailplan!$N$9:$N$223)+AW23</f>
        <v>0</v>
      </c>
      <c r="AF23" s="626">
        <f t="shared" si="3"/>
        <v>0</v>
      </c>
      <c r="AG23" s="627">
        <f t="shared" si="4"/>
        <v>0</v>
      </c>
      <c r="AH23" s="628">
        <f t="shared" si="5"/>
        <v>0</v>
      </c>
      <c r="AI23" s="628">
        <f t="shared" si="34"/>
        <v>0</v>
      </c>
      <c r="AJ23" s="628">
        <f t="shared" si="6"/>
        <v>0</v>
      </c>
      <c r="AK23" s="626">
        <f xml:space="preserve"> SUMIFS(Detailplan!$N$9:$N$223,Detailplan!$K$9:$K$223,Projektteam!$D$11:$D$31,Detailplan!$M$9:$M$223,"=1")+AS23</f>
        <v>0</v>
      </c>
      <c r="AL23" s="628">
        <f t="shared" si="35"/>
        <v>0</v>
      </c>
      <c r="AM23" s="618"/>
      <c r="AN23" s="629" t="str">
        <f t="shared" si="0"/>
        <v/>
      </c>
      <c r="AO23" s="630" t="str">
        <f t="array" ref="AO23">IF(ROW(AN22)&gt;COUNTIF($AN:$AN,"&gt;*"),"",INDEX(AN:AN,SMALL(IF(AN$1:AN$1001&lt;&gt;"",ROW($1:$101)),ROWS($1:22))))</f>
        <v/>
      </c>
      <c r="AP23" s="576">
        <f t="shared" si="7"/>
        <v>0</v>
      </c>
      <c r="AQ23" s="576">
        <f t="shared" si="8"/>
        <v>0</v>
      </c>
      <c r="AR23" s="576">
        <f t="shared" si="9"/>
        <v>0</v>
      </c>
      <c r="AS23" s="631">
        <f t="shared" si="36"/>
        <v>0</v>
      </c>
      <c r="AT23" s="576">
        <f t="shared" si="10"/>
        <v>0</v>
      </c>
      <c r="AU23" s="576">
        <f t="shared" si="11"/>
        <v>0</v>
      </c>
      <c r="AV23" s="576">
        <f t="shared" si="12"/>
        <v>0</v>
      </c>
      <c r="AW23" s="631">
        <f t="shared" si="28"/>
        <v>0</v>
      </c>
      <c r="AX23" s="576"/>
      <c r="AY23" s="632" t="str">
        <f>IF(D23&lt;&gt;"",CONCATENATE(B23," ",C23," (",D23,"): ",' '!$A$223,": ",AD23," / ",' '!$A$225,": ",AF23," / ",' '!$A$224,": ",AK23,),"")</f>
        <v/>
      </c>
      <c r="AZ23" s="633" t="str">
        <f t="shared" si="13"/>
        <v/>
      </c>
      <c r="BA23" s="634">
        <f t="shared" si="14"/>
        <v>0</v>
      </c>
      <c r="BB23" s="75" t="str">
        <f t="array" aca="1" ref="BB23" ca="1">IF(ROW(AY22)&gt;COUNTIF($AY:$AY,"&gt;*"),"",INDEX(AY:AY,SMALL(IF(AY$1:AY$1001&lt;&gt;"",ROW($1:$101)),ROWS($1:22))))</f>
        <v/>
      </c>
      <c r="BC23" s="96"/>
      <c r="BD23" s="96"/>
      <c r="BE23" s="96"/>
      <c r="BF23" s="96"/>
      <c r="BG23" s="96"/>
      <c r="BH23" s="96"/>
      <c r="BI23" s="96"/>
      <c r="BJ23" s="96"/>
      <c r="BK23" s="635" t="b">
        <f t="shared" si="15"/>
        <v>0</v>
      </c>
    </row>
    <row r="24" spans="1:63" s="636" customFormat="1" ht="15.75" customHeight="1" x14ac:dyDescent="0.3">
      <c r="A24" s="616">
        <v>14</v>
      </c>
      <c r="B24" s="617"/>
      <c r="C24" s="618"/>
      <c r="D24" s="619" t="str">
        <f t="shared" si="37"/>
        <v/>
      </c>
      <c r="E24" s="620"/>
      <c r="F24" s="621"/>
      <c r="G24" s="621"/>
      <c r="H24" s="621"/>
      <c r="I24" s="622">
        <f t="shared" si="29"/>
        <v>1</v>
      </c>
      <c r="J24" s="622">
        <f t="shared" si="30"/>
        <v>2</v>
      </c>
      <c r="K24" s="622">
        <f t="shared" si="31"/>
        <v>3</v>
      </c>
      <c r="L24" s="622">
        <f t="shared" si="32"/>
        <v>4</v>
      </c>
      <c r="M24" s="709">
        <f t="shared" si="33"/>
        <v>5</v>
      </c>
      <c r="N24" s="716"/>
      <c r="O24" s="621"/>
      <c r="P24" s="621"/>
      <c r="Q24" s="621"/>
      <c r="R24" s="621"/>
      <c r="S24" s="622" t="str">
        <f t="shared" si="21"/>
        <v/>
      </c>
      <c r="T24" s="622" t="str">
        <f t="shared" si="22"/>
        <v/>
      </c>
      <c r="U24" s="622" t="str">
        <f t="shared" si="23"/>
        <v/>
      </c>
      <c r="V24" s="622" t="str">
        <f t="shared" si="24"/>
        <v/>
      </c>
      <c r="W24" s="622" t="str">
        <f t="shared" si="25"/>
        <v/>
      </c>
      <c r="X24" s="1111"/>
      <c r="Y24" s="1112"/>
      <c r="Z24" s="1112"/>
      <c r="AA24" s="623"/>
      <c r="AB24" s="623"/>
      <c r="AC24" s="624"/>
      <c r="AD24" s="625">
        <f t="shared" si="2"/>
        <v>0</v>
      </c>
      <c r="AE24" s="626">
        <f xml:space="preserve"> SUMIF(Detailplan!$K$9:$K$223,Projektteam!D24,Detailplan!$N$9:$N$223)+AW24</f>
        <v>0</v>
      </c>
      <c r="AF24" s="626">
        <f t="shared" si="3"/>
        <v>0</v>
      </c>
      <c r="AG24" s="627">
        <f t="shared" si="4"/>
        <v>0</v>
      </c>
      <c r="AH24" s="628">
        <f t="shared" si="5"/>
        <v>0</v>
      </c>
      <c r="AI24" s="628">
        <f t="shared" si="34"/>
        <v>0</v>
      </c>
      <c r="AJ24" s="628">
        <f t="shared" si="6"/>
        <v>0</v>
      </c>
      <c r="AK24" s="626">
        <f xml:space="preserve"> SUMIFS(Detailplan!$N$9:$N$223,Detailplan!$K$9:$K$223,Projektteam!$D$11:$D$31,Detailplan!$M$9:$M$223,"=1")+AS24</f>
        <v>0</v>
      </c>
      <c r="AL24" s="628">
        <f t="shared" si="35"/>
        <v>0</v>
      </c>
      <c r="AM24" s="618"/>
      <c r="AN24" s="629" t="str">
        <f t="shared" si="0"/>
        <v/>
      </c>
      <c r="AO24" s="630" t="str">
        <f t="array" ref="AO24">IF(ROW(AN23)&gt;COUNTIF($AN:$AN,"&gt;*"),"",INDEX(AN:AN,SMALL(IF(AN$1:AN$1001&lt;&gt;"",ROW($1:$101)),ROWS($1:23))))</f>
        <v/>
      </c>
      <c r="AP24" s="576">
        <f t="shared" si="7"/>
        <v>0</v>
      </c>
      <c r="AQ24" s="576">
        <f t="shared" si="8"/>
        <v>0</v>
      </c>
      <c r="AR24" s="576">
        <f t="shared" si="9"/>
        <v>0</v>
      </c>
      <c r="AS24" s="631">
        <f t="shared" si="36"/>
        <v>0</v>
      </c>
      <c r="AT24" s="576">
        <f t="shared" si="10"/>
        <v>0</v>
      </c>
      <c r="AU24" s="576">
        <f t="shared" si="11"/>
        <v>0</v>
      </c>
      <c r="AV24" s="576">
        <f t="shared" si="12"/>
        <v>0</v>
      </c>
      <c r="AW24" s="631">
        <f t="shared" si="28"/>
        <v>0</v>
      </c>
      <c r="AX24" s="576"/>
      <c r="AY24" s="632" t="str">
        <f>IF(D24&lt;&gt;"",CONCATENATE(B24," ",C24," (",D24,"): ",' '!$A$223,": ",AD24," / ",' '!$A$225,": ",AF24," / ",' '!$A$224,": ",AK24,),"")</f>
        <v/>
      </c>
      <c r="AZ24" s="633" t="str">
        <f t="shared" si="13"/>
        <v/>
      </c>
      <c r="BA24" s="634">
        <f t="shared" si="14"/>
        <v>0</v>
      </c>
      <c r="BB24" s="75" t="str">
        <f t="array" aca="1" ref="BB24" ca="1">IF(ROW(AY23)&gt;COUNTIF($AY:$AY,"&gt;*"),"",INDEX(AY:AY,SMALL(IF(AY$1:AY$1001&lt;&gt;"",ROW($1:$101)),ROWS($1:23))))</f>
        <v/>
      </c>
      <c r="BC24" s="96"/>
      <c r="BD24" s="96"/>
      <c r="BE24" s="96"/>
      <c r="BF24" s="96"/>
      <c r="BG24" s="96"/>
      <c r="BH24" s="96"/>
      <c r="BI24" s="96"/>
      <c r="BJ24" s="96"/>
      <c r="BK24" s="635" t="b">
        <f t="shared" si="15"/>
        <v>0</v>
      </c>
    </row>
    <row r="25" spans="1:63" s="636" customFormat="1" ht="15.75" customHeight="1" x14ac:dyDescent="0.3">
      <c r="A25" s="616">
        <v>15</v>
      </c>
      <c r="B25" s="617"/>
      <c r="C25" s="618"/>
      <c r="D25" s="619" t="str">
        <f t="shared" si="37"/>
        <v/>
      </c>
      <c r="E25" s="620"/>
      <c r="F25" s="621"/>
      <c r="G25" s="621"/>
      <c r="H25" s="621"/>
      <c r="I25" s="622">
        <f t="shared" si="29"/>
        <v>1</v>
      </c>
      <c r="J25" s="622">
        <f t="shared" si="30"/>
        <v>2</v>
      </c>
      <c r="K25" s="622">
        <f t="shared" si="31"/>
        <v>3</v>
      </c>
      <c r="L25" s="622">
        <f t="shared" si="32"/>
        <v>4</v>
      </c>
      <c r="M25" s="709">
        <f t="shared" si="33"/>
        <v>5</v>
      </c>
      <c r="N25" s="716"/>
      <c r="O25" s="621"/>
      <c r="P25" s="621"/>
      <c r="Q25" s="621"/>
      <c r="R25" s="621"/>
      <c r="S25" s="622" t="str">
        <f t="shared" si="21"/>
        <v/>
      </c>
      <c r="T25" s="622" t="str">
        <f t="shared" si="22"/>
        <v/>
      </c>
      <c r="U25" s="622" t="str">
        <f t="shared" si="23"/>
        <v/>
      </c>
      <c r="V25" s="622" t="str">
        <f t="shared" si="24"/>
        <v/>
      </c>
      <c r="W25" s="622" t="str">
        <f t="shared" si="25"/>
        <v/>
      </c>
      <c r="X25" s="1111"/>
      <c r="Y25" s="1112"/>
      <c r="Z25" s="1112"/>
      <c r="AA25" s="623"/>
      <c r="AB25" s="623"/>
      <c r="AC25" s="624"/>
      <c r="AD25" s="625">
        <f t="shared" si="2"/>
        <v>0</v>
      </c>
      <c r="AE25" s="626">
        <f xml:space="preserve"> SUMIF(Detailplan!$K$9:$K$223,Projektteam!D25,Detailplan!$N$9:$N$223)+AW25</f>
        <v>0</v>
      </c>
      <c r="AF25" s="626">
        <f t="shared" si="3"/>
        <v>0</v>
      </c>
      <c r="AG25" s="627">
        <f t="shared" si="4"/>
        <v>0</v>
      </c>
      <c r="AH25" s="628">
        <f t="shared" si="5"/>
        <v>0</v>
      </c>
      <c r="AI25" s="628">
        <f t="shared" si="34"/>
        <v>0</v>
      </c>
      <c r="AJ25" s="628">
        <f t="shared" si="6"/>
        <v>0</v>
      </c>
      <c r="AK25" s="626">
        <f xml:space="preserve"> SUMIFS(Detailplan!$N$9:$N$223,Detailplan!$K$9:$K$223,Projektteam!$D$11:$D$31,Detailplan!$M$9:$M$223,"=1")+AS25</f>
        <v>0</v>
      </c>
      <c r="AL25" s="628">
        <f t="shared" si="35"/>
        <v>0</v>
      </c>
      <c r="AM25" s="618"/>
      <c r="AN25" s="629" t="str">
        <f t="shared" si="0"/>
        <v/>
      </c>
      <c r="AO25" s="630" t="str">
        <f t="array" ref="AO25">IF(ROW(AN24)&gt;COUNTIF($AN:$AN,"&gt;*"),"",INDEX(AN:AN,SMALL(IF(AN$1:AN$1001&lt;&gt;"",ROW($1:$101)),ROWS($1:24))))</f>
        <v/>
      </c>
      <c r="AP25" s="576">
        <f t="shared" si="7"/>
        <v>0</v>
      </c>
      <c r="AQ25" s="576">
        <f t="shared" si="8"/>
        <v>0</v>
      </c>
      <c r="AR25" s="576">
        <f t="shared" si="9"/>
        <v>0</v>
      </c>
      <c r="AS25" s="631">
        <f t="shared" si="36"/>
        <v>0</v>
      </c>
      <c r="AT25" s="576">
        <f t="shared" si="10"/>
        <v>0</v>
      </c>
      <c r="AU25" s="576">
        <f t="shared" si="11"/>
        <v>0</v>
      </c>
      <c r="AV25" s="576">
        <f t="shared" si="12"/>
        <v>0</v>
      </c>
      <c r="AW25" s="631">
        <f t="shared" si="28"/>
        <v>0</v>
      </c>
      <c r="AX25" s="576"/>
      <c r="AY25" s="632" t="str">
        <f>IF(D25&lt;&gt;"",CONCATENATE(B25," ",C25," (",D25,"): ",' '!$A$223,": ",AD25," / ",' '!$A$225,": ",AF25," / ",' '!$A$224,": ",AK25,),"")</f>
        <v/>
      </c>
      <c r="AZ25" s="633" t="str">
        <f t="shared" si="13"/>
        <v/>
      </c>
      <c r="BA25" s="634">
        <f t="shared" si="14"/>
        <v>0</v>
      </c>
      <c r="BB25" s="75" t="str">
        <f t="array" aca="1" ref="BB25" ca="1">IF(ROW(AY24)&gt;COUNTIF($AY:$AY,"&gt;*"),"",INDEX(AY:AY,SMALL(IF(AY$1:AY$1001&lt;&gt;"",ROW($1:$101)),ROWS($1:24))))</f>
        <v/>
      </c>
      <c r="BC25" s="96"/>
      <c r="BD25" s="96"/>
      <c r="BE25" s="96"/>
      <c r="BF25" s="96"/>
      <c r="BG25" s="96"/>
      <c r="BH25" s="96"/>
      <c r="BI25" s="96"/>
      <c r="BJ25" s="96"/>
      <c r="BK25" s="635" t="b">
        <f t="shared" si="15"/>
        <v>0</v>
      </c>
    </row>
    <row r="26" spans="1:63" s="636" customFormat="1" ht="15.75" customHeight="1" x14ac:dyDescent="0.3">
      <c r="A26" s="616">
        <v>16</v>
      </c>
      <c r="B26" s="617"/>
      <c r="C26" s="618"/>
      <c r="D26" s="619" t="str">
        <f t="shared" si="37"/>
        <v/>
      </c>
      <c r="E26" s="620"/>
      <c r="F26" s="621"/>
      <c r="G26" s="621"/>
      <c r="H26" s="621"/>
      <c r="I26" s="622">
        <f t="shared" si="29"/>
        <v>1</v>
      </c>
      <c r="J26" s="622">
        <f t="shared" si="30"/>
        <v>2</v>
      </c>
      <c r="K26" s="622">
        <f t="shared" si="31"/>
        <v>3</v>
      </c>
      <c r="L26" s="622">
        <f t="shared" si="32"/>
        <v>4</v>
      </c>
      <c r="M26" s="709">
        <f t="shared" si="33"/>
        <v>5</v>
      </c>
      <c r="N26" s="716"/>
      <c r="O26" s="621"/>
      <c r="P26" s="621"/>
      <c r="Q26" s="621"/>
      <c r="R26" s="621"/>
      <c r="S26" s="622" t="str">
        <f t="shared" si="21"/>
        <v/>
      </c>
      <c r="T26" s="622" t="str">
        <f t="shared" si="22"/>
        <v/>
      </c>
      <c r="U26" s="622" t="str">
        <f t="shared" si="23"/>
        <v/>
      </c>
      <c r="V26" s="622" t="str">
        <f t="shared" si="24"/>
        <v/>
      </c>
      <c r="W26" s="622" t="str">
        <f t="shared" si="25"/>
        <v/>
      </c>
      <c r="X26" s="1111"/>
      <c r="Y26" s="1112"/>
      <c r="Z26" s="1112"/>
      <c r="AA26" s="623"/>
      <c r="AB26" s="623"/>
      <c r="AC26" s="624"/>
      <c r="AD26" s="625">
        <f t="shared" si="2"/>
        <v>0</v>
      </c>
      <c r="AE26" s="626">
        <f xml:space="preserve"> SUMIF(Detailplan!$K$9:$K$223,Projektteam!D26,Detailplan!$N$9:$N$223)+AW26</f>
        <v>0</v>
      </c>
      <c r="AF26" s="626">
        <f t="shared" si="3"/>
        <v>0</v>
      </c>
      <c r="AG26" s="627">
        <f t="shared" si="4"/>
        <v>0</v>
      </c>
      <c r="AH26" s="628">
        <f t="shared" si="5"/>
        <v>0</v>
      </c>
      <c r="AI26" s="628">
        <f t="shared" si="34"/>
        <v>0</v>
      </c>
      <c r="AJ26" s="628">
        <f t="shared" si="6"/>
        <v>0</v>
      </c>
      <c r="AK26" s="626">
        <f xml:space="preserve"> SUMIFS(Detailplan!$N$9:$N$223,Detailplan!$K$9:$K$223,Projektteam!$D$11:$D$31,Detailplan!$M$9:$M$223,"=1")+AS26</f>
        <v>0</v>
      </c>
      <c r="AL26" s="628">
        <f t="shared" si="35"/>
        <v>0</v>
      </c>
      <c r="AM26" s="618"/>
      <c r="AN26" s="629" t="str">
        <f>IF(D36&lt;&gt;"",D36,
IF(D42&lt;&gt;"",D42,""))</f>
        <v>T1 (abd)</v>
      </c>
      <c r="AO26" s="630" t="str">
        <f t="array" ref="AO26">IF(ROW(AN25)&gt;COUNTIF($AN:$AN,"&gt;*"),"",INDEX(AN:AN,SMALL(IF(AN$1:AN$1001&lt;&gt;"",ROW($1:$101)),ROWS($1:25))))</f>
        <v/>
      </c>
      <c r="AP26" s="576">
        <f t="shared" si="7"/>
        <v>0</v>
      </c>
      <c r="AQ26" s="576">
        <f t="shared" si="8"/>
        <v>0</v>
      </c>
      <c r="AR26" s="576">
        <f t="shared" si="9"/>
        <v>0</v>
      </c>
      <c r="AS26" s="631">
        <f t="shared" si="36"/>
        <v>0</v>
      </c>
      <c r="AT26" s="576">
        <f t="shared" si="10"/>
        <v>0</v>
      </c>
      <c r="AU26" s="576">
        <f t="shared" si="11"/>
        <v>0</v>
      </c>
      <c r="AV26" s="576">
        <f t="shared" si="12"/>
        <v>0</v>
      </c>
      <c r="AW26" s="631">
        <f t="shared" si="28"/>
        <v>0</v>
      </c>
      <c r="AX26" s="576"/>
      <c r="AY26" s="632" t="str">
        <f>IF(D26&lt;&gt;"",CONCATENATE(B26," ",C26," (",D26,"): ",' '!$A$223,": ",AD26," / ",' '!$A$225,": ",AF26," / ",' '!$A$224,": ",AK26,),"")</f>
        <v/>
      </c>
      <c r="AZ26" s="633" t="str">
        <f t="shared" si="13"/>
        <v/>
      </c>
      <c r="BA26" s="634">
        <f t="shared" si="14"/>
        <v>0</v>
      </c>
      <c r="BB26" s="75" t="str">
        <f t="array" aca="1" ref="BB26" ca="1">IF(ROW(AY25)&gt;COUNTIF($AY:$AY,"&gt;*"),"",INDEX(AY:AY,SMALL(IF(AY$1:AY$1001&lt;&gt;"",ROW($1:$101)),ROWS($1:25))))</f>
        <v/>
      </c>
      <c r="BC26" s="96"/>
      <c r="BD26" s="96"/>
      <c r="BE26" s="96"/>
      <c r="BF26" s="96"/>
      <c r="BG26" s="96"/>
      <c r="BH26" s="96"/>
      <c r="BI26" s="96"/>
      <c r="BJ26" s="96"/>
      <c r="BK26" s="635" t="b">
        <f t="shared" si="15"/>
        <v>0</v>
      </c>
    </row>
    <row r="27" spans="1:63" s="636" customFormat="1" ht="15.75" customHeight="1" x14ac:dyDescent="0.3">
      <c r="A27" s="616">
        <v>17</v>
      </c>
      <c r="B27" s="617"/>
      <c r="C27" s="618"/>
      <c r="D27" s="619" t="str">
        <f t="shared" si="37"/>
        <v/>
      </c>
      <c r="E27" s="620"/>
      <c r="F27" s="621"/>
      <c r="G27" s="621"/>
      <c r="H27" s="621"/>
      <c r="I27" s="622">
        <f t="shared" si="29"/>
        <v>1</v>
      </c>
      <c r="J27" s="622">
        <f t="shared" si="30"/>
        <v>2</v>
      </c>
      <c r="K27" s="622">
        <f t="shared" si="31"/>
        <v>3</v>
      </c>
      <c r="L27" s="622">
        <f t="shared" si="32"/>
        <v>4</v>
      </c>
      <c r="M27" s="709">
        <f t="shared" si="33"/>
        <v>5</v>
      </c>
      <c r="N27" s="716"/>
      <c r="O27" s="621"/>
      <c r="P27" s="621"/>
      <c r="Q27" s="621"/>
      <c r="R27" s="621"/>
      <c r="S27" s="622" t="str">
        <f t="shared" si="21"/>
        <v/>
      </c>
      <c r="T27" s="622" t="str">
        <f t="shared" si="22"/>
        <v/>
      </c>
      <c r="U27" s="622" t="str">
        <f t="shared" si="23"/>
        <v/>
      </c>
      <c r="V27" s="622" t="str">
        <f t="shared" si="24"/>
        <v/>
      </c>
      <c r="W27" s="622" t="str">
        <f t="shared" si="25"/>
        <v/>
      </c>
      <c r="X27" s="1111"/>
      <c r="Y27" s="1112"/>
      <c r="Z27" s="1112"/>
      <c r="AA27" s="623"/>
      <c r="AB27" s="623"/>
      <c r="AC27" s="624"/>
      <c r="AD27" s="625">
        <f t="shared" si="2"/>
        <v>0</v>
      </c>
      <c r="AE27" s="626">
        <f xml:space="preserve"> SUMIF(Detailplan!$K$9:$K$223,Projektteam!D27,Detailplan!$N$9:$N$223)+AW27</f>
        <v>0</v>
      </c>
      <c r="AF27" s="626">
        <f t="shared" si="3"/>
        <v>0</v>
      </c>
      <c r="AG27" s="627">
        <f t="shared" si="4"/>
        <v>0</v>
      </c>
      <c r="AH27" s="628">
        <f t="shared" si="5"/>
        <v>0</v>
      </c>
      <c r="AI27" s="628">
        <f t="shared" si="34"/>
        <v>0</v>
      </c>
      <c r="AJ27" s="628">
        <f t="shared" si="6"/>
        <v>0</v>
      </c>
      <c r="AK27" s="626">
        <f xml:space="preserve"> SUMIFS(Detailplan!$N$9:$N$223,Detailplan!$K$9:$K$223,Projektteam!$D$11:$D$31,Detailplan!$M$9:$M$223,"=1")+AS27</f>
        <v>0</v>
      </c>
      <c r="AL27" s="628">
        <f t="shared" si="35"/>
        <v>0</v>
      </c>
      <c r="AM27" s="618"/>
      <c r="AN27" s="629" t="str">
        <f>IF(D37&lt;&gt;"",D37,
IF(D43&lt;&gt;"",D43,""))</f>
        <v/>
      </c>
      <c r="AO27" s="630" t="str">
        <f t="array" ref="AO27">IF(ROW(AN27)&gt;COUNTIF($AN:$AN,"&gt;*"),"",INDEX(AN:AN,SMALL(IF(AN$1:AN$1001&lt;&gt;"",ROW($AN27:$AN1027)), ROW(AN27))))</f>
        <v/>
      </c>
      <c r="AP27" s="576">
        <f t="shared" si="7"/>
        <v>0</v>
      </c>
      <c r="AQ27" s="576">
        <f t="shared" si="8"/>
        <v>0</v>
      </c>
      <c r="AR27" s="576">
        <f t="shared" si="9"/>
        <v>0</v>
      </c>
      <c r="AS27" s="631">
        <f t="shared" si="36"/>
        <v>0</v>
      </c>
      <c r="AT27" s="576">
        <f t="shared" si="10"/>
        <v>0</v>
      </c>
      <c r="AU27" s="576">
        <f t="shared" si="11"/>
        <v>0</v>
      </c>
      <c r="AV27" s="576">
        <f t="shared" si="12"/>
        <v>0</v>
      </c>
      <c r="AW27" s="631">
        <f t="shared" si="28"/>
        <v>0</v>
      </c>
      <c r="AX27" s="576"/>
      <c r="AY27" s="632" t="str">
        <f>IF(D27&lt;&gt;"",CONCATENATE(B27," ",C27," (",D27,"): ",' '!$A$223,": ",AD27," / ",' '!$A$225,": ",AF27," / ",' '!$A$224,": ",AK27,),"")</f>
        <v/>
      </c>
      <c r="AZ27" s="633" t="str">
        <f t="shared" si="13"/>
        <v/>
      </c>
      <c r="BA27" s="634">
        <f t="shared" si="14"/>
        <v>0</v>
      </c>
      <c r="BB27" s="75" t="str">
        <f t="array" aca="1" ref="BB27" ca="1">IF(ROW(AY26)&gt;COUNTIF($AY:$AY,"&gt;*"),"",INDEX(AY:AY,SMALL(IF(AY$1:AY$1001&lt;&gt;"",ROW($1:$101)),ROWS($1:26))))</f>
        <v/>
      </c>
      <c r="BC27" s="96"/>
      <c r="BD27" s="96"/>
      <c r="BE27" s="96"/>
      <c r="BF27" s="96"/>
      <c r="BG27" s="96"/>
      <c r="BH27" s="96"/>
      <c r="BI27" s="96"/>
      <c r="BJ27" s="96"/>
      <c r="BK27" s="635" t="b">
        <f t="shared" si="15"/>
        <v>0</v>
      </c>
    </row>
    <row r="28" spans="1:63" s="636" customFormat="1" ht="15.75" customHeight="1" x14ac:dyDescent="0.3">
      <c r="A28" s="616">
        <v>18</v>
      </c>
      <c r="B28" s="617"/>
      <c r="C28" s="618"/>
      <c r="D28" s="619" t="str">
        <f t="shared" si="37"/>
        <v/>
      </c>
      <c r="E28" s="620"/>
      <c r="F28" s="621"/>
      <c r="G28" s="621"/>
      <c r="H28" s="621"/>
      <c r="I28" s="622">
        <f t="shared" si="29"/>
        <v>1</v>
      </c>
      <c r="J28" s="622">
        <f t="shared" si="30"/>
        <v>2</v>
      </c>
      <c r="K28" s="622">
        <f t="shared" si="31"/>
        <v>3</v>
      </c>
      <c r="L28" s="622">
        <f t="shared" si="32"/>
        <v>4</v>
      </c>
      <c r="M28" s="709">
        <f t="shared" si="33"/>
        <v>5</v>
      </c>
      <c r="N28" s="716"/>
      <c r="O28" s="621"/>
      <c r="P28" s="621"/>
      <c r="Q28" s="621"/>
      <c r="R28" s="621"/>
      <c r="S28" s="622" t="str">
        <f t="shared" si="21"/>
        <v/>
      </c>
      <c r="T28" s="622" t="str">
        <f t="shared" si="22"/>
        <v/>
      </c>
      <c r="U28" s="622" t="str">
        <f t="shared" si="23"/>
        <v/>
      </c>
      <c r="V28" s="622" t="str">
        <f t="shared" si="24"/>
        <v/>
      </c>
      <c r="W28" s="622" t="str">
        <f t="shared" si="25"/>
        <v/>
      </c>
      <c r="X28" s="1111"/>
      <c r="Y28" s="1112"/>
      <c r="Z28" s="1112"/>
      <c r="AA28" s="623"/>
      <c r="AB28" s="623"/>
      <c r="AC28" s="624"/>
      <c r="AD28" s="625">
        <f t="shared" si="2"/>
        <v>0</v>
      </c>
      <c r="AE28" s="626">
        <f xml:space="preserve"> SUMIF(Detailplan!$K$9:$K$223,Projektteam!D28,Detailplan!$N$9:$N$223)+AW28</f>
        <v>0</v>
      </c>
      <c r="AF28" s="626">
        <f t="shared" si="3"/>
        <v>0</v>
      </c>
      <c r="AG28" s="627">
        <f t="shared" si="4"/>
        <v>0</v>
      </c>
      <c r="AH28" s="628">
        <f t="shared" si="5"/>
        <v>0</v>
      </c>
      <c r="AI28" s="628">
        <f t="shared" si="34"/>
        <v>0</v>
      </c>
      <c r="AJ28" s="628">
        <f t="shared" si="6"/>
        <v>0</v>
      </c>
      <c r="AK28" s="626">
        <f xml:space="preserve"> SUMIFS(Detailplan!$N$9:$N$223,Detailplan!$K$9:$K$223,Projektteam!$D$11:$D$31,Detailplan!$M$9:$M$223,"=1")+AS28</f>
        <v>0</v>
      </c>
      <c r="AL28" s="628">
        <f t="shared" si="35"/>
        <v>0</v>
      </c>
      <c r="AM28" s="618"/>
      <c r="AN28" s="629" t="str">
        <f>IF(D38&lt;&gt;"",D38,
IF(D44&lt;&gt;"",D44,""))</f>
        <v/>
      </c>
      <c r="AO28" s="630" t="str">
        <f t="array" ref="AO28">IF(ROW(AN28)&gt;COUNTIF($AN:$AN,"&gt;*"),"",INDEX(AN:AN,SMALL(IF(AN$1:AN$1001&lt;&gt;"",ROW($AN28:$AN1028)), ROW(AN28))))</f>
        <v/>
      </c>
      <c r="AP28" s="576">
        <f t="shared" si="7"/>
        <v>0</v>
      </c>
      <c r="AQ28" s="576">
        <f t="shared" si="8"/>
        <v>0</v>
      </c>
      <c r="AR28" s="576">
        <f t="shared" si="9"/>
        <v>0</v>
      </c>
      <c r="AS28" s="631">
        <f t="shared" si="36"/>
        <v>0</v>
      </c>
      <c r="AT28" s="576">
        <f t="shared" si="10"/>
        <v>0</v>
      </c>
      <c r="AU28" s="576">
        <f t="shared" si="11"/>
        <v>0</v>
      </c>
      <c r="AV28" s="576">
        <f t="shared" si="12"/>
        <v>0</v>
      </c>
      <c r="AW28" s="631">
        <f t="shared" si="28"/>
        <v>0</v>
      </c>
      <c r="AX28" s="576"/>
      <c r="AY28" s="632" t="str">
        <f>IF(D28&lt;&gt;"",CONCATENATE(B28," ",C28," (",D28,"): ",' '!$A$223,": ",AD28," / ",' '!$A$225,": ",AF28," / ",' '!$A$224,": ",AK28,),"")</f>
        <v/>
      </c>
      <c r="AZ28" s="633" t="str">
        <f t="shared" si="13"/>
        <v/>
      </c>
      <c r="BA28" s="634">
        <f t="shared" si="14"/>
        <v>0</v>
      </c>
      <c r="BB28" s="75" t="str">
        <f t="array" aca="1" ref="BB28" ca="1">IF(ROW(AY27)&gt;COUNTIF($AY:$AY,"&gt;*"),"",INDEX(AY:AY,SMALL(IF(AY$1:AY$1001&lt;&gt;"",ROW($1:$101)),ROWS($1:27))))</f>
        <v/>
      </c>
      <c r="BC28" s="96"/>
      <c r="BD28" s="96"/>
      <c r="BE28" s="96"/>
      <c r="BF28" s="96"/>
      <c r="BG28" s="96"/>
      <c r="BH28" s="96"/>
      <c r="BI28" s="96"/>
      <c r="BJ28" s="96"/>
      <c r="BK28" s="635" t="b">
        <f t="shared" si="15"/>
        <v>0</v>
      </c>
    </row>
    <row r="29" spans="1:63" s="636" customFormat="1" ht="15.75" customHeight="1" x14ac:dyDescent="0.3">
      <c r="A29" s="616">
        <v>19</v>
      </c>
      <c r="B29" s="617"/>
      <c r="C29" s="618"/>
      <c r="D29" s="619" t="str">
        <f t="shared" si="37"/>
        <v/>
      </c>
      <c r="E29" s="620"/>
      <c r="F29" s="621"/>
      <c r="G29" s="621"/>
      <c r="H29" s="621"/>
      <c r="I29" s="622">
        <f t="shared" si="29"/>
        <v>1</v>
      </c>
      <c r="J29" s="622">
        <f t="shared" si="30"/>
        <v>2</v>
      </c>
      <c r="K29" s="622">
        <f t="shared" si="31"/>
        <v>3</v>
      </c>
      <c r="L29" s="622">
        <f t="shared" si="32"/>
        <v>4</v>
      </c>
      <c r="M29" s="709">
        <f t="shared" si="33"/>
        <v>5</v>
      </c>
      <c r="N29" s="716"/>
      <c r="O29" s="621"/>
      <c r="P29" s="621"/>
      <c r="Q29" s="621"/>
      <c r="R29" s="621"/>
      <c r="S29" s="622" t="str">
        <f t="shared" si="21"/>
        <v/>
      </c>
      <c r="T29" s="622" t="str">
        <f t="shared" si="22"/>
        <v/>
      </c>
      <c r="U29" s="622" t="str">
        <f t="shared" si="23"/>
        <v/>
      </c>
      <c r="V29" s="622" t="str">
        <f t="shared" si="24"/>
        <v/>
      </c>
      <c r="W29" s="622" t="str">
        <f t="shared" si="25"/>
        <v/>
      </c>
      <c r="X29" s="1111"/>
      <c r="Y29" s="1112"/>
      <c r="Z29" s="1112"/>
      <c r="AA29" s="623"/>
      <c r="AB29" s="623"/>
      <c r="AC29" s="624"/>
      <c r="AD29" s="625">
        <f t="shared" si="2"/>
        <v>0</v>
      </c>
      <c r="AE29" s="626">
        <f xml:space="preserve"> SUMIF(Detailplan!$K$9:$K$223,Projektteam!D29,Detailplan!$N$9:$N$223)+AW29</f>
        <v>0</v>
      </c>
      <c r="AF29" s="626">
        <f t="shared" si="3"/>
        <v>0</v>
      </c>
      <c r="AG29" s="627">
        <f t="shared" si="4"/>
        <v>0</v>
      </c>
      <c r="AH29" s="628">
        <f t="shared" si="5"/>
        <v>0</v>
      </c>
      <c r="AI29" s="628">
        <f t="shared" si="34"/>
        <v>0</v>
      </c>
      <c r="AJ29" s="628">
        <f t="shared" si="6"/>
        <v>0</v>
      </c>
      <c r="AK29" s="626">
        <f xml:space="preserve"> SUMIFS(Detailplan!$N$9:$N$223,Detailplan!$K$9:$K$223,Projektteam!$D$11:$D$31,Detailplan!$M$9:$M$223,"=1")+AS29</f>
        <v>0</v>
      </c>
      <c r="AL29" s="628">
        <f t="shared" si="35"/>
        <v>0</v>
      </c>
      <c r="AM29" s="618"/>
      <c r="AN29" s="629" t="str">
        <f>IF(D39&lt;&gt;"",D39,
IF(D45&lt;&gt;"",D45,""))</f>
        <v/>
      </c>
      <c r="AO29" s="630" t="str">
        <f t="array" ref="AO29">IF(ROW(AN29)&gt;COUNTIF($AN:$AN,"&gt;*"),"",INDEX(AN:AN,SMALL(IF(AN$1:AN$1001&lt;&gt;"",ROW($AN29:$AN1029)), ROW(AN29))))</f>
        <v/>
      </c>
      <c r="AP29" s="576">
        <f t="shared" si="7"/>
        <v>0</v>
      </c>
      <c r="AQ29" s="576">
        <f t="shared" si="8"/>
        <v>0</v>
      </c>
      <c r="AR29" s="576">
        <f t="shared" si="9"/>
        <v>0</v>
      </c>
      <c r="AS29" s="631">
        <f t="shared" si="36"/>
        <v>0</v>
      </c>
      <c r="AT29" s="576">
        <f t="shared" si="10"/>
        <v>0</v>
      </c>
      <c r="AU29" s="576">
        <f t="shared" si="11"/>
        <v>0</v>
      </c>
      <c r="AV29" s="576">
        <f t="shared" si="12"/>
        <v>0</v>
      </c>
      <c r="AW29" s="631">
        <f t="shared" si="28"/>
        <v>0</v>
      </c>
      <c r="AX29" s="576"/>
      <c r="AY29" s="632" t="str">
        <f>IF(D29&lt;&gt;"",CONCATENATE(B29," ",C29," (",D29,"): ",' '!$A$223,": ",AD29," / ",' '!$A$225,": ",AF29," / ",' '!$A$224,": ",AK29,),"")</f>
        <v/>
      </c>
      <c r="AZ29" s="633" t="str">
        <f t="shared" si="13"/>
        <v/>
      </c>
      <c r="BA29" s="634">
        <f t="shared" si="14"/>
        <v>0</v>
      </c>
      <c r="BB29" s="75" t="str">
        <f t="array" aca="1" ref="BB29" ca="1">IF(ROW(AY28)&gt;COUNTIF($AY:$AY,"&gt;*"),"",INDEX(AY:AY,SMALL(IF(AY$1:AY$1001&lt;&gt;"",ROW($1:$101)),ROWS($1:28))))</f>
        <v/>
      </c>
      <c r="BC29" s="96"/>
      <c r="BD29" s="96"/>
      <c r="BE29" s="96"/>
      <c r="BF29" s="96"/>
      <c r="BG29" s="96"/>
      <c r="BH29" s="96"/>
      <c r="BI29" s="96"/>
      <c r="BJ29" s="96"/>
      <c r="BK29" s="635" t="b">
        <f t="shared" si="15"/>
        <v>0</v>
      </c>
    </row>
    <row r="30" spans="1:63" s="636" customFormat="1" ht="15.75" customHeight="1" x14ac:dyDescent="0.3">
      <c r="A30" s="616">
        <v>20</v>
      </c>
      <c r="B30" s="617"/>
      <c r="C30" s="618"/>
      <c r="D30" s="619" t="str">
        <f t="shared" si="37"/>
        <v/>
      </c>
      <c r="E30" s="620"/>
      <c r="F30" s="621"/>
      <c r="G30" s="621"/>
      <c r="H30" s="621"/>
      <c r="I30" s="622">
        <f t="shared" si="29"/>
        <v>1</v>
      </c>
      <c r="J30" s="622">
        <f t="shared" si="30"/>
        <v>2</v>
      </c>
      <c r="K30" s="622">
        <f t="shared" si="31"/>
        <v>3</v>
      </c>
      <c r="L30" s="622">
        <f t="shared" si="32"/>
        <v>4</v>
      </c>
      <c r="M30" s="709">
        <f t="shared" si="33"/>
        <v>5</v>
      </c>
      <c r="N30" s="716"/>
      <c r="O30" s="621"/>
      <c r="P30" s="621"/>
      <c r="Q30" s="621"/>
      <c r="R30" s="621"/>
      <c r="S30" s="622" t="str">
        <f t="shared" si="21"/>
        <v/>
      </c>
      <c r="T30" s="622" t="str">
        <f t="shared" si="22"/>
        <v/>
      </c>
      <c r="U30" s="622" t="str">
        <f t="shared" si="23"/>
        <v/>
      </c>
      <c r="V30" s="622" t="str">
        <f t="shared" si="24"/>
        <v/>
      </c>
      <c r="W30" s="622" t="str">
        <f t="shared" si="25"/>
        <v/>
      </c>
      <c r="X30" s="1111"/>
      <c r="Y30" s="1112"/>
      <c r="Z30" s="1112"/>
      <c r="AA30" s="623"/>
      <c r="AB30" s="623"/>
      <c r="AC30" s="624"/>
      <c r="AD30" s="625">
        <f t="shared" si="2"/>
        <v>0</v>
      </c>
      <c r="AE30" s="626">
        <f xml:space="preserve"> SUMIF(Detailplan!$K$9:$K$223,Projektteam!D30,Detailplan!$N$9:$N$223)+AW30</f>
        <v>0</v>
      </c>
      <c r="AF30" s="626">
        <f t="shared" si="3"/>
        <v>0</v>
      </c>
      <c r="AG30" s="627">
        <f t="shared" si="4"/>
        <v>0</v>
      </c>
      <c r="AH30" s="628">
        <f t="shared" si="5"/>
        <v>0</v>
      </c>
      <c r="AI30" s="628">
        <f t="shared" si="34"/>
        <v>0</v>
      </c>
      <c r="AJ30" s="628">
        <f t="shared" si="6"/>
        <v>0</v>
      </c>
      <c r="AK30" s="626">
        <f xml:space="preserve"> SUMIFS(Detailplan!$N$9:$N$223,Detailplan!$K$9:$K$223,Projektteam!$D$11:$D$31,Detailplan!$M$9:$M$223,"=1")+AS30</f>
        <v>0</v>
      </c>
      <c r="AL30" s="628">
        <f t="shared" si="35"/>
        <v>0</v>
      </c>
      <c r="AM30" s="618"/>
      <c r="AN30" s="629" t="str">
        <f>IF(D40&lt;&gt;"",D40,
IF(D46&lt;&gt;"",D46,""))</f>
        <v/>
      </c>
      <c r="AO30" s="630" t="str">
        <f t="array" ref="AO30">IF(ROW(AN30)&gt;COUNTIF($AN:$AN,"&gt;*"),"",INDEX(AN:AN,SMALL(IF(AN$1:AN$1001&lt;&gt;"",ROW($AN30:$AN1030)), ROW(AN30))))</f>
        <v/>
      </c>
      <c r="AP30" s="576">
        <f t="shared" si="7"/>
        <v>0</v>
      </c>
      <c r="AQ30" s="576">
        <f t="shared" si="8"/>
        <v>0</v>
      </c>
      <c r="AR30" s="576">
        <f t="shared" si="9"/>
        <v>0</v>
      </c>
      <c r="AS30" s="631">
        <f t="shared" si="36"/>
        <v>0</v>
      </c>
      <c r="AT30" s="576">
        <f t="shared" si="10"/>
        <v>0</v>
      </c>
      <c r="AU30" s="576">
        <f t="shared" si="11"/>
        <v>0</v>
      </c>
      <c r="AV30" s="576">
        <f t="shared" si="12"/>
        <v>0</v>
      </c>
      <c r="AW30" s="631">
        <f t="shared" si="28"/>
        <v>0</v>
      </c>
      <c r="AX30" s="576"/>
      <c r="AY30" s="632" t="str">
        <f>IF(D30&lt;&gt;"",CONCATENATE(B30," ",C30," (",D30,"): ",' '!$A$223,": ",AD30," / ",' '!$A$225,": ",AF30," / ",' '!$A$224,": ",AK30,),"")</f>
        <v/>
      </c>
      <c r="AZ30" s="633" t="str">
        <f t="shared" si="13"/>
        <v/>
      </c>
      <c r="BA30" s="634">
        <f t="shared" si="14"/>
        <v>0</v>
      </c>
      <c r="BB30" s="75" t="str">
        <f t="array" aca="1" ref="BB30" ca="1">IF(ROW(AY29)&gt;COUNTIF($AY:$AY,"&gt;*"),"",INDEX(AY:AY,SMALL(IF(AY$1:AY$1001&lt;&gt;"",ROW($1:$101)),ROWS($1:29))))</f>
        <v/>
      </c>
      <c r="BC30" s="96"/>
      <c r="BD30" s="96"/>
      <c r="BE30" s="96"/>
      <c r="BF30" s="96"/>
      <c r="BG30" s="96"/>
      <c r="BH30" s="96"/>
      <c r="BI30" s="96"/>
      <c r="BJ30" s="96"/>
      <c r="BK30" s="635" t="b">
        <f t="shared" si="15"/>
        <v>0</v>
      </c>
    </row>
    <row r="31" spans="1:63" s="636" customFormat="1" ht="15.75" customHeight="1" x14ac:dyDescent="0.3">
      <c r="A31" s="616">
        <v>21</v>
      </c>
      <c r="B31" s="617"/>
      <c r="C31" s="618"/>
      <c r="D31" s="619" t="str">
        <f t="shared" si="37"/>
        <v/>
      </c>
      <c r="E31" s="620"/>
      <c r="F31" s="621"/>
      <c r="G31" s="621"/>
      <c r="H31" s="621"/>
      <c r="I31" s="622">
        <f t="shared" si="29"/>
        <v>1</v>
      </c>
      <c r="J31" s="622">
        <f t="shared" si="30"/>
        <v>2</v>
      </c>
      <c r="K31" s="622">
        <f t="shared" si="31"/>
        <v>3</v>
      </c>
      <c r="L31" s="622">
        <f t="shared" si="32"/>
        <v>4</v>
      </c>
      <c r="M31" s="709">
        <f t="shared" si="33"/>
        <v>5</v>
      </c>
      <c r="N31" s="716"/>
      <c r="O31" s="621"/>
      <c r="P31" s="621"/>
      <c r="Q31" s="621"/>
      <c r="R31" s="621"/>
      <c r="S31" s="622" t="str">
        <f t="shared" si="21"/>
        <v/>
      </c>
      <c r="T31" s="622" t="str">
        <f t="shared" si="22"/>
        <v/>
      </c>
      <c r="U31" s="622" t="str">
        <f t="shared" si="23"/>
        <v/>
      </c>
      <c r="V31" s="622" t="str">
        <f t="shared" si="24"/>
        <v/>
      </c>
      <c r="W31" s="622" t="str">
        <f t="shared" si="25"/>
        <v/>
      </c>
      <c r="X31" s="1111"/>
      <c r="Y31" s="1112"/>
      <c r="Z31" s="1112"/>
      <c r="AA31" s="623"/>
      <c r="AB31" s="623"/>
      <c r="AC31" s="624"/>
      <c r="AD31" s="625">
        <f t="shared" si="2"/>
        <v>0</v>
      </c>
      <c r="AE31" s="626">
        <f xml:space="preserve"> SUMIF(Detailplan!$K$9:$K$223,Projektteam!D31,Detailplan!$N$9:$N$223)+AW31</f>
        <v>0</v>
      </c>
      <c r="AF31" s="626">
        <f t="shared" si="3"/>
        <v>0</v>
      </c>
      <c r="AG31" s="627">
        <f t="shared" si="4"/>
        <v>0</v>
      </c>
      <c r="AH31" s="628">
        <f t="shared" si="5"/>
        <v>0</v>
      </c>
      <c r="AI31" s="628">
        <f t="shared" si="34"/>
        <v>0</v>
      </c>
      <c r="AJ31" s="628">
        <f t="shared" si="6"/>
        <v>0</v>
      </c>
      <c r="AK31" s="626">
        <f xml:space="preserve"> SUMIFS(Detailplan!$N$9:$N$223,Detailplan!$K$9:$K$223,Projektteam!$D$11:$D$31,Detailplan!$M$9:$M$223,"=1")+AS31</f>
        <v>0</v>
      </c>
      <c r="AL31" s="628">
        <f t="shared" si="35"/>
        <v>0</v>
      </c>
      <c r="AM31" s="618"/>
      <c r="AN31" s="629"/>
      <c r="AO31" s="630" t="str">
        <f t="array" ref="AO31">IF(ROW(AN31)&gt;COUNTIF($AN:$AN,"&gt;*"),"",INDEX(AN:AN,SMALL(IF(AN$1:AN$1001&lt;&gt;"",ROW($AN31:$AN1031)), ROW(AN31))))</f>
        <v/>
      </c>
      <c r="AP31" s="576">
        <f t="shared" si="7"/>
        <v>0</v>
      </c>
      <c r="AQ31" s="576">
        <f t="shared" si="8"/>
        <v>0</v>
      </c>
      <c r="AR31" s="576">
        <f t="shared" si="9"/>
        <v>0</v>
      </c>
      <c r="AS31" s="631">
        <f t="shared" si="36"/>
        <v>0</v>
      </c>
      <c r="AT31" s="576">
        <f t="shared" si="10"/>
        <v>0</v>
      </c>
      <c r="AU31" s="576">
        <f t="shared" si="11"/>
        <v>0</v>
      </c>
      <c r="AV31" s="576">
        <f t="shared" si="12"/>
        <v>0</v>
      </c>
      <c r="AW31" s="631">
        <f t="shared" si="28"/>
        <v>0</v>
      </c>
      <c r="AX31" s="576"/>
      <c r="AY31" s="632" t="str">
        <f>IF(D31&lt;&gt;"",CONCATENATE(B31," ",C31," (",D31,"): ",' '!$A$223,": ",AD31," / ",' '!$A$225,": ",AF31," / ",' '!$A$224,": ",AK31,),"")</f>
        <v/>
      </c>
      <c r="AZ31" s="633" t="str">
        <f t="shared" si="13"/>
        <v/>
      </c>
      <c r="BA31" s="634">
        <f t="shared" si="14"/>
        <v>0</v>
      </c>
      <c r="BB31" s="75" t="str">
        <f t="array" aca="1" ref="BB31" ca="1">IF(ROW(AY30)&gt;COUNTIF($AY:$AY,"&gt;*"),"",INDEX(AY:AY,SMALL(IF(AY$1:AY$1001&lt;&gt;"",ROW($1:$101)),ROWS($1:30))))</f>
        <v/>
      </c>
      <c r="BC31" s="96"/>
      <c r="BD31" s="96"/>
      <c r="BE31" s="96"/>
      <c r="BF31" s="96"/>
      <c r="BG31" s="96"/>
      <c r="BH31" s="96"/>
      <c r="BI31" s="96"/>
      <c r="BJ31" s="96"/>
      <c r="BK31" s="635" t="b">
        <f t="shared" si="15"/>
        <v>0</v>
      </c>
    </row>
    <row r="32" spans="1:63" s="644" customFormat="1" ht="15.6" x14ac:dyDescent="0.3">
      <c r="A32" s="637">
        <v>22</v>
      </c>
      <c r="B32" s="638"/>
      <c r="C32" s="638"/>
      <c r="D32" s="639"/>
      <c r="E32" s="640"/>
      <c r="F32" s="640"/>
      <c r="G32" s="640"/>
      <c r="H32" s="640"/>
      <c r="I32" s="640"/>
      <c r="J32" s="640"/>
      <c r="K32" s="640"/>
      <c r="L32" s="640"/>
      <c r="M32" s="640"/>
      <c r="N32" s="640"/>
      <c r="O32" s="640"/>
      <c r="P32" s="640"/>
      <c r="Q32" s="640"/>
      <c r="R32" s="640"/>
      <c r="S32" s="640"/>
      <c r="T32" s="640"/>
      <c r="U32" s="640"/>
      <c r="V32" s="640"/>
      <c r="W32" s="640"/>
      <c r="X32" s="640"/>
      <c r="Y32" s="640"/>
      <c r="Z32" s="638"/>
      <c r="AA32" s="638"/>
      <c r="AB32" s="860" t="str">
        <f ca="1">IF($BL$3=TRUE,' '!A217&amp;" ["&amp;Logo!D12&amp;"]",' '!A217&amp;" [h]")</f>
        <v>Total intern [CHF]</v>
      </c>
      <c r="AC32" s="740"/>
      <c r="AD32" s="747">
        <f t="shared" ref="AD32:AL32" si="38">SUMIF($BA11:$BA31,"=1",AD11:AD31)</f>
        <v>0</v>
      </c>
      <c r="AE32" s="747">
        <f t="shared" si="38"/>
        <v>0</v>
      </c>
      <c r="AF32" s="747">
        <f t="shared" si="38"/>
        <v>0</v>
      </c>
      <c r="AG32" s="748">
        <f t="shared" si="38"/>
        <v>0</v>
      </c>
      <c r="AH32" s="748">
        <f t="shared" si="38"/>
        <v>0</v>
      </c>
      <c r="AI32" s="748">
        <f t="shared" si="38"/>
        <v>0</v>
      </c>
      <c r="AJ32" s="748">
        <f t="shared" si="38"/>
        <v>0</v>
      </c>
      <c r="AK32" s="752">
        <f t="shared" si="38"/>
        <v>0</v>
      </c>
      <c r="AL32" s="753">
        <f t="shared" si="38"/>
        <v>0</v>
      </c>
      <c r="AM32" s="618"/>
      <c r="AN32" s="574"/>
      <c r="AO32" s="575"/>
      <c r="AP32" s="575"/>
      <c r="AQ32" s="575"/>
      <c r="AR32" s="575"/>
      <c r="AS32" s="576"/>
      <c r="AT32" s="576"/>
      <c r="AU32" s="576"/>
      <c r="AV32" s="576"/>
      <c r="AW32" s="576"/>
      <c r="AX32" s="576"/>
      <c r="AY32" s="641" t="str">
        <f>D36&amp;" ("&amp;F36&amp;")"</f>
        <v>T1 (abd) (3)</v>
      </c>
      <c r="AZ32" s="642"/>
      <c r="BA32" s="643"/>
      <c r="BB32" s="75" t="str">
        <f t="array" aca="1" ref="BB32" ca="1">IF(ROW(AY31)&gt;COUNTIF($AY:$AY,"&gt;*"),"",INDEX(AY:AY,SMALL(IF(AY$1:AY$1001&lt;&gt;"",ROW($1:$101)),ROWS($1:31))))</f>
        <v/>
      </c>
      <c r="BK32" s="645"/>
    </row>
    <row r="33" spans="1:54" s="644" customFormat="1" ht="15.6" x14ac:dyDescent="0.3">
      <c r="A33" s="637">
        <v>23</v>
      </c>
      <c r="B33" s="646"/>
      <c r="C33" s="646"/>
      <c r="D33" s="647"/>
      <c r="E33" s="648"/>
      <c r="F33" s="648"/>
      <c r="G33" s="648"/>
      <c r="H33" s="648"/>
      <c r="I33" s="648"/>
      <c r="J33" s="648"/>
      <c r="K33" s="648"/>
      <c r="L33" s="648"/>
      <c r="M33" s="648"/>
      <c r="N33" s="648"/>
      <c r="O33" s="648"/>
      <c r="P33" s="648"/>
      <c r="Q33" s="648"/>
      <c r="R33" s="648"/>
      <c r="S33" s="648"/>
      <c r="T33" s="648"/>
      <c r="U33" s="648"/>
      <c r="V33" s="648"/>
      <c r="W33" s="648"/>
      <c r="X33" s="648"/>
      <c r="Y33" s="648"/>
      <c r="Z33" s="646"/>
      <c r="AA33" s="646"/>
      <c r="AB33" s="858" t="str">
        <f ca="1">' '!A218&amp;" ["&amp;Logo!D12&amp;"]"</f>
        <v>Total extern [CHF]</v>
      </c>
      <c r="AC33" s="741"/>
      <c r="AD33" s="749">
        <f>AD34-AD32</f>
        <v>0</v>
      </c>
      <c r="AE33" s="749">
        <f t="shared" ref="AE33:AI33" si="39">AE34-AE32</f>
        <v>0</v>
      </c>
      <c r="AF33" s="749">
        <f t="shared" si="39"/>
        <v>0</v>
      </c>
      <c r="AG33" s="653">
        <f>SUMIF($BA11:$BA31,"=0",AG11:AG31)</f>
        <v>0</v>
      </c>
      <c r="AH33" s="653">
        <f t="shared" si="39"/>
        <v>0</v>
      </c>
      <c r="AI33" s="653">
        <f t="shared" si="39"/>
        <v>0</v>
      </c>
      <c r="AJ33" s="653">
        <f>SUMIF($BA11:$BA31,"=0",AJ11:AJ31)</f>
        <v>0</v>
      </c>
      <c r="AK33" s="756">
        <f>AK34-AK32</f>
        <v>0</v>
      </c>
      <c r="AL33" s="757">
        <f>SUMIF($BA11:$BA31,"=0",AL11:AL31)</f>
        <v>0</v>
      </c>
      <c r="AM33" s="618"/>
      <c r="AN33" s="574"/>
      <c r="AO33" s="575"/>
      <c r="AP33" s="575"/>
      <c r="AQ33" s="575"/>
      <c r="AR33" s="575"/>
      <c r="AS33" s="576"/>
      <c r="AT33" s="576"/>
      <c r="AU33" s="576"/>
      <c r="AV33" s="576"/>
      <c r="AW33" s="576"/>
      <c r="AX33" s="576"/>
      <c r="AY33" s="641" t="str">
        <f>D37&amp;" ("&amp;F37&amp;")"</f>
        <v xml:space="preserve"> (0)</v>
      </c>
      <c r="AZ33" s="642"/>
      <c r="BA33" s="643"/>
      <c r="BB33" s="75" t="str">
        <f t="array" aca="1" ref="BB33" ca="1">IF(ROW(AY32)&gt;COUNTIF($AY:$AY,"&gt;*"),"",INDEX(AY:AY,SMALL(IF(AY$1:AY$1001&lt;&gt;"",ROW($1:$101)),ROWS($1:32))))</f>
        <v/>
      </c>
    </row>
    <row r="34" spans="1:54" s="644" customFormat="1" ht="15.6" x14ac:dyDescent="0.3">
      <c r="A34" s="637">
        <v>24</v>
      </c>
      <c r="B34" s="649"/>
      <c r="C34" s="649"/>
      <c r="D34" s="650"/>
      <c r="E34" s="651"/>
      <c r="F34" s="651"/>
      <c r="G34" s="651"/>
      <c r="H34" s="651"/>
      <c r="I34" s="651"/>
      <c r="J34" s="651"/>
      <c r="K34" s="651"/>
      <c r="L34" s="651"/>
      <c r="M34" s="651"/>
      <c r="N34" s="651"/>
      <c r="O34" s="651"/>
      <c r="P34" s="651"/>
      <c r="Q34" s="651"/>
      <c r="R34" s="651"/>
      <c r="S34" s="651"/>
      <c r="T34" s="651"/>
      <c r="U34" s="651"/>
      <c r="V34" s="651"/>
      <c r="W34" s="651"/>
      <c r="X34" s="651"/>
      <c r="Y34" s="651"/>
      <c r="Z34" s="649"/>
      <c r="AA34" s="649"/>
      <c r="AB34" s="859" t="str">
        <f ca="1">' '!A219</f>
        <v>TOTAL</v>
      </c>
      <c r="AC34" s="652"/>
      <c r="AD34" s="750">
        <f t="shared" ref="AD34:AI34" si="40">SUM(AD11:AD31)</f>
        <v>0</v>
      </c>
      <c r="AE34" s="750">
        <f t="shared" si="40"/>
        <v>0</v>
      </c>
      <c r="AF34" s="750">
        <f t="shared" si="40"/>
        <v>0</v>
      </c>
      <c r="AG34" s="751">
        <f>IF($BL$3=TRUE,SUM(AG11:AG31),"-")</f>
        <v>0</v>
      </c>
      <c r="AH34" s="751">
        <f t="shared" si="40"/>
        <v>0</v>
      </c>
      <c r="AI34" s="751">
        <f t="shared" si="40"/>
        <v>0</v>
      </c>
      <c r="AJ34" s="751">
        <f>IF($BL$3=TRUE,SUM(AJ11:AJ31),"-")</f>
        <v>0</v>
      </c>
      <c r="AK34" s="754">
        <f>SUM(AK11:AK31)</f>
        <v>0</v>
      </c>
      <c r="AL34" s="755">
        <f>SUM(AL32:AL33)</f>
        <v>0</v>
      </c>
      <c r="AM34" s="618"/>
      <c r="AN34" s="574"/>
      <c r="AO34" s="575"/>
      <c r="AP34" s="575"/>
      <c r="AQ34" s="575"/>
      <c r="AR34" s="575"/>
      <c r="AS34" s="576"/>
      <c r="AT34" s="576"/>
      <c r="AU34" s="576"/>
      <c r="AV34" s="576"/>
      <c r="AW34" s="576"/>
      <c r="AX34" s="576"/>
      <c r="AY34" s="641" t="str">
        <f>D38&amp;" ("&amp;F38&amp;")"</f>
        <v xml:space="preserve"> (0)</v>
      </c>
      <c r="AZ34" s="642"/>
      <c r="BA34" s="643"/>
      <c r="BB34" s="75" t="str">
        <f t="array" aca="1" ref="BB34" ca="1">IF(ROW(AY33)&gt;COUNTIF($AY:$AY,"&gt;*"),"",INDEX(AY:AY,SMALL(IF(AY$1:AY$1001&lt;&gt;"",ROW($1:$101)),ROWS($1:33))))</f>
        <v/>
      </c>
    </row>
    <row r="35" spans="1:54" x14ac:dyDescent="0.3">
      <c r="B35" s="129" t="s">
        <v>1136</v>
      </c>
    </row>
    <row r="36" spans="1:54" ht="15.6" hidden="1" x14ac:dyDescent="0.3">
      <c r="C36" s="661"/>
      <c r="D36" s="655" t="str">
        <f>IF(E36&lt;&gt;"",E36,
IF(E42&lt;&gt;"",E42,
IF(E48&lt;&gt;"",E48,"")))</f>
        <v>T1 (abd)</v>
      </c>
      <c r="E36" s="655" t="str">
        <f>IF(IFERROR(VLOOKUP(1,$F$11:$F$31,1,FALSE),"")=1,S36,"")</f>
        <v>T1 (abd)</v>
      </c>
      <c r="F36" s="655">
        <f>G36+G42+H48</f>
        <v>3</v>
      </c>
      <c r="G36" s="655">
        <f>COUNTIFS($F$11:$H$31,1)</f>
        <v>3</v>
      </c>
      <c r="H36" s="655"/>
      <c r="I36" s="655"/>
      <c r="J36" s="655"/>
      <c r="K36" s="655"/>
      <c r="L36" s="655"/>
      <c r="M36" s="655"/>
      <c r="N36" s="112">
        <f>COUNTIFS(N11:N31,"T1")</f>
        <v>1</v>
      </c>
      <c r="O36" s="112">
        <f t="shared" ref="O36:R36" si="41">COUNTIFS(O11:O31,"T1")</f>
        <v>0</v>
      </c>
      <c r="P36" s="112">
        <f t="shared" si="41"/>
        <v>0</v>
      </c>
      <c r="Q36" s="112">
        <f t="shared" si="41"/>
        <v>0</v>
      </c>
      <c r="R36" s="112">
        <f t="shared" si="41"/>
        <v>0</v>
      </c>
      <c r="S36" s="112" t="str">
        <f>IF(S11&lt;&gt;"",S11,
IF(S12&lt;&gt;"",S12,
IF(S13&lt;&gt;"",S13,
IF(S14&lt;&gt;"",S14,
IF(S15&lt;&gt;"",S15,
IF(S16&lt;&gt;"",S16,
IF(S17&lt;&gt;"",S17,
IF(S18&lt;&gt;"",S18,
IF(S19&lt;&gt;"",S19,
IF(S20&lt;&gt;"",S20,
IF(S21&lt;&gt;"",S21,
IF(S22&lt;&gt;"",S22,
IF(S23&lt;&gt;"",S23,
IF(S24&lt;&gt;"",S24,
IF(S25&lt;&gt;"",S25,
IF(S26&lt;&gt;"",S26,
IF(S27&lt;&gt;"",S27,
IF(S28&lt;&gt;"",S28,
IF(S29&lt;&gt;"",S29,
IF(S30&lt;&gt;"",S30,
IF(S31&lt;&gt;"",S31,
"Team 1")))))))))))))))))))))</f>
        <v>T1 (abd)</v>
      </c>
      <c r="T36" s="112" t="str">
        <f>IF(T11&lt;&gt;"",T11,
IF(T12&lt;&gt;"",T12,
IF(T13&lt;&gt;"",T13,
IF(T14&lt;&gt;"",T14,
IF(T15&lt;&gt;"",T15,
IF(T16&lt;&gt;"",T16,
IF(T17&lt;&gt;"",T17,
IF(T18&lt;&gt;"",T18,
IF(T19&lt;&gt;"",T19,
IF(T20&lt;&gt;"",T20,
IF(T21&lt;&gt;"",T21,
IF(T22&lt;&gt;"",T22,
IF(T23&lt;&gt;"",T23,
IF(T24&lt;&gt;"",T24,
IF(T25&lt;&gt;"",T25,
IF(T26&lt;&gt;"",T26,
IF(T27&lt;&gt;"",T27,
IF(T28&lt;&gt;"",T28,
IF(T29&lt;&gt;"",T29,
IF(T30&lt;&gt;"",T30,
IF(T31&lt;&gt;"",T31,
"Team 2")))))))))))))))))))))</f>
        <v>Team 2</v>
      </c>
      <c r="U36" s="112" t="str">
        <f>IF(U11&lt;&gt;"",U11,
IF(U12&lt;&gt;"",U12,
IF(U13&lt;&gt;"",U13,
IF(U14&lt;&gt;"",U14,
IF(U15&lt;&gt;"",U15,
IF(U16&lt;&gt;"",U16,
IF(U17&lt;&gt;"",U17,
IF(U18&lt;&gt;"",U18,
IF(U19&lt;&gt;"",U19,
IF(U20&lt;&gt;"",U20,
IF(U21&lt;&gt;"",U21,
IF(U22&lt;&gt;"",U22,
IF(U23&lt;&gt;"",U23,
IF(U24&lt;&gt;"",U24,
IF(U25&lt;&gt;"",U25,
IF(U26&lt;&gt;"",U26,
IF(U27&lt;&gt;"",U27,
IF(U28&lt;&gt;"",U28,
IF(U29&lt;&gt;"",U29,
IF(U30&lt;&gt;"",U30,
IF(U31&lt;&gt;"",U31,
"Team 3")))))))))))))))))))))</f>
        <v>Team 3</v>
      </c>
      <c r="V36" s="112" t="str">
        <f>IF(V11&lt;&gt;"",V11,
IF(V12&lt;&gt;"",V12,
IF(V13&lt;&gt;"",V13,
IF(V14&lt;&gt;"",V14,
IF(V15&lt;&gt;"",V15,
IF(V16&lt;&gt;"",V16,
IF(V17&lt;&gt;"",V17,
IF(V18&lt;&gt;"",V18,
IF(V19&lt;&gt;"",V19,
IF(V20&lt;&gt;"",V20,
IF(V21&lt;&gt;"",V21,
IF(V22&lt;&gt;"",V22,
IF(V23&lt;&gt;"",V23,
IF(V24&lt;&gt;"",V24,
IF(V25&lt;&gt;"",V25,
IF(V26&lt;&gt;"",V26,
IF(V27&lt;&gt;"",V27,
IF(V28&lt;&gt;"",V28,
IF(V29&lt;&gt;"",V29,
IF(V30&lt;&gt;"",V30,
IF(V31&lt;&gt;"",V31,
"Team 4")))))))))))))))))))))</f>
        <v>Team 4</v>
      </c>
      <c r="W36" s="112" t="str">
        <f>IF(W11&lt;&gt;"",W11,
IF(W12&lt;&gt;"",W12,
IF(W13&lt;&gt;"",W13,
IF(W14&lt;&gt;"",W14,
IF(W15&lt;&gt;"",W15,
IF(W16&lt;&gt;"",W16,
IF(W17&lt;&gt;"",W17,
IF(W18&lt;&gt;"",W18,
IF(W19&lt;&gt;"",W19,
IF(W20&lt;&gt;"",W20,
IF(W21&lt;&gt;"",W21,
IF(W22&lt;&gt;"",W22,
IF(W23&lt;&gt;"",W23,
IF(W24&lt;&gt;"",W24,
IF(W25&lt;&gt;"",W25,
IF(W26&lt;&gt;"",W26,
IF(W27&lt;&gt;"",W27,
IF(W28&lt;&gt;"",W28,
IF(W29&lt;&gt;"",W29,
IF(W30&lt;&gt;"",W30,
IF(W31&lt;&gt;"",W31,
"Team 5")))))))))))))))))))))</f>
        <v>Team 5</v>
      </c>
      <c r="X36" s="712">
        <f>IF(AND(F36&lt;&gt;"",AK36&lt;&gt;0),AK36,0)</f>
        <v>0</v>
      </c>
      <c r="Y36" s="655">
        <f>IF(AE36&lt;&gt;0,AE36,AK36)</f>
        <v>0</v>
      </c>
      <c r="Z36" s="655">
        <v>1</v>
      </c>
      <c r="AA36" s="655"/>
      <c r="AB36" s="655"/>
      <c r="AC36" s="655"/>
      <c r="AD36" s="655"/>
      <c r="AE36" s="655">
        <f>SUMIFS(Detailplan!$N$9:$N$223,Detailplan!$K$9:$K$223,Projektteam!$D$11:$D$40,Detailplan!$M$9:$M$223,"&gt;=1")</f>
        <v>0</v>
      </c>
      <c r="AF36" s="655"/>
      <c r="AG36" s="655"/>
      <c r="AH36" s="655"/>
      <c r="AI36" s="655"/>
      <c r="AJ36" s="655"/>
      <c r="AK36" s="655">
        <f xml:space="preserve"> SUMIFS(Detailplan!$N$9:$N$223,Detailplan!$K$9:$K$223,Projektteam!$D$11:$D$40,Detailplan!$M$9:$M$223,"=1")</f>
        <v>0</v>
      </c>
      <c r="AL36" s="714"/>
      <c r="AM36" s="714"/>
      <c r="AN36" s="574"/>
      <c r="AO36" s="575"/>
      <c r="AP36" s="575"/>
      <c r="AQ36" s="575"/>
      <c r="AR36" s="575"/>
      <c r="AS36" s="576"/>
      <c r="AT36" s="576"/>
      <c r="AU36" s="576"/>
      <c r="AV36" s="576"/>
      <c r="AW36" s="576"/>
      <c r="AX36" s="576"/>
      <c r="AY36" s="641" t="str">
        <f>D39&amp;" ("&amp;F39&amp;")"</f>
        <v xml:space="preserve"> (0)</v>
      </c>
      <c r="BB36" s="75" t="str">
        <f t="array" aca="1" ref="BB36" ca="1">IF(ROW(AY34)&gt;COUNTIF($AY:$AY,"&gt;*"),"",INDEX(AY:AY,SMALL(IF(AY$1:AY$1001&lt;&gt;"",ROW($1:$101)),ROWS($1:34))))</f>
        <v/>
      </c>
    </row>
    <row r="37" spans="1:54" s="655" customFormat="1" ht="17.25" hidden="1" customHeight="1" x14ac:dyDescent="0.3">
      <c r="A37" s="654"/>
      <c r="C37" s="661"/>
      <c r="D37" s="655" t="str">
        <f t="shared" ref="D37:D40" si="42">IF(E37&lt;&gt;"",E37,
IF(E43&lt;&gt;"",E43,
IF(E49&lt;&gt;"",E49,"")))</f>
        <v/>
      </c>
      <c r="E37" s="655" t="str">
        <f>IF(IFERROR(VLOOKUP(2,$F$11:$F$31,1,FALSE),"")=2,T36,"")</f>
        <v/>
      </c>
      <c r="F37" s="655">
        <f t="shared" ref="F37:F40" si="43">G37+G43+H49</f>
        <v>0</v>
      </c>
      <c r="G37" s="655">
        <f>COUNTIFS($F$11:$H$31,2)</f>
        <v>0</v>
      </c>
      <c r="N37" s="112">
        <f>COUNTIFS(N11:N31,"T2")</f>
        <v>0</v>
      </c>
      <c r="O37" s="112">
        <f t="shared" ref="O37:R37" si="44">COUNTIFS(O11:O31,"T2")</f>
        <v>0</v>
      </c>
      <c r="P37" s="112">
        <f t="shared" si="44"/>
        <v>0</v>
      </c>
      <c r="Q37" s="112">
        <f t="shared" si="44"/>
        <v>0</v>
      </c>
      <c r="R37" s="112">
        <f t="shared" si="44"/>
        <v>0</v>
      </c>
      <c r="S37" s="112"/>
      <c r="T37" s="112"/>
      <c r="U37" s="112"/>
      <c r="V37" s="112"/>
      <c r="W37" s="112"/>
      <c r="X37" s="712">
        <f t="shared" ref="X37:X40" si="45">IF(AND(F37&lt;&gt;"",AK37&lt;&gt;0),AK37/G37,0)</f>
        <v>0</v>
      </c>
      <c r="Y37" s="655">
        <f t="shared" ref="Y37:Y40" si="46">IF(AE37&lt;&gt;0,AE37,AK37)</f>
        <v>0</v>
      </c>
      <c r="Z37" s="655">
        <v>2</v>
      </c>
      <c r="AE37" s="655">
        <f>SUMIFS(Detailplan!$N$9:$N$223,Detailplan!$K$9:$K$223,Projektteam!$D$11:$D$40,Detailplan!$M$9:$M$223,"&gt;=1")</f>
        <v>0</v>
      </c>
      <c r="AK37" s="655">
        <f xml:space="preserve"> SUMIFS(Detailplan!$N$9:$N$223,Detailplan!$K$9:$K$223,Projektteam!$D$11:$D$40,Detailplan!$M$9:$M$223,"=1")</f>
        <v>0</v>
      </c>
      <c r="AM37" s="713"/>
      <c r="AN37" s="656"/>
      <c r="AO37" s="657"/>
      <c r="AP37" s="657"/>
      <c r="AQ37" s="657"/>
      <c r="AR37" s="657"/>
      <c r="AS37" s="658"/>
      <c r="AT37" s="658"/>
      <c r="AU37" s="658"/>
      <c r="AV37" s="658"/>
      <c r="AW37" s="658"/>
      <c r="AX37" s="658"/>
      <c r="AY37" s="642" t="str">
        <f>D40&amp;" ("&amp;F40&amp;")"</f>
        <v xml:space="preserve"> (0)</v>
      </c>
      <c r="AZ37" s="587"/>
      <c r="BA37" s="659"/>
      <c r="BB37" s="660" t="str">
        <f t="array" aca="1" ref="BB37" ca="1">IF(ROW(AY36)&gt;COUNTIF($AY:$AY,"&gt;*"),"",INDEX(AY:AY,SMALL(IF(AY$1:AY$1001&lt;&gt;"",ROW($1:$101)),ROWS($1:36))))</f>
        <v/>
      </c>
    </row>
    <row r="38" spans="1:54" s="655" customFormat="1" ht="15.6" hidden="1" x14ac:dyDescent="0.3">
      <c r="A38" s="654"/>
      <c r="C38" s="661"/>
      <c r="D38" s="655" t="str">
        <f t="shared" si="42"/>
        <v/>
      </c>
      <c r="E38" s="655" t="str">
        <f>IF(IFERROR(VLOOKUP(3,$F$11:$G$31,1,FALSE),"")=3,U36,"")</f>
        <v/>
      </c>
      <c r="F38" s="655">
        <f t="shared" si="43"/>
        <v>0</v>
      </c>
      <c r="G38" s="655">
        <f>COUNTIFS($F$11:$H$31,3)</f>
        <v>0</v>
      </c>
      <c r="N38" s="112">
        <f>COUNTIFS(N11:N31,"T3")</f>
        <v>0</v>
      </c>
      <c r="O38" s="112">
        <f t="shared" ref="O38:R38" si="47">COUNTIFS(O11:O31,"T3")</f>
        <v>0</v>
      </c>
      <c r="P38" s="112">
        <f t="shared" si="47"/>
        <v>0</v>
      </c>
      <c r="Q38" s="112">
        <f t="shared" si="47"/>
        <v>0</v>
      </c>
      <c r="R38" s="112">
        <f t="shared" si="47"/>
        <v>0</v>
      </c>
      <c r="S38" s="112"/>
      <c r="T38" s="112"/>
      <c r="U38" s="112"/>
      <c r="V38" s="112"/>
      <c r="W38" s="112"/>
      <c r="X38" s="712">
        <f t="shared" si="45"/>
        <v>0</v>
      </c>
      <c r="Y38" s="655">
        <f t="shared" si="46"/>
        <v>0</v>
      </c>
      <c r="Z38" s="655">
        <v>3</v>
      </c>
      <c r="AE38" s="655">
        <f>SUMIFS(Detailplan!$N$9:$N$223,Detailplan!$K$9:$K$223,Projektteam!$D$11:$D$40,Detailplan!$M$9:$M$223,"&gt;=1")</f>
        <v>0</v>
      </c>
      <c r="AK38" s="655">
        <f xml:space="preserve"> SUMIFS(Detailplan!$N$9:$N$223,Detailplan!$K$9:$K$223,Projektteam!$D$11:$D$40,Detailplan!$M$9:$M$223,"=1")</f>
        <v>0</v>
      </c>
      <c r="AN38" s="656"/>
      <c r="AO38" s="657"/>
      <c r="AP38" s="657"/>
      <c r="AQ38" s="657"/>
      <c r="AR38" s="657"/>
      <c r="AS38" s="658"/>
      <c r="AT38" s="658"/>
      <c r="AU38" s="658"/>
      <c r="AV38" s="658"/>
      <c r="AW38" s="658"/>
      <c r="AX38" s="658"/>
      <c r="AY38" s="587"/>
      <c r="AZ38" s="587"/>
      <c r="BA38" s="659"/>
    </row>
    <row r="39" spans="1:54" s="655" customFormat="1" hidden="1" x14ac:dyDescent="0.3">
      <c r="A39" s="654"/>
      <c r="C39" s="661"/>
      <c r="D39" s="655" t="str">
        <f t="shared" si="42"/>
        <v/>
      </c>
      <c r="E39" s="655" t="str">
        <f>IF(IFERROR(VLOOKUP(4,$F$11:$F$31,1,FALSE),"")=4,V36,"")</f>
        <v/>
      </c>
      <c r="F39" s="655">
        <f t="shared" si="43"/>
        <v>0</v>
      </c>
      <c r="G39" s="655">
        <f>COUNTIFS($F$11:$H$31,4)</f>
        <v>0</v>
      </c>
      <c r="N39" s="112">
        <f>COUNTIFS(N11:N31,"T4")</f>
        <v>0</v>
      </c>
      <c r="O39" s="112">
        <f t="shared" ref="O39:R39" si="48">COUNTIFS(O11:O31,"T4")</f>
        <v>0</v>
      </c>
      <c r="P39" s="112">
        <f t="shared" si="48"/>
        <v>0</v>
      </c>
      <c r="Q39" s="112">
        <f t="shared" si="48"/>
        <v>0</v>
      </c>
      <c r="R39" s="112">
        <f t="shared" si="48"/>
        <v>0</v>
      </c>
      <c r="S39" s="112"/>
      <c r="T39" s="112"/>
      <c r="U39" s="112"/>
      <c r="V39" s="112"/>
      <c r="W39" s="112"/>
      <c r="X39" s="712">
        <f t="shared" si="45"/>
        <v>0</v>
      </c>
      <c r="Y39" s="655">
        <f t="shared" si="46"/>
        <v>0</v>
      </c>
      <c r="Z39" s="655">
        <v>4</v>
      </c>
      <c r="AE39" s="655">
        <f>SUMIFS(Detailplan!$N$9:$N$223,Detailplan!$K$9:$K$223,Projektteam!$D$11:$D$40,Detailplan!$M$9:$M$223,"&gt;=1")</f>
        <v>0</v>
      </c>
      <c r="AK39" s="655">
        <f xml:space="preserve"> SUMIFS(Detailplan!$N$9:$N$223,Detailplan!$K$9:$K$223,Projektteam!$D$11:$D$40,Detailplan!$M$9:$M$223,"=1")</f>
        <v>0</v>
      </c>
      <c r="AN39" s="663"/>
      <c r="AO39" s="587"/>
      <c r="AP39" s="587"/>
      <c r="AQ39" s="587"/>
      <c r="AR39" s="587"/>
      <c r="AS39" s="664"/>
      <c r="AT39" s="664"/>
      <c r="AU39" s="664"/>
      <c r="AV39" s="664"/>
      <c r="AW39" s="664"/>
      <c r="AX39" s="664"/>
      <c r="AY39" s="587"/>
      <c r="AZ39" s="587"/>
      <c r="BA39" s="659"/>
    </row>
    <row r="40" spans="1:54" s="655" customFormat="1" hidden="1" x14ac:dyDescent="0.3">
      <c r="A40" s="654"/>
      <c r="C40" s="661"/>
      <c r="D40" s="655" t="str">
        <f t="shared" si="42"/>
        <v/>
      </c>
      <c r="E40" s="655" t="str">
        <f>IF(IFERROR(VLOOKUP(5,$F$11:$F$31,1,FALSE),"")=5,W36,"")</f>
        <v/>
      </c>
      <c r="F40" s="655">
        <f t="shared" si="43"/>
        <v>0</v>
      </c>
      <c r="G40" s="655">
        <f>COUNTIFS($F$11:$H$31,5)</f>
        <v>0</v>
      </c>
      <c r="N40" s="112">
        <f>COUNTIFS(N11:N31,"T5")</f>
        <v>0</v>
      </c>
      <c r="O40" s="112">
        <f t="shared" ref="O40:R40" si="49">COUNTIFS(O11:O31,"T5")</f>
        <v>0</v>
      </c>
      <c r="P40" s="112">
        <f t="shared" si="49"/>
        <v>0</v>
      </c>
      <c r="Q40" s="112">
        <f t="shared" si="49"/>
        <v>0</v>
      </c>
      <c r="R40" s="112">
        <f t="shared" si="49"/>
        <v>0</v>
      </c>
      <c r="S40" s="112"/>
      <c r="T40" s="112"/>
      <c r="U40" s="112"/>
      <c r="V40" s="112"/>
      <c r="W40" s="112"/>
      <c r="X40" s="712">
        <f t="shared" si="45"/>
        <v>0</v>
      </c>
      <c r="Y40" s="655">
        <f t="shared" si="46"/>
        <v>0</v>
      </c>
      <c r="Z40" s="655">
        <v>5</v>
      </c>
      <c r="AE40" s="655">
        <f>SUMIFS(Detailplan!$N$9:$N$223,Detailplan!$K$9:$K$223,Projektteam!$D$11:$D$40,Detailplan!$M$9:$M$223,"&gt;=1")</f>
        <v>0</v>
      </c>
      <c r="AK40" s="655">
        <f xml:space="preserve"> SUMIFS(Detailplan!$N$9:$N$223,Detailplan!$K$9:$K$223,Projektteam!$D$11:$D$40,Detailplan!$M$9:$M$223,"=1")</f>
        <v>0</v>
      </c>
      <c r="AN40" s="663"/>
      <c r="AO40" s="587"/>
      <c r="AP40" s="587"/>
      <c r="AQ40" s="587"/>
      <c r="AR40" s="587"/>
      <c r="AS40" s="664"/>
      <c r="AT40" s="664"/>
      <c r="AU40" s="664"/>
      <c r="AV40" s="664"/>
      <c r="AW40" s="664"/>
      <c r="AX40" s="664"/>
      <c r="AY40" s="587"/>
      <c r="AZ40" s="587"/>
      <c r="BA40" s="659"/>
    </row>
    <row r="41" spans="1:54" s="655" customFormat="1" hidden="1" x14ac:dyDescent="0.3">
      <c r="A41" s="654"/>
      <c r="C41" s="661"/>
      <c r="AN41" s="663"/>
      <c r="AO41" s="587"/>
      <c r="AP41" s="587"/>
      <c r="AQ41" s="587"/>
      <c r="AR41" s="587"/>
      <c r="AS41" s="664"/>
      <c r="AT41" s="664"/>
      <c r="AU41" s="664"/>
      <c r="AV41" s="664"/>
      <c r="AW41" s="664"/>
      <c r="AX41" s="664"/>
      <c r="AY41" s="587"/>
      <c r="AZ41" s="587"/>
      <c r="BA41" s="659"/>
    </row>
    <row r="42" spans="1:54" s="655" customFormat="1" hidden="1" x14ac:dyDescent="0.3">
      <c r="A42" s="654"/>
      <c r="C42" s="661"/>
      <c r="D42" s="655" t="str">
        <f>IF(IFERROR(VLOOKUP(1,$G$11:$G$31,1,FALSE),"")=1,"Team 1","")</f>
        <v/>
      </c>
      <c r="E42" s="655" t="str">
        <f>IF(IFERROR(VLOOKUP(1,$G$11:$G$31,1,FALSE),"")=1,S36,"")</f>
        <v/>
      </c>
      <c r="G42" s="655">
        <f>COUNTIFS($G$11:$G$31,1)</f>
        <v>0</v>
      </c>
      <c r="N42" s="655" t="str">
        <f>IF(SUM(N36:R36)&gt;0,"T1",0)</f>
        <v>T1</v>
      </c>
      <c r="O42" s="655" t="str">
        <f>IF(N42="T1","","T1")</f>
        <v/>
      </c>
      <c r="X42" s="712">
        <f>IF(AND(F42&lt;&gt;"",AK42&lt;&gt;0),AK42/F42,0)</f>
        <v>0</v>
      </c>
      <c r="Z42" s="655">
        <v>1</v>
      </c>
      <c r="AN42" s="663"/>
      <c r="AO42" s="587"/>
      <c r="AP42" s="587"/>
      <c r="AQ42" s="587"/>
      <c r="AR42" s="587"/>
      <c r="AS42" s="664"/>
      <c r="AT42" s="664"/>
      <c r="AU42" s="664"/>
      <c r="AV42" s="664"/>
      <c r="AW42" s="664"/>
      <c r="AX42" s="664"/>
      <c r="AY42" s="587"/>
      <c r="AZ42" s="587"/>
      <c r="BA42" s="659"/>
    </row>
    <row r="43" spans="1:54" s="655" customFormat="1" hidden="1" x14ac:dyDescent="0.3">
      <c r="A43" s="654"/>
      <c r="C43" s="661"/>
      <c r="E43" s="655" t="str">
        <f>IF(IFERROR(VLOOKUP(2,$G$11:$G$31,1,FALSE),"")=2,T36,"")</f>
        <v/>
      </c>
      <c r="G43" s="655">
        <f>COUNTIFS($G$11:$G$31,2)</f>
        <v>0</v>
      </c>
      <c r="N43" s="655">
        <f>IF(SUM(N37:R37)&gt;0,"T2",0)</f>
        <v>0</v>
      </c>
      <c r="O43" s="655" t="str">
        <f>IF(N43="T2","","T2")</f>
        <v>T2</v>
      </c>
      <c r="X43" s="712">
        <f>IF(AND(F43&lt;&gt;"",AK43&lt;&gt;0),AK43/F43,0)</f>
        <v>0</v>
      </c>
      <c r="Z43" s="655">
        <v>2</v>
      </c>
      <c r="AN43" s="663"/>
      <c r="AO43" s="587"/>
      <c r="AP43" s="587"/>
      <c r="AQ43" s="587"/>
      <c r="AR43" s="587"/>
      <c r="AS43" s="664"/>
      <c r="AT43" s="664"/>
      <c r="AU43" s="664"/>
      <c r="AV43" s="664"/>
      <c r="AW43" s="664"/>
      <c r="AX43" s="664"/>
      <c r="AY43" s="587"/>
      <c r="AZ43" s="587"/>
      <c r="BA43" s="659"/>
    </row>
    <row r="44" spans="1:54" s="655" customFormat="1" hidden="1" x14ac:dyDescent="0.3">
      <c r="A44" s="654"/>
      <c r="C44" s="661" t="str">
        <f>IF(IFERROR(VLOOKUP(Y9,N19:R19,1,FALSE),"")=1,$D$11,"")</f>
        <v/>
      </c>
      <c r="E44" s="655" t="str">
        <f>IF(IFERROR(VLOOKUP(3,$G$11:$G$31,1,FALSE),"")=3,U36,"")</f>
        <v/>
      </c>
      <c r="G44" s="655">
        <f>COUNTIFS($G$11:$G$31,3)</f>
        <v>0</v>
      </c>
      <c r="N44" s="655">
        <f>IF(SUM(N38:R38)&gt;0,"T3",0)</f>
        <v>0</v>
      </c>
      <c r="O44" s="655" t="str">
        <f>IF(N44="T3","","T3")</f>
        <v>T3</v>
      </c>
      <c r="X44" s="712">
        <f>IF(AND(F44&lt;&gt;"",AK44&lt;&gt;0),AK44/F44,0)</f>
        <v>0</v>
      </c>
      <c r="Z44" s="655">
        <v>3</v>
      </c>
      <c r="AN44" s="663"/>
      <c r="AO44" s="587"/>
      <c r="AP44" s="587"/>
      <c r="AQ44" s="587"/>
      <c r="AR44" s="587"/>
      <c r="AS44" s="664"/>
      <c r="AT44" s="664"/>
      <c r="AU44" s="664"/>
      <c r="AV44" s="664"/>
      <c r="AW44" s="664"/>
      <c r="AX44" s="664"/>
      <c r="AY44" s="587"/>
      <c r="AZ44" s="587"/>
      <c r="BA44" s="659"/>
    </row>
    <row r="45" spans="1:54" s="655" customFormat="1" hidden="1" x14ac:dyDescent="0.3">
      <c r="A45" s="654"/>
      <c r="C45" s="661" t="str">
        <f>IF(IFERROR(VLOOKUP(Y10,N20:R20,1,FALSE),"")=1,$D$11,"")</f>
        <v/>
      </c>
      <c r="E45" s="655" t="str">
        <f>IF(IFERROR(VLOOKUP(4,$G$11:$G$31,1,FALSE),"")=4,V36,"")</f>
        <v/>
      </c>
      <c r="G45" s="655">
        <f>COUNTIFS($G$11:$G$31,4)</f>
        <v>0</v>
      </c>
      <c r="N45" s="655">
        <f>IF(SUM(N39:R39)&gt;0,"T4",0)</f>
        <v>0</v>
      </c>
      <c r="O45" s="655" t="str">
        <f>IF(N45="T4","","T4")</f>
        <v>T4</v>
      </c>
      <c r="X45" s="712">
        <f>IF(AND(F45&lt;&gt;"",AK45&lt;&gt;0),AK45/F45,0)</f>
        <v>0</v>
      </c>
      <c r="Z45" s="655">
        <v>4</v>
      </c>
      <c r="AN45" s="663"/>
      <c r="AO45" s="587"/>
      <c r="AP45" s="587"/>
      <c r="AQ45" s="587"/>
      <c r="AR45" s="587"/>
      <c r="AS45" s="664"/>
      <c r="AT45" s="664"/>
      <c r="AU45" s="664"/>
      <c r="AV45" s="664"/>
      <c r="AW45" s="664"/>
      <c r="AX45" s="664"/>
      <c r="AY45" s="587"/>
      <c r="AZ45" s="587"/>
      <c r="BA45" s="659"/>
    </row>
    <row r="46" spans="1:54" s="655" customFormat="1" hidden="1" x14ac:dyDescent="0.3">
      <c r="A46" s="654"/>
      <c r="C46" s="661" t="str">
        <f>IF(IFERROR(VLOOKUP(Y11,N21:R21,1,FALSE),"")=1,$D$11,"")</f>
        <v/>
      </c>
      <c r="E46" s="655" t="str">
        <f>IF(IFERROR(VLOOKUP(5,$G$11:$G$31,1,FALSE),"")=5,W36,"")</f>
        <v/>
      </c>
      <c r="G46" s="655">
        <f>COUNTIFS($G$11:$G$31,5)</f>
        <v>0</v>
      </c>
      <c r="N46" s="655">
        <f>IF(SUM(N40:R40)&gt;0,"T5",0)</f>
        <v>0</v>
      </c>
      <c r="O46" s="655" t="str">
        <f>IF(N46="T5","","T5")</f>
        <v>T5</v>
      </c>
      <c r="X46" s="712">
        <f>IF(AND(F46&lt;&gt;"",AK46&lt;&gt;0),AK46/F46,0)</f>
        <v>0</v>
      </c>
      <c r="Z46" s="655">
        <v>5</v>
      </c>
      <c r="AN46" s="663"/>
      <c r="AO46" s="587"/>
      <c r="AP46" s="587"/>
      <c r="AQ46" s="587"/>
      <c r="AR46" s="587"/>
      <c r="AS46" s="664"/>
      <c r="AT46" s="664"/>
      <c r="AU46" s="664"/>
      <c r="AV46" s="664"/>
      <c r="AW46" s="664"/>
      <c r="AX46" s="664"/>
      <c r="AY46" s="587"/>
      <c r="AZ46" s="587"/>
      <c r="BA46" s="659"/>
    </row>
    <row r="47" spans="1:54" s="655" customFormat="1" hidden="1" x14ac:dyDescent="0.3">
      <c r="A47" s="654"/>
      <c r="AN47" s="663"/>
      <c r="AO47" s="587"/>
      <c r="AP47" s="587"/>
      <c r="AQ47" s="587"/>
      <c r="AR47" s="587"/>
      <c r="AS47" s="664"/>
      <c r="AT47" s="664"/>
      <c r="AU47" s="664"/>
      <c r="AV47" s="664"/>
      <c r="AW47" s="664"/>
      <c r="AX47" s="664"/>
      <c r="AY47" s="587"/>
      <c r="AZ47" s="587"/>
      <c r="BA47" s="659"/>
    </row>
    <row r="48" spans="1:54" s="655" customFormat="1" hidden="1" x14ac:dyDescent="0.3">
      <c r="A48" s="654"/>
      <c r="E48" s="655" t="str">
        <f>IF(IFERROR(VLOOKUP(1,$H$11:$H$31,1,FALSE),"")=1,S36,"")</f>
        <v/>
      </c>
      <c r="H48" s="655">
        <f>COUNTIFS($H$11:$H$31,1)</f>
        <v>0</v>
      </c>
      <c r="Z48" s="655">
        <v>1</v>
      </c>
      <c r="AN48" s="663"/>
      <c r="AO48" s="587"/>
      <c r="AP48" s="587"/>
      <c r="AQ48" s="587"/>
      <c r="AR48" s="587"/>
      <c r="AS48" s="664"/>
      <c r="AT48" s="664"/>
      <c r="AU48" s="664"/>
      <c r="AV48" s="664"/>
      <c r="AW48" s="664"/>
      <c r="AX48" s="664"/>
      <c r="AY48" s="587"/>
      <c r="AZ48" s="587"/>
      <c r="BA48" s="659"/>
    </row>
    <row r="49" spans="5:26" s="655" customFormat="1" hidden="1" x14ac:dyDescent="0.3">
      <c r="E49" s="655" t="str">
        <f>IF(IFERROR(VLOOKUP(2,$H$11:$H$31,1,FALSE),"")=2,T36,"")</f>
        <v/>
      </c>
      <c r="H49" s="655">
        <f>COUNTIFS($H$11:$H$31,2)</f>
        <v>0</v>
      </c>
      <c r="Z49" s="655">
        <v>2</v>
      </c>
    </row>
    <row r="50" spans="5:26" s="655" customFormat="1" hidden="1" x14ac:dyDescent="0.3">
      <c r="E50" s="655" t="str">
        <f>IF(IFERROR(VLOOKUP(3,$H$11:$H$31,1,FALSE),"")=3,U36,"")</f>
        <v/>
      </c>
      <c r="H50" s="655">
        <f>COUNTIFS($H$11:$H$31,3)</f>
        <v>0</v>
      </c>
      <c r="Z50" s="655">
        <v>3</v>
      </c>
    </row>
    <row r="51" spans="5:26" s="655" customFormat="1" hidden="1" x14ac:dyDescent="0.3">
      <c r="E51" s="655" t="str">
        <f>IF(IFERROR(VLOOKUP(4,$H$11:$H$31,1,FALSE),"")=4,V36,"")</f>
        <v/>
      </c>
      <c r="H51" s="655">
        <f>COUNTIFS($H$11:$H$31,4)</f>
        <v>0</v>
      </c>
      <c r="Z51" s="655">
        <v>4</v>
      </c>
    </row>
    <row r="52" spans="5:26" s="655" customFormat="1" hidden="1" x14ac:dyDescent="0.3">
      <c r="E52" s="655" t="str">
        <f>IF(IFERROR(VLOOKUP(5,$H$11:$H$31,1,FALSE),"")=5,W36,"")</f>
        <v/>
      </c>
      <c r="H52" s="655">
        <f>COUNTIFS($H$11:$H$31,5)</f>
        <v>0</v>
      </c>
      <c r="Z52" s="655">
        <v>5</v>
      </c>
    </row>
  </sheetData>
  <sheetProtection sheet="1" objects="1" scenarios="1" formatCells="0" formatColumns="0" formatRows="0" insertHyperlinks="0" selectLockedCells="1" sort="0" autoFilter="0"/>
  <autoFilter ref="B10:AM37" xr:uid="{00000000-0009-0000-0000-00000A000000}"/>
  <mergeCells count="34">
    <mergeCell ref="X14:Z14"/>
    <mergeCell ref="X15:Z15"/>
    <mergeCell ref="X31:Z31"/>
    <mergeCell ref="X25:Z25"/>
    <mergeCell ref="X26:Z26"/>
    <mergeCell ref="X27:Z27"/>
    <mergeCell ref="X29:Z29"/>
    <mergeCell ref="X30:Z30"/>
    <mergeCell ref="X28:Z28"/>
    <mergeCell ref="N9:R9"/>
    <mergeCell ref="AD4:AL6"/>
    <mergeCell ref="AP9:AS9"/>
    <mergeCell ref="AT9:AW9"/>
    <mergeCell ref="Y5:Z5"/>
    <mergeCell ref="AK7:AL8"/>
    <mergeCell ref="AD7:AJ8"/>
    <mergeCell ref="X9:Z9"/>
    <mergeCell ref="AB5:AC5"/>
    <mergeCell ref="Y3:Z3"/>
    <mergeCell ref="Y4:Z4"/>
    <mergeCell ref="AB4:AC4"/>
    <mergeCell ref="AM4:AM6"/>
    <mergeCell ref="X24:Z24"/>
    <mergeCell ref="X23:Z23"/>
    <mergeCell ref="X17:Z17"/>
    <mergeCell ref="X18:Z18"/>
    <mergeCell ref="X19:Z19"/>
    <mergeCell ref="X21:Z21"/>
    <mergeCell ref="X22:Z22"/>
    <mergeCell ref="X12:Z12"/>
    <mergeCell ref="X16:Z16"/>
    <mergeCell ref="X20:Z20"/>
    <mergeCell ref="X11:Z11"/>
    <mergeCell ref="X13:Z13"/>
  </mergeCells>
  <conditionalFormatting sqref="D11:D31">
    <cfRule type="expression" dxfId="236" priority="100">
      <formula>AND(ISTEXT(B11),ISNONTEXT(D11),D11="")</formula>
    </cfRule>
  </conditionalFormatting>
  <conditionalFormatting sqref="AF15:AF31 AK11 AK13:AK31">
    <cfRule type="expression" dxfId="235" priority="99">
      <formula>AF11&lt;0</formula>
    </cfRule>
  </conditionalFormatting>
  <conditionalFormatting sqref="AL13:AL31">
    <cfRule type="expression" dxfId="234" priority="96">
      <formula>AL13&lt;0</formula>
    </cfRule>
  </conditionalFormatting>
  <conditionalFormatting sqref="AF11:AF34">
    <cfRule type="expression" dxfId="233" priority="60">
      <formula>AF11&lt;0</formula>
    </cfRule>
  </conditionalFormatting>
  <conditionalFormatting sqref="AL11:AL31">
    <cfRule type="expression" dxfId="232" priority="57">
      <formula>AL11&lt;0</formula>
    </cfRule>
  </conditionalFormatting>
  <conditionalFormatting sqref="D11:D31">
    <cfRule type="expression" dxfId="231" priority="40">
      <formula>AND(F11&lt;&gt;"",ISNONTEXT(D11))</formula>
    </cfRule>
    <cfRule type="expression" dxfId="230" priority="61">
      <formula>AND(ISTEXT(B11),ISNONTEXT(D11),D11="")</formula>
    </cfRule>
  </conditionalFormatting>
  <conditionalFormatting sqref="B11:E11 AM13:AM31 D11:D12 B13:E31">
    <cfRule type="expression" dxfId="229" priority="62">
      <formula>MOD(ROW(A1),2)=0</formula>
    </cfRule>
    <cfRule type="expression" dxfId="228" priority="63">
      <formula>MOD(ROW(A2),2)=0</formula>
    </cfRule>
  </conditionalFormatting>
  <conditionalFormatting sqref="AF12:AF14">
    <cfRule type="expression" dxfId="227" priority="28">
      <formula>AF12&lt;0</formula>
    </cfRule>
  </conditionalFormatting>
  <conditionalFormatting sqref="AJ11:AJ34">
    <cfRule type="expression" dxfId="226" priority="27">
      <formula>AJ11&lt;0</formula>
    </cfRule>
  </conditionalFormatting>
  <conditionalFormatting sqref="AK12">
    <cfRule type="expression" dxfId="225" priority="26">
      <formula>AK12&lt;0</formula>
    </cfRule>
  </conditionalFormatting>
  <conditionalFormatting sqref="AL12">
    <cfRule type="expression" dxfId="224" priority="25">
      <formula>AL12&lt;0</formula>
    </cfRule>
  </conditionalFormatting>
  <conditionalFormatting sqref="D12">
    <cfRule type="expression" dxfId="223" priority="24">
      <formula>AND(F12&lt;&gt;"",ISNONTEXT(D12))</formula>
    </cfRule>
    <cfRule type="expression" dxfId="222" priority="29">
      <formula>AND(ISTEXT(B12),ISNONTEXT(D12),D12="")</formula>
    </cfRule>
  </conditionalFormatting>
  <conditionalFormatting sqref="AM11">
    <cfRule type="expression" dxfId="221" priority="22">
      <formula>MOD(ROW(AL1),2)=0</formula>
    </cfRule>
    <cfRule type="expression" dxfId="220" priority="23">
      <formula>MOD(ROW(AL2),2)=0</formula>
    </cfRule>
  </conditionalFormatting>
  <conditionalFormatting sqref="AM12">
    <cfRule type="expression" dxfId="219" priority="20">
      <formula>MOD(ROW(AL2),2)=0</formula>
    </cfRule>
    <cfRule type="expression" dxfId="218" priority="21">
      <formula>MOD(ROW(AL3),2)=0</formula>
    </cfRule>
  </conditionalFormatting>
  <conditionalFormatting sqref="B11:E31">
    <cfRule type="expression" dxfId="217" priority="30">
      <formula>MOD(ROW(A1),2)=0</formula>
    </cfRule>
    <cfRule type="expression" dxfId="216" priority="31">
      <formula>MOD(ROW(A2),2)=0</formula>
    </cfRule>
  </conditionalFormatting>
  <conditionalFormatting sqref="N11:U31 F11:H31">
    <cfRule type="expression" dxfId="215" priority="34">
      <formula>MOD(ROW(XFD1),2)=0</formula>
    </cfRule>
    <cfRule type="expression" dxfId="214" priority="35">
      <formula>MOD(ROW(XFD2),2)=0</formula>
    </cfRule>
  </conditionalFormatting>
  <conditionalFormatting sqref="X11:AC31">
    <cfRule type="expression" dxfId="213" priority="17823">
      <formula>MOD(ROW(M1),2)=0</formula>
    </cfRule>
    <cfRule type="expression" dxfId="212" priority="17824">
      <formula>MOD(ROW(M2),2)=0</formula>
    </cfRule>
  </conditionalFormatting>
  <conditionalFormatting sqref="W11:W31">
    <cfRule type="expression" dxfId="211" priority="17841">
      <formula>MOD(ROW(O1),2)=0</formula>
    </cfRule>
    <cfRule type="expression" dxfId="210" priority="17842">
      <formula>MOD(ROW(O2),2)=0</formula>
    </cfRule>
  </conditionalFormatting>
  <conditionalFormatting sqref="V11:V31">
    <cfRule type="expression" dxfId="209" priority="17851">
      <formula>MOD(ROW(O1),2)=0</formula>
    </cfRule>
    <cfRule type="expression" dxfId="208" priority="17852">
      <formula>MOD(ROW(O2),2)=0</formula>
    </cfRule>
  </conditionalFormatting>
  <conditionalFormatting sqref="AM34">
    <cfRule type="expression" dxfId="207" priority="6">
      <formula>MOD(ROW(AL24),2)=0</formula>
    </cfRule>
    <cfRule type="expression" dxfId="206" priority="7">
      <formula>MOD(ROW(AL25),2)=0</formula>
    </cfRule>
  </conditionalFormatting>
  <conditionalFormatting sqref="AM32">
    <cfRule type="expression" dxfId="205" priority="4">
      <formula>MOD(ROW(AL22),2)=0</formula>
    </cfRule>
    <cfRule type="expression" dxfId="204" priority="5">
      <formula>MOD(ROW(AL23),2)=0</formula>
    </cfRule>
  </conditionalFormatting>
  <conditionalFormatting sqref="AM33">
    <cfRule type="expression" dxfId="203" priority="2">
      <formula>MOD(ROW(AL23),2)=0</formula>
    </cfRule>
    <cfRule type="expression" dxfId="202" priority="3">
      <formula>MOD(ROW(AL24),2)=0</formula>
    </cfRule>
  </conditionalFormatting>
  <conditionalFormatting sqref="AD11:AJ31">
    <cfRule type="expression" dxfId="201" priority="36">
      <formula>MOD(ROW(A1),2)=0</formula>
    </cfRule>
    <cfRule type="expression" dxfId="200" priority="37">
      <formula>MOD(ROW(A2),2)=0</formula>
    </cfRule>
  </conditionalFormatting>
  <conditionalFormatting sqref="AK11:AL31">
    <cfRule type="expression" dxfId="199" priority="32">
      <formula>MOD(ROW(A1),2)=0</formula>
    </cfRule>
    <cfRule type="expression" dxfId="198" priority="33">
      <formula>MOD(ROW(A2),2)=0</formula>
    </cfRule>
  </conditionalFormatting>
  <conditionalFormatting sqref="AL11:AL31">
    <cfRule type="expression" dxfId="197" priority="1">
      <formula>AL11&lt;0</formula>
    </cfRule>
  </conditionalFormatting>
  <conditionalFormatting sqref="AC11:AC31">
    <cfRule type="expression" dxfId="196" priority="19830">
      <formula>AND(AC11="",AD11&gt;0,$BL$3=TRUE)</formula>
    </cfRule>
  </conditionalFormatting>
  <dataValidations count="27">
    <dataValidation type="date" errorStyle="warning" operator="greaterThanOrEqual" allowBlank="1" showInputMessage="1" showErrorMessage="1" errorTitle="Falsches Datum - Fausse date!" sqref="Y5:Z5" xr:uid="{00000000-0002-0000-0A00-000000000000}">
      <formula1>TODAY()</formula1>
    </dataValidation>
    <dataValidation type="list" allowBlank="1" showInputMessage="1" showErrorMessage="1" sqref="F11:H11" xr:uid="{00000000-0002-0000-0A00-000001000000}">
      <formula1>$I$11:$M$11</formula1>
    </dataValidation>
    <dataValidation type="list" allowBlank="1" showInputMessage="1" showErrorMessage="1" sqref="F13:H13" xr:uid="{00000000-0002-0000-0A00-000002000000}">
      <formula1>$I$13:$M$13</formula1>
    </dataValidation>
    <dataValidation type="list" allowBlank="1" showInputMessage="1" showErrorMessage="1" sqref="F14:H14" xr:uid="{00000000-0002-0000-0A00-000003000000}">
      <formula1>$I$14:$M$14</formula1>
    </dataValidation>
    <dataValidation type="list" allowBlank="1" showInputMessage="1" showErrorMessage="1" sqref="F15:H15" xr:uid="{00000000-0002-0000-0A00-000004000000}">
      <formula1>$I$15:$M$15</formula1>
    </dataValidation>
    <dataValidation type="list" allowBlank="1" showInputMessage="1" showErrorMessage="1" sqref="F16:H16" xr:uid="{00000000-0002-0000-0A00-000005000000}">
      <formula1>$I$16:$M$16</formula1>
    </dataValidation>
    <dataValidation type="list" allowBlank="1" showInputMessage="1" showErrorMessage="1" sqref="F17:H17" xr:uid="{00000000-0002-0000-0A00-000006000000}">
      <formula1>$I$17:$M$17</formula1>
    </dataValidation>
    <dataValidation type="list" allowBlank="1" showInputMessage="1" showErrorMessage="1" sqref="F18:H18" xr:uid="{00000000-0002-0000-0A00-000007000000}">
      <formula1>$I$18:$M$18</formula1>
    </dataValidation>
    <dataValidation type="list" allowBlank="1" showInputMessage="1" showErrorMessage="1" sqref="F19:H19" xr:uid="{00000000-0002-0000-0A00-000008000000}">
      <formula1>$I$19:$M$19</formula1>
    </dataValidation>
    <dataValidation type="list" allowBlank="1" showInputMessage="1" showErrorMessage="1" sqref="F20:H20" xr:uid="{00000000-0002-0000-0A00-000009000000}">
      <formula1>$I$20:$M$20</formula1>
    </dataValidation>
    <dataValidation type="list" allowBlank="1" showInputMessage="1" showErrorMessage="1" sqref="F21:H21" xr:uid="{00000000-0002-0000-0A00-00000A000000}">
      <formula1>$I$21:$M$21</formula1>
    </dataValidation>
    <dataValidation type="list" allowBlank="1" showInputMessage="1" showErrorMessage="1" sqref="F22:H22" xr:uid="{00000000-0002-0000-0A00-00000B000000}">
      <formula1>$I$22:$M$22</formula1>
    </dataValidation>
    <dataValidation type="list" allowBlank="1" showInputMessage="1" showErrorMessage="1" sqref="F23:H23" xr:uid="{00000000-0002-0000-0A00-00000C000000}">
      <formula1>$I$23:$M$23</formula1>
    </dataValidation>
    <dataValidation type="list" allowBlank="1" showInputMessage="1" showErrorMessage="1" sqref="F24:H24" xr:uid="{00000000-0002-0000-0A00-00000D000000}">
      <formula1>$I$24:$M$24</formula1>
    </dataValidation>
    <dataValidation type="list" allowBlank="1" showInputMessage="1" showErrorMessage="1" sqref="F25:H25" xr:uid="{00000000-0002-0000-0A00-00000E000000}">
      <formula1>$I$25:$M$25</formula1>
    </dataValidation>
    <dataValidation type="list" allowBlank="1" showInputMessage="1" showErrorMessage="1" sqref="F26:H26" xr:uid="{00000000-0002-0000-0A00-00000F000000}">
      <formula1>$I$26:$M$26</formula1>
    </dataValidation>
    <dataValidation type="list" allowBlank="1" showInputMessage="1" showErrorMessage="1" sqref="F27:H27" xr:uid="{00000000-0002-0000-0A00-000010000000}">
      <formula1>$I$27:$M$27</formula1>
    </dataValidation>
    <dataValidation type="list" allowBlank="1" showInputMessage="1" showErrorMessage="1" sqref="F28:H28" xr:uid="{00000000-0002-0000-0A00-000011000000}">
      <formula1>$I$28:$M$28</formula1>
    </dataValidation>
    <dataValidation type="list" allowBlank="1" showInputMessage="1" showErrorMessage="1" sqref="F29:H29" xr:uid="{00000000-0002-0000-0A00-000012000000}">
      <formula1>$I$29:$M$29</formula1>
    </dataValidation>
    <dataValidation type="list" allowBlank="1" showInputMessage="1" showErrorMessage="1" sqref="F30:H30" xr:uid="{00000000-0002-0000-0A00-000013000000}">
      <formula1>$I$30:$M$30</formula1>
    </dataValidation>
    <dataValidation type="list" allowBlank="1" showInputMessage="1" showErrorMessage="1" sqref="F31:H31" xr:uid="{00000000-0002-0000-0A00-000014000000}">
      <formula1>$I$31:$M$31</formula1>
    </dataValidation>
    <dataValidation type="decimal" operator="greaterThanOrEqual" allowBlank="1" showInputMessage="1" showErrorMessage="1" errorTitle="Enter numbers!" sqref="AC11:AC31" xr:uid="{00000000-0002-0000-0A00-000015000000}">
      <formula1>0</formula1>
    </dataValidation>
    <dataValidation type="decimal" operator="greaterThanOrEqual" allowBlank="1" showInputMessage="1" showErrorMessage="1" errorTitle="Enter a number" sqref="AD11:AD31" xr:uid="{00000000-0002-0000-0A00-000016000000}">
      <formula1>0</formula1>
    </dataValidation>
    <dataValidation allowBlank="1" showInputMessage="1" showErrorMessage="1" errorTitle="Choose a value in the list" promptTitle="intern/extern" sqref="I11:M31 S9:W31" xr:uid="{00000000-0002-0000-0A00-000017000000}"/>
    <dataValidation type="list" allowBlank="1" showInputMessage="1" showErrorMessage="1" sqref="F12:H12" xr:uid="{00000000-0002-0000-0A00-000018000000}">
      <formula1>$I$12:$M$12</formula1>
    </dataValidation>
    <dataValidation type="list" allowBlank="1" showInputMessage="1" showErrorMessage="1" errorTitle="Please choose x or X" sqref="E11:E31" xr:uid="{00000000-0002-0000-0A00-000019000000}">
      <formula1>"x,X"</formula1>
    </dataValidation>
    <dataValidation type="list" allowBlank="1" showInputMessage="1" showErrorMessage="1" errorTitle="Choose a value in the list" promptTitle="intern/extern" sqref="N11:R31" xr:uid="{00000000-0002-0000-0A00-00001A000000}">
      <formula1>$O$42:$O$46</formula1>
    </dataValidation>
  </dataValidations>
  <hyperlinks>
    <hyperlink ref="X11" r:id="rId1" xr:uid="{00000000-0004-0000-0A00-000000000000}"/>
    <hyperlink ref="X12" r:id="rId2" xr:uid="{00000000-0004-0000-0A00-000001000000}"/>
  </hyperlinks>
  <pageMargins left="0.19685039370078741" right="0.19685039370078741" top="0.31496062992125984" bottom="0.43307086614173229" header="0" footer="0.19685039370078741"/>
  <pageSetup paperSize="9" scale="88" orientation="landscape" r:id="rId3"/>
  <headerFooter scaleWithDoc="0">
    <oddFooter>&amp;L&amp;8&amp;K01+049(c) s. imboden&amp;C&amp;8&amp;K01+049printed &amp;D&amp;R&amp;8&amp;K03+000&amp;P/&amp;N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206174" r:id="rId6" name="Control 350">
              <controlPr defaultSize="0" print="0" uiObject="1" autoLine="0" autoPict="0">
                <anchor moveWithCells="1" sizeWithCells="1">
                  <from>
                    <xdr:col>4</xdr:col>
                    <xdr:colOff>0</xdr:colOff>
                    <xdr:row>11</xdr:row>
                    <xdr:rowOff>0</xdr:rowOff>
                  </from>
                  <to>
                    <xdr:col>5</xdr:col>
                    <xdr:colOff>160020</xdr:colOff>
                    <xdr:row>11</xdr:row>
                    <xdr:rowOff>0</xdr:rowOff>
                  </to>
                </anchor>
              </controlPr>
            </control>
          </mc:Choice>
        </mc:AlternateContent>
        <mc:AlternateContent xmlns:mc="http://schemas.openxmlformats.org/markup-compatibility/2006">
          <mc:Choice Requires="x14">
            <control shapeId="206545" r:id="rId7" name="Check Box 721">
              <controlPr defaultSize="0" print="0" autoFill="0" autoLine="0" autoPict="0" altText="h">
                <anchor moveWithCells="1">
                  <from>
                    <xdr:col>28</xdr:col>
                    <xdr:colOff>541020</xdr:colOff>
                    <xdr:row>8</xdr:row>
                    <xdr:rowOff>190500</xdr:rowOff>
                  </from>
                  <to>
                    <xdr:col>28</xdr:col>
                    <xdr:colOff>762000</xdr:colOff>
                    <xdr:row>9</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39" id="{65065997-C401-4950-9915-BEF6AC156F7C}">
            <xm:f>AND(Projektauftrag!$G$4="")</xm:f>
            <x14:dxf>
              <fill>
                <patternFill>
                  <bgColor rgb="FFFF0000"/>
                </patternFill>
              </fill>
            </x14:dxf>
          </x14:cfRule>
          <xm:sqref>Y3:Z3</xm:sqref>
        </x14:conditionalFormatting>
        <x14:conditionalFormatting xmlns:xm="http://schemas.microsoft.com/office/excel/2006/main">
          <x14:cfRule type="expression" priority="138" id="{69C2262E-A5E1-4348-84DB-023AE1047A17}">
            <xm:f>AND(Projektauftrag!$J$4="")</xm:f>
            <x14:dxf>
              <fill>
                <patternFill>
                  <bgColor rgb="FFFF0000"/>
                </patternFill>
              </fill>
            </x14:dxf>
          </x14:cfRule>
          <xm:sqref>AB3</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uftrag">
    <tabColor theme="3" tint="0.59999389629810485"/>
    <pageSetUpPr fitToPage="1"/>
  </sheetPr>
  <dimension ref="A1:T58"/>
  <sheetViews>
    <sheetView showGridLines="0" zoomScaleNormal="100" zoomScaleSheetLayoutView="100" workbookViewId="0">
      <pane ySplit="1" topLeftCell="A2" activePane="bottomLeft" state="frozen"/>
      <selection activeCell="C28" sqref="C28"/>
      <selection pane="bottomLeft" activeCell="B24" sqref="B24:J24"/>
    </sheetView>
  </sheetViews>
  <sheetFormatPr baseColWidth="10" defaultColWidth="11.44140625" defaultRowHeight="14.4" x14ac:dyDescent="0.3"/>
  <cols>
    <col min="1" max="1" width="7" style="111" customWidth="1"/>
    <col min="2" max="2" width="14.109375" style="112" customWidth="1"/>
    <col min="3" max="3" width="4.88671875" style="112" customWidth="1"/>
    <col min="4" max="4" width="18.109375" style="112" customWidth="1"/>
    <col min="5" max="5" width="5.5546875" style="112" customWidth="1"/>
    <col min="6" max="6" width="8.88671875" style="112" customWidth="1"/>
    <col min="7" max="7" width="15.88671875" style="112" customWidth="1"/>
    <col min="8" max="8" width="15.5546875" style="112" bestFit="1" customWidth="1"/>
    <col min="9" max="9" width="2.5546875" style="112" customWidth="1"/>
    <col min="10" max="10" width="17.109375" style="112" bestFit="1" customWidth="1"/>
    <col min="11" max="11" width="2.109375" style="112" customWidth="1"/>
    <col min="12" max="12" width="9.88671875" style="112" bestFit="1" customWidth="1"/>
    <col min="13" max="13" width="3.5546875" style="112" customWidth="1"/>
    <col min="14" max="19" width="3" style="112" customWidth="1"/>
    <col min="20" max="20" width="7.109375" style="96" bestFit="1" customWidth="1"/>
    <col min="21" max="21" width="2" style="112" bestFit="1" customWidth="1"/>
    <col min="22" max="58" width="3" style="112" customWidth="1"/>
    <col min="59" max="16384" width="11.44140625" style="112"/>
  </cols>
  <sheetData>
    <row r="1" spans="1:10" s="70" customFormat="1" ht="42.75" customHeight="1" x14ac:dyDescent="0.6">
      <c r="A1" s="102"/>
      <c r="B1" s="1046" t="str">
        <f ca="1">' '!A42</f>
        <v>Vision/Story</v>
      </c>
      <c r="C1" s="71"/>
      <c r="D1" s="71"/>
      <c r="E1" s="71"/>
      <c r="F1" s="73"/>
      <c r="G1" s="71"/>
      <c r="H1" s="71"/>
      <c r="I1" s="103"/>
      <c r="J1" s="104"/>
    </row>
    <row r="2" spans="1:10" s="70" customFormat="1" ht="16.5" customHeight="1" x14ac:dyDescent="0.3">
      <c r="A2" s="105"/>
      <c r="C2" s="69"/>
      <c r="D2" s="69"/>
      <c r="E2" s="69"/>
      <c r="F2" s="106"/>
      <c r="G2" s="69"/>
      <c r="H2" s="107"/>
      <c r="I2" s="108"/>
      <c r="J2" s="109"/>
    </row>
    <row r="3" spans="1:10" s="75" customFormat="1" ht="11.25" customHeight="1" x14ac:dyDescent="0.3">
      <c r="A3" s="78"/>
      <c r="G3" s="110"/>
      <c r="J3" s="110"/>
    </row>
    <row r="4" spans="1:10" ht="15" customHeight="1" x14ac:dyDescent="0.3">
      <c r="B4" s="1129" t="str">
        <f ca="1">' '!A56</f>
        <v>Project number:</v>
      </c>
      <c r="C4" s="1129"/>
      <c r="D4" s="717" t="s">
        <v>183</v>
      </c>
      <c r="E4" s="1129" t="str">
        <f ca="1">' '!A57</f>
        <v>Start:</v>
      </c>
      <c r="F4" s="1129"/>
      <c r="G4" s="718">
        <f ca="1">TODAY()</f>
        <v>46049</v>
      </c>
      <c r="H4" s="1129" t="str">
        <f ca="1">' '!A58</f>
        <v>Finish:</v>
      </c>
      <c r="I4" s="1129"/>
      <c r="J4" s="718">
        <f ca="1">G4+(3*250)</f>
        <v>46799</v>
      </c>
    </row>
    <row r="5" spans="1:10" ht="30" customHeight="1" x14ac:dyDescent="0.3">
      <c r="B5" s="1129" t="str">
        <f ca="1">' '!A59</f>
        <v>Project title:</v>
      </c>
      <c r="C5" s="1129"/>
      <c r="D5" s="719" t="s">
        <v>1274</v>
      </c>
      <c r="E5" s="1129" t="str">
        <f ca="1">' '!A60</f>
        <v>Procuct Owner:</v>
      </c>
      <c r="F5" s="1129"/>
      <c r="G5" s="719" t="s">
        <v>887</v>
      </c>
      <c r="H5" s="1129" t="str">
        <f ca="1">' '!A61</f>
        <v>Scrum Master:</v>
      </c>
      <c r="I5" s="1129"/>
      <c r="J5" s="113" t="s">
        <v>866</v>
      </c>
    </row>
    <row r="6" spans="1:10" ht="15" customHeight="1" x14ac:dyDescent="0.3">
      <c r="B6" s="1129" t="str">
        <f ca="1">' '!A62</f>
        <v>Department:</v>
      </c>
      <c r="C6" s="1129"/>
      <c r="D6" s="719"/>
      <c r="E6" s="1129" t="str">
        <f ca="1">' '!A63</f>
        <v>Modified on:</v>
      </c>
      <c r="F6" s="1129"/>
      <c r="G6" s="720"/>
      <c r="H6" s="1129" t="str">
        <f ca="1">' '!A64</f>
        <v>Deputy:</v>
      </c>
      <c r="I6" s="1129"/>
      <c r="J6" s="113" t="s">
        <v>1396</v>
      </c>
    </row>
    <row r="7" spans="1:10" ht="25.5" customHeight="1" x14ac:dyDescent="0.3">
      <c r="B7" s="1129" t="str">
        <f ca="1">' '!A65</f>
        <v>Strategic goal:</v>
      </c>
      <c r="C7" s="1129"/>
      <c r="D7" s="1130"/>
      <c r="E7" s="1130"/>
      <c r="F7" s="1130"/>
      <c r="G7" s="1130"/>
      <c r="H7" s="1130"/>
      <c r="I7" s="1130"/>
      <c r="J7" s="1130"/>
    </row>
    <row r="8" spans="1:10" ht="10.5" customHeight="1" x14ac:dyDescent="0.3">
      <c r="B8" s="114"/>
      <c r="C8" s="114"/>
      <c r="D8" s="115"/>
      <c r="E8" s="115"/>
      <c r="F8" s="115"/>
      <c r="G8" s="115"/>
      <c r="H8" s="115"/>
      <c r="I8" s="115"/>
      <c r="J8" s="115"/>
    </row>
    <row r="9" spans="1:10" s="117" customFormat="1" x14ac:dyDescent="0.3">
      <c r="A9" s="111"/>
      <c r="B9" s="909" t="str">
        <f ca="1">' '!A66</f>
        <v>What is the vision? What is the story behind this project? Customer Experience?</v>
      </c>
      <c r="C9" s="910"/>
      <c r="D9" s="910"/>
      <c r="E9" s="911"/>
      <c r="F9" s="911"/>
      <c r="G9" s="911"/>
      <c r="H9" s="911"/>
      <c r="I9" s="912"/>
      <c r="J9" s="911"/>
    </row>
    <row r="10" spans="1:10" s="117" customFormat="1" x14ac:dyDescent="0.3">
      <c r="A10" s="111"/>
      <c r="B10" s="1134" t="s">
        <v>1367</v>
      </c>
      <c r="C10" s="1134"/>
      <c r="D10" s="1134"/>
      <c r="E10" s="1134"/>
      <c r="F10" s="1134"/>
      <c r="G10" s="1134"/>
      <c r="H10" s="1134"/>
      <c r="I10" s="1134"/>
      <c r="J10" s="1134"/>
    </row>
    <row r="11" spans="1:10" s="117" customFormat="1" x14ac:dyDescent="0.3">
      <c r="A11" s="111"/>
      <c r="B11" s="1134"/>
      <c r="C11" s="1134"/>
      <c r="D11" s="1134"/>
      <c r="E11" s="1134"/>
      <c r="F11" s="1134"/>
      <c r="G11" s="1134"/>
      <c r="H11" s="1134"/>
      <c r="I11" s="1134"/>
      <c r="J11" s="1134"/>
    </row>
    <row r="12" spans="1:10" s="117" customFormat="1" x14ac:dyDescent="0.3">
      <c r="A12"/>
      <c r="B12" s="1134"/>
      <c r="C12" s="1134"/>
      <c r="D12" s="1134"/>
      <c r="E12" s="1134"/>
      <c r="F12" s="1134"/>
      <c r="G12" s="1134"/>
      <c r="H12" s="1134"/>
      <c r="I12" s="1134"/>
      <c r="J12" s="1134"/>
    </row>
    <row r="13" spans="1:10" s="117" customFormat="1" x14ac:dyDescent="0.3">
      <c r="A13" s="111"/>
      <c r="B13" s="1134"/>
      <c r="C13" s="1134"/>
      <c r="D13" s="1134"/>
      <c r="E13" s="1134"/>
      <c r="F13" s="1134"/>
      <c r="G13" s="1134"/>
      <c r="H13" s="1134"/>
      <c r="I13" s="1134"/>
      <c r="J13" s="1134"/>
    </row>
    <row r="14" spans="1:10" s="117" customFormat="1" ht="19.5" customHeight="1" x14ac:dyDescent="0.3">
      <c r="A14" s="111"/>
      <c r="B14" s="1134"/>
      <c r="C14" s="1134"/>
      <c r="D14" s="1134"/>
      <c r="E14" s="1134"/>
      <c r="F14" s="1134"/>
      <c r="G14" s="1134"/>
      <c r="H14" s="1134"/>
      <c r="I14" s="1134"/>
      <c r="J14" s="1134"/>
    </row>
    <row r="15" spans="1:10" s="117" customFormat="1" ht="15" customHeight="1" x14ac:dyDescent="0.3">
      <c r="A15" s="111"/>
      <c r="B15" s="909" t="str">
        <f ca="1">' '!A67</f>
        <v xml:space="preserve">Project goals </v>
      </c>
      <c r="C15" s="910"/>
      <c r="D15" s="910"/>
      <c r="E15" s="911"/>
      <c r="F15" s="911"/>
      <c r="G15" s="911"/>
      <c r="H15" s="911"/>
      <c r="I15" s="912"/>
      <c r="J15" s="911"/>
    </row>
    <row r="16" spans="1:10" s="117" customFormat="1" x14ac:dyDescent="0.3">
      <c r="A16" s="119" t="s">
        <v>12</v>
      </c>
      <c r="B16" s="1135" t="s">
        <v>1317</v>
      </c>
      <c r="C16" s="1135"/>
      <c r="D16" s="1135"/>
      <c r="E16" s="1135"/>
      <c r="F16" s="1135"/>
      <c r="G16" s="1135"/>
      <c r="H16" s="1135"/>
      <c r="I16" s="1135"/>
      <c r="J16" s="1136"/>
    </row>
    <row r="17" spans="1:10" s="117" customFormat="1" x14ac:dyDescent="0.3">
      <c r="A17" s="119" t="s">
        <v>13</v>
      </c>
      <c r="B17" s="1135" t="s">
        <v>1318</v>
      </c>
      <c r="C17" s="1135"/>
      <c r="D17" s="1135"/>
      <c r="E17" s="1135"/>
      <c r="F17" s="1135"/>
      <c r="G17" s="1135"/>
      <c r="H17" s="1135"/>
      <c r="I17" s="1135"/>
      <c r="J17" s="1136" t="s">
        <v>1119</v>
      </c>
    </row>
    <row r="18" spans="1:10" s="117" customFormat="1" x14ac:dyDescent="0.3">
      <c r="A18" s="119" t="s">
        <v>8</v>
      </c>
      <c r="B18" s="1135" t="s">
        <v>1319</v>
      </c>
      <c r="C18" s="1135"/>
      <c r="D18" s="1135"/>
      <c r="E18" s="1135"/>
      <c r="F18" s="1135"/>
      <c r="G18" s="1135"/>
      <c r="H18" s="1135"/>
      <c r="I18" s="1135"/>
      <c r="J18" s="1136"/>
    </row>
    <row r="19" spans="1:10" s="117" customFormat="1" x14ac:dyDescent="0.3">
      <c r="A19" s="119" t="s">
        <v>9</v>
      </c>
      <c r="B19" s="1135" t="s">
        <v>1320</v>
      </c>
      <c r="C19" s="1135"/>
      <c r="D19" s="1135"/>
      <c r="E19" s="1135"/>
      <c r="F19" s="1135"/>
      <c r="G19" s="1135"/>
      <c r="H19" s="1135"/>
      <c r="I19" s="1135"/>
      <c r="J19" s="1136"/>
    </row>
    <row r="20" spans="1:10" s="117" customFormat="1" x14ac:dyDescent="0.3">
      <c r="A20" s="119" t="s">
        <v>10</v>
      </c>
      <c r="B20" s="1135"/>
      <c r="C20" s="1135"/>
      <c r="D20" s="1135"/>
      <c r="E20" s="1135"/>
      <c r="F20" s="1135"/>
      <c r="G20" s="1135"/>
      <c r="H20" s="1135"/>
      <c r="I20" s="1135"/>
      <c r="J20" s="1136"/>
    </row>
    <row r="21" spans="1:10" s="117" customFormat="1" x14ac:dyDescent="0.3">
      <c r="A21" s="119" t="s">
        <v>11</v>
      </c>
      <c r="B21" s="1135"/>
      <c r="C21" s="1135"/>
      <c r="D21" s="1135"/>
      <c r="E21" s="1135"/>
      <c r="F21" s="1135"/>
      <c r="G21" s="1135"/>
      <c r="H21" s="1135"/>
      <c r="I21" s="1135"/>
      <c r="J21" s="1136"/>
    </row>
    <row r="22" spans="1:10" s="117" customFormat="1" ht="15" customHeight="1" x14ac:dyDescent="0.3">
      <c r="A22" s="119"/>
      <c r="B22" s="909" t="str">
        <f ca="1">' '!A69</f>
        <v>Premise / Condition</v>
      </c>
      <c r="C22" s="910"/>
      <c r="D22" s="910"/>
      <c r="E22" s="911"/>
      <c r="F22" s="911"/>
      <c r="G22" s="911"/>
      <c r="H22" s="911"/>
      <c r="I22" s="912"/>
      <c r="J22" s="911"/>
    </row>
    <row r="23" spans="1:10" s="117" customFormat="1" x14ac:dyDescent="0.3">
      <c r="A23" s="119" t="s">
        <v>12</v>
      </c>
      <c r="B23" s="1135" t="s">
        <v>1321</v>
      </c>
      <c r="C23" s="1135"/>
      <c r="D23" s="1135"/>
      <c r="E23" s="1135"/>
      <c r="F23" s="1135"/>
      <c r="G23" s="1135"/>
      <c r="H23" s="1135"/>
      <c r="I23" s="1135"/>
      <c r="J23" s="1135"/>
    </row>
    <row r="24" spans="1:10" s="117" customFormat="1" x14ac:dyDescent="0.3">
      <c r="A24" s="119" t="s">
        <v>13</v>
      </c>
      <c r="B24" s="1135" t="s">
        <v>1322</v>
      </c>
      <c r="C24" s="1135"/>
      <c r="D24" s="1135"/>
      <c r="E24" s="1135"/>
      <c r="F24" s="1135"/>
      <c r="G24" s="1135"/>
      <c r="H24" s="1135"/>
      <c r="I24" s="1135"/>
      <c r="J24" s="1135"/>
    </row>
    <row r="25" spans="1:10" s="117" customFormat="1" x14ac:dyDescent="0.3">
      <c r="A25" s="119" t="s">
        <v>8</v>
      </c>
      <c r="B25" s="1135" t="s">
        <v>1323</v>
      </c>
      <c r="C25" s="1135"/>
      <c r="D25" s="1135"/>
      <c r="E25" s="1135"/>
      <c r="F25" s="1135"/>
      <c r="G25" s="1135"/>
      <c r="H25" s="1135"/>
      <c r="I25" s="1135"/>
      <c r="J25" s="1135"/>
    </row>
    <row r="26" spans="1:10" s="117" customFormat="1" x14ac:dyDescent="0.3">
      <c r="A26" s="119" t="s">
        <v>9</v>
      </c>
      <c r="B26" s="1135" t="s">
        <v>1324</v>
      </c>
      <c r="C26" s="1135"/>
      <c r="D26" s="1135"/>
      <c r="E26" s="1135"/>
      <c r="F26" s="1135"/>
      <c r="G26" s="1135"/>
      <c r="H26" s="1135"/>
      <c r="I26" s="1135"/>
      <c r="J26" s="1135"/>
    </row>
    <row r="27" spans="1:10" s="117" customFormat="1" x14ac:dyDescent="0.3">
      <c r="A27" s="119" t="s">
        <v>10</v>
      </c>
      <c r="B27" s="1135" t="s">
        <v>1325</v>
      </c>
      <c r="C27" s="1135"/>
      <c r="D27" s="1135"/>
      <c r="E27" s="1135"/>
      <c r="F27" s="1135"/>
      <c r="G27" s="1135"/>
      <c r="H27" s="1135"/>
      <c r="I27" s="1135"/>
      <c r="J27" s="1135"/>
    </row>
    <row r="28" spans="1:10" s="117" customFormat="1" x14ac:dyDescent="0.3">
      <c r="A28" s="119"/>
      <c r="B28" s="930"/>
      <c r="C28" s="930"/>
      <c r="D28" s="930"/>
      <c r="E28" s="930"/>
      <c r="F28" s="930"/>
      <c r="G28" s="930"/>
      <c r="H28" s="930"/>
      <c r="I28" s="930"/>
      <c r="J28" s="930"/>
    </row>
    <row r="29" spans="1:10" s="117" customFormat="1" ht="15" customHeight="1" x14ac:dyDescent="0.3">
      <c r="A29" s="119"/>
      <c r="B29" s="909" t="str">
        <f ca="1">' '!A70</f>
        <v>Budget / Resources / Persons</v>
      </c>
      <c r="C29" s="909"/>
      <c r="D29" s="909"/>
      <c r="E29" s="909"/>
      <c r="F29" s="909"/>
      <c r="G29" s="909"/>
      <c r="H29" s="909"/>
      <c r="I29" s="912"/>
      <c r="J29" s="909"/>
    </row>
    <row r="30" spans="1:10" s="117" customFormat="1" ht="15" customHeight="1" x14ac:dyDescent="0.3">
      <c r="A30" s="119"/>
      <c r="B30" s="120"/>
      <c r="C30" s="120"/>
      <c r="D30" s="120"/>
      <c r="E30" s="120"/>
      <c r="F30" s="120"/>
      <c r="G30" s="771" t="str">
        <f ca="1">' '!A243</f>
        <v>Plan</v>
      </c>
      <c r="H30" s="771" t="str">
        <f ca="1">' '!A244</f>
        <v>Actual state</v>
      </c>
      <c r="I30" s="121"/>
      <c r="J30" s="772" t="str">
        <f ca="1">' '!A245</f>
        <v>Balance</v>
      </c>
    </row>
    <row r="31" spans="1:10" s="117" customFormat="1" ht="21" customHeight="1" x14ac:dyDescent="0.3">
      <c r="A31" s="119"/>
      <c r="B31" s="914" t="str">
        <f ca="1">IF(Projektteam!$BL$3=TRUE,' '!A71&amp;" ["&amp;Logo!D12&amp;"]",' '!A71&amp;" [h]")</f>
        <v>Internal resources [CHF]</v>
      </c>
      <c r="C31" s="915"/>
      <c r="D31" s="915"/>
      <c r="E31" s="915"/>
      <c r="F31" s="915"/>
      <c r="G31" s="916">
        <f>Projektbudget!AT24</f>
        <v>500</v>
      </c>
      <c r="H31" s="917">
        <f>Projektbudget!BJ24</f>
        <v>500</v>
      </c>
      <c r="I31" s="122">
        <f>IFERROR(IF(AND(G31&gt;0,(H31/G31*100)=100),90,
IF(G31&gt;0,(H31/G31*100),"")),0)</f>
        <v>90</v>
      </c>
      <c r="J31" s="913">
        <f>G31-H31</f>
        <v>0</v>
      </c>
    </row>
    <row r="32" spans="1:10" s="117" customFormat="1" ht="6" customHeight="1" x14ac:dyDescent="0.3">
      <c r="A32" s="119"/>
      <c r="B32" s="120"/>
      <c r="C32" s="120"/>
      <c r="D32" s="120"/>
      <c r="E32" s="120"/>
      <c r="F32" s="120"/>
      <c r="G32" s="123"/>
      <c r="H32" s="124"/>
      <c r="I32" s="125"/>
      <c r="J32" s="126"/>
    </row>
    <row r="33" spans="1:10" s="117" customFormat="1" ht="21" customHeight="1" x14ac:dyDescent="0.3">
      <c r="A33" s="119"/>
      <c r="B33" s="914" t="str">
        <f ca="1">' '!A77&amp;" ["&amp;Logo!D12&amp;"]"</f>
        <v>External resources [CHF]</v>
      </c>
      <c r="C33" s="915"/>
      <c r="D33" s="915"/>
      <c r="E33" s="915"/>
      <c r="F33" s="915"/>
      <c r="G33" s="916">
        <f>Projektbudget!AT59</f>
        <v>0</v>
      </c>
      <c r="H33" s="917">
        <f>Projektbudget!BJ59</f>
        <v>0</v>
      </c>
      <c r="I33" s="122">
        <f>IFERROR(IF(AND(G33&gt;0,(H33/G33*100)=100),90,
IF(G33&gt;0,(H33/G33*100),"")),0)</f>
        <v>0</v>
      </c>
      <c r="J33" s="913">
        <f>G33-H33</f>
        <v>0</v>
      </c>
    </row>
    <row r="34" spans="1:10" s="117" customFormat="1" ht="6" customHeight="1" x14ac:dyDescent="0.3">
      <c r="A34" s="119"/>
      <c r="B34" s="120"/>
      <c r="C34" s="120"/>
      <c r="D34" s="120"/>
      <c r="E34" s="120"/>
      <c r="F34" s="120"/>
      <c r="G34" s="123"/>
      <c r="H34" s="124"/>
      <c r="I34" s="125"/>
      <c r="J34" s="126"/>
    </row>
    <row r="35" spans="1:10" s="117" customFormat="1" ht="21" customHeight="1" x14ac:dyDescent="0.3">
      <c r="A35" s="119"/>
      <c r="B35" s="918" t="str">
        <f ca="1">' '!A82</f>
        <v>TOTAL RESOURCES</v>
      </c>
      <c r="C35" s="919"/>
      <c r="D35" s="919"/>
      <c r="E35" s="919"/>
      <c r="F35" s="919"/>
      <c r="G35" s="920">
        <f>Projektbudget!AT61</f>
        <v>500</v>
      </c>
      <c r="H35" s="921">
        <f>Projektbudget!BJ61</f>
        <v>500</v>
      </c>
      <c r="I35" s="122">
        <f>IFERROR(IF(AND(G35&gt;0,(H35/G35*100)=100),90,
IF(G35&gt;0,(H35/G35*100),"")),0)</f>
        <v>90</v>
      </c>
      <c r="J35" s="922">
        <f>Projektbudget!BZ61</f>
        <v>0</v>
      </c>
    </row>
    <row r="36" spans="1:10" s="117" customFormat="1" ht="6" customHeight="1" x14ac:dyDescent="0.3">
      <c r="A36" s="119"/>
      <c r="B36" s="120"/>
      <c r="C36" s="120"/>
      <c r="D36" s="120"/>
      <c r="E36" s="120"/>
      <c r="F36" s="120"/>
      <c r="G36" s="123"/>
      <c r="H36" s="124"/>
      <c r="I36" s="125"/>
      <c r="J36" s="126"/>
    </row>
    <row r="37" spans="1:10" s="117" customFormat="1" ht="21" customHeight="1" x14ac:dyDescent="0.3">
      <c r="A37" s="119"/>
      <c r="B37" s="914" t="str">
        <f ca="1">' '!A236&amp;" ["&amp;Logo!D12&amp;"]"</f>
        <v>External financing (eg customers, subsidies etc.) [CHF]</v>
      </c>
      <c r="C37" s="915"/>
      <c r="D37" s="915"/>
      <c r="E37" s="915"/>
      <c r="F37" s="915"/>
      <c r="G37" s="916">
        <f>Projektbudget!AT77</f>
        <v>0</v>
      </c>
      <c r="H37" s="917">
        <f>Projektbudget!BJ77</f>
        <v>0</v>
      </c>
      <c r="I37" s="122"/>
      <c r="J37" s="913">
        <f>Projektbudget!BZ77</f>
        <v>0</v>
      </c>
    </row>
    <row r="38" spans="1:10" s="117" customFormat="1" ht="18" customHeight="1" x14ac:dyDescent="0.3">
      <c r="A38" s="119"/>
      <c r="B38" s="120"/>
      <c r="C38" s="120"/>
      <c r="D38" s="120"/>
      <c r="E38" s="120"/>
      <c r="F38" s="120"/>
      <c r="G38" s="127"/>
      <c r="H38" s="127"/>
      <c r="I38" s="125"/>
      <c r="J38" s="127"/>
    </row>
    <row r="39" spans="1:10" s="117" customFormat="1" ht="15" customHeight="1" x14ac:dyDescent="0.3">
      <c r="A39" s="119"/>
      <c r="B39" s="909" t="str">
        <f ca="1">' '!A83</f>
        <v>Deadlines / Milestones (Go/NoGo)</v>
      </c>
      <c r="C39" s="909"/>
      <c r="D39" s="909"/>
      <c r="E39" s="909"/>
      <c r="F39" s="909"/>
      <c r="G39" s="909"/>
      <c r="H39" s="909"/>
      <c r="I39" s="912"/>
      <c r="J39" s="909"/>
    </row>
    <row r="40" spans="1:10" s="117" customFormat="1" x14ac:dyDescent="0.3">
      <c r="A40" s="119"/>
      <c r="B40" s="721" t="str">
        <f ca="1">' '!A84</f>
        <v>When?</v>
      </c>
      <c r="C40" s="721" t="str">
        <f ca="1">' '!A85</f>
        <v>What?</v>
      </c>
      <c r="D40" s="614"/>
      <c r="E40" s="614"/>
      <c r="F40" s="614"/>
      <c r="G40" s="721"/>
      <c r="H40" s="721" t="str">
        <f ca="1">' '!A86</f>
        <v>Who?</v>
      </c>
      <c r="I40" s="614"/>
      <c r="J40" s="721" t="str">
        <f ca="1">' '!A87</f>
        <v>Approved?</v>
      </c>
    </row>
    <row r="41" spans="1:10" s="117" customFormat="1" x14ac:dyDescent="0.3">
      <c r="A41" s="119" t="s">
        <v>12</v>
      </c>
      <c r="B41" s="923">
        <f ca="1">G4+20</f>
        <v>46069</v>
      </c>
      <c r="C41" s="1143"/>
      <c r="D41" s="1144"/>
      <c r="E41" s="1144"/>
      <c r="F41" s="1144"/>
      <c r="G41" s="1145"/>
      <c r="H41" s="924" t="str">
        <f t="shared" ref="H41:H48" ca="1" si="0">IF(B41&lt;&gt;"",$J$5,"")</f>
        <v>abc def (abc)</v>
      </c>
      <c r="I41" s="925">
        <f ca="1">IF(B41&lt;&gt;"",B41,"")</f>
        <v>46069</v>
      </c>
      <c r="J41" s="926" t="str">
        <f ca="1">IF(AND(B41&lt;&gt;"",$G$5&lt;&gt;""),$G$5,"")</f>
        <v>xyz xxx</v>
      </c>
    </row>
    <row r="42" spans="1:10" s="117" customFormat="1" x14ac:dyDescent="0.3">
      <c r="A42" s="119" t="s">
        <v>13</v>
      </c>
      <c r="B42" s="758"/>
      <c r="C42" s="1131"/>
      <c r="D42" s="1132"/>
      <c r="E42" s="1132"/>
      <c r="F42" s="1132"/>
      <c r="G42" s="1133"/>
      <c r="H42" s="759" t="str">
        <f t="shared" si="0"/>
        <v/>
      </c>
      <c r="I42" s="761" t="str">
        <f t="shared" ref="I42:I48" si="1">IF(B42&lt;&gt;"",B42,"")</f>
        <v/>
      </c>
      <c r="J42" s="760" t="str">
        <f t="shared" ref="J42:J48" si="2">IF(AND(B42&lt;&gt;"",$G$5&lt;&gt;""),$G$5,"")</f>
        <v/>
      </c>
    </row>
    <row r="43" spans="1:10" s="117" customFormat="1" x14ac:dyDescent="0.3">
      <c r="A43" s="119" t="s">
        <v>8</v>
      </c>
      <c r="B43" s="758"/>
      <c r="C43" s="1131"/>
      <c r="D43" s="1132"/>
      <c r="E43" s="1132"/>
      <c r="F43" s="1132"/>
      <c r="G43" s="1133"/>
      <c r="H43" s="759" t="str">
        <f t="shared" si="0"/>
        <v/>
      </c>
      <c r="I43" s="761" t="str">
        <f t="shared" si="1"/>
        <v/>
      </c>
      <c r="J43" s="760" t="str">
        <f t="shared" si="2"/>
        <v/>
      </c>
    </row>
    <row r="44" spans="1:10" s="117" customFormat="1" x14ac:dyDescent="0.3">
      <c r="A44" s="119" t="s">
        <v>9</v>
      </c>
      <c r="B44" s="758"/>
      <c r="C44" s="1131"/>
      <c r="D44" s="1132"/>
      <c r="E44" s="1132"/>
      <c r="F44" s="1132"/>
      <c r="G44" s="1133"/>
      <c r="H44" s="759" t="str">
        <f t="shared" si="0"/>
        <v/>
      </c>
      <c r="I44" s="761" t="str">
        <f t="shared" si="1"/>
        <v/>
      </c>
      <c r="J44" s="760" t="str">
        <f t="shared" si="2"/>
        <v/>
      </c>
    </row>
    <row r="45" spans="1:10" s="117" customFormat="1" x14ac:dyDescent="0.3">
      <c r="A45" s="119" t="s">
        <v>10</v>
      </c>
      <c r="B45" s="758"/>
      <c r="C45" s="1131"/>
      <c r="D45" s="1132"/>
      <c r="E45" s="1132"/>
      <c r="F45" s="1132"/>
      <c r="G45" s="1133"/>
      <c r="H45" s="759" t="str">
        <f t="shared" si="0"/>
        <v/>
      </c>
      <c r="I45" s="761" t="str">
        <f t="shared" si="1"/>
        <v/>
      </c>
      <c r="J45" s="760" t="str">
        <f t="shared" si="2"/>
        <v/>
      </c>
    </row>
    <row r="46" spans="1:10" s="117" customFormat="1" x14ac:dyDescent="0.3">
      <c r="A46" s="119" t="s">
        <v>11</v>
      </c>
      <c r="B46" s="758"/>
      <c r="C46" s="1131"/>
      <c r="D46" s="1132"/>
      <c r="E46" s="1132"/>
      <c r="F46" s="1132"/>
      <c r="G46" s="1133"/>
      <c r="H46" s="759" t="str">
        <f t="shared" si="0"/>
        <v/>
      </c>
      <c r="I46" s="761" t="str">
        <f t="shared" si="1"/>
        <v/>
      </c>
      <c r="J46" s="760" t="str">
        <f t="shared" si="2"/>
        <v/>
      </c>
    </row>
    <row r="47" spans="1:10" s="117" customFormat="1" x14ac:dyDescent="0.3">
      <c r="A47" s="119" t="s">
        <v>181</v>
      </c>
      <c r="B47" s="758"/>
      <c r="C47" s="1131"/>
      <c r="D47" s="1132"/>
      <c r="E47" s="1132"/>
      <c r="F47" s="1132"/>
      <c r="G47" s="1133"/>
      <c r="H47" s="759" t="str">
        <f t="shared" si="0"/>
        <v/>
      </c>
      <c r="I47" s="761" t="str">
        <f t="shared" si="1"/>
        <v/>
      </c>
      <c r="J47" s="760" t="str">
        <f t="shared" si="2"/>
        <v/>
      </c>
    </row>
    <row r="48" spans="1:10" s="117" customFormat="1" x14ac:dyDescent="0.3">
      <c r="A48" s="119" t="s">
        <v>182</v>
      </c>
      <c r="B48" s="758"/>
      <c r="C48" s="1131"/>
      <c r="D48" s="1132"/>
      <c r="E48" s="1132"/>
      <c r="F48" s="1132"/>
      <c r="G48" s="1133"/>
      <c r="H48" s="759" t="str">
        <f t="shared" si="0"/>
        <v/>
      </c>
      <c r="I48" s="761" t="str">
        <f t="shared" si="1"/>
        <v/>
      </c>
      <c r="J48" s="760" t="str">
        <f t="shared" si="2"/>
        <v/>
      </c>
    </row>
    <row r="49" spans="1:10" s="117" customFormat="1" ht="15" customHeight="1" x14ac:dyDescent="0.3">
      <c r="A49" s="119"/>
      <c r="B49" s="909" t="str">
        <f ca="1">' '!A88</f>
        <v>Remarks / attachments</v>
      </c>
      <c r="C49" s="909"/>
      <c r="D49" s="909"/>
      <c r="E49" s="909"/>
      <c r="F49" s="909"/>
      <c r="G49" s="909"/>
      <c r="H49" s="909"/>
      <c r="I49" s="909"/>
      <c r="J49" s="909"/>
    </row>
    <row r="50" spans="1:10" s="117" customFormat="1" x14ac:dyDescent="0.3">
      <c r="A50" s="119" t="s">
        <v>12</v>
      </c>
      <c r="B50" s="1141"/>
      <c r="C50" s="1141"/>
      <c r="D50" s="1141"/>
      <c r="E50" s="1141"/>
      <c r="F50" s="1141"/>
      <c r="G50" s="1141"/>
      <c r="H50" s="1141"/>
      <c r="I50" s="1141"/>
      <c r="J50" s="1141"/>
    </row>
    <row r="51" spans="1:10" s="117" customFormat="1" x14ac:dyDescent="0.3">
      <c r="A51" s="119" t="s">
        <v>13</v>
      </c>
      <c r="B51" s="1142"/>
      <c r="C51" s="1142"/>
      <c r="D51" s="1142"/>
      <c r="E51" s="1142"/>
      <c r="F51" s="1142"/>
      <c r="G51" s="1142"/>
      <c r="H51" s="1142"/>
      <c r="I51" s="1142"/>
      <c r="J51" s="1142"/>
    </row>
    <row r="52" spans="1:10" s="117" customFormat="1" x14ac:dyDescent="0.3">
      <c r="A52" s="119" t="s">
        <v>8</v>
      </c>
      <c r="B52" s="1142"/>
      <c r="C52" s="1142"/>
      <c r="D52" s="1142"/>
      <c r="E52" s="1142"/>
      <c r="F52" s="1142"/>
      <c r="G52" s="1142"/>
      <c r="H52" s="1142"/>
      <c r="I52" s="1142"/>
      <c r="J52" s="1142"/>
    </row>
    <row r="53" spans="1:10" s="117" customFormat="1" x14ac:dyDescent="0.3">
      <c r="A53" s="119" t="s">
        <v>9</v>
      </c>
      <c r="B53" s="1142"/>
      <c r="C53" s="1142"/>
      <c r="D53" s="1142"/>
      <c r="E53" s="1142"/>
      <c r="F53" s="1142"/>
      <c r="G53" s="1142"/>
      <c r="H53" s="1142"/>
      <c r="I53" s="1142"/>
      <c r="J53" s="1142"/>
    </row>
    <row r="54" spans="1:10" s="117" customFormat="1" x14ac:dyDescent="0.3">
      <c r="A54" s="703" t="s">
        <v>10</v>
      </c>
      <c r="B54" s="1142"/>
      <c r="C54" s="1142"/>
      <c r="D54" s="1142"/>
      <c r="E54" s="1142"/>
      <c r="F54" s="1142"/>
      <c r="G54" s="1142"/>
      <c r="H54" s="1142"/>
      <c r="I54" s="1142"/>
      <c r="J54" s="1142"/>
    </row>
    <row r="55" spans="1:10" s="117" customFormat="1" x14ac:dyDescent="0.3">
      <c r="A55" s="111"/>
      <c r="B55" s="909" t="str">
        <f ca="1">' '!A95</f>
        <v>Date</v>
      </c>
      <c r="C55" s="909"/>
      <c r="D55" s="909"/>
      <c r="E55" s="1137">
        <f ca="1">G4</f>
        <v>46049</v>
      </c>
      <c r="F55" s="1137"/>
      <c r="G55" s="1138"/>
      <c r="H55" s="1138"/>
      <c r="I55" s="1138"/>
      <c r="J55" s="1138"/>
    </row>
    <row r="56" spans="1:10" s="117" customFormat="1" ht="21.75" customHeight="1" x14ac:dyDescent="0.3">
      <c r="A56" s="111"/>
      <c r="B56" s="909" t="str">
        <f ca="1">' '!A96</f>
        <v>Client signature</v>
      </c>
      <c r="C56" s="909"/>
      <c r="D56" s="909"/>
      <c r="E56" s="1139"/>
      <c r="F56" s="1139"/>
      <c r="G56" s="1139"/>
      <c r="H56" s="1139"/>
      <c r="I56" s="1139"/>
      <c r="J56" s="1139"/>
    </row>
    <row r="57" spans="1:10" s="117" customFormat="1" ht="29.25" customHeight="1" x14ac:dyDescent="0.3">
      <c r="A57" s="111"/>
      <c r="B57" s="909" t="str">
        <f ca="1">' '!A97</f>
        <v>Project manager signature</v>
      </c>
      <c r="C57" s="909"/>
      <c r="D57" s="909"/>
      <c r="E57" s="1140"/>
      <c r="F57" s="1140"/>
      <c r="G57" s="1140"/>
      <c r="H57" s="1140"/>
      <c r="I57" s="1140"/>
      <c r="J57" s="1140"/>
    </row>
    <row r="58" spans="1:10" s="117" customFormat="1" x14ac:dyDescent="0.3">
      <c r="A58" s="111"/>
      <c r="B58" s="129" t="s">
        <v>1136</v>
      </c>
      <c r="C58" s="78"/>
    </row>
  </sheetData>
  <sheetProtection sheet="1" objects="1" scenarios="1" formatCells="0" formatColumns="0" formatRows="0" insertHyperlinks="0" selectLockedCells="1" sort="0" autoFilter="0"/>
  <mergeCells count="39">
    <mergeCell ref="C46:G46"/>
    <mergeCell ref="E55:J55"/>
    <mergeCell ref="E56:J56"/>
    <mergeCell ref="E57:J57"/>
    <mergeCell ref="B24:J24"/>
    <mergeCell ref="B26:J26"/>
    <mergeCell ref="B25:J25"/>
    <mergeCell ref="B50:J50"/>
    <mergeCell ref="B51:J51"/>
    <mergeCell ref="B52:J52"/>
    <mergeCell ref="B53:J53"/>
    <mergeCell ref="B54:J54"/>
    <mergeCell ref="C41:G41"/>
    <mergeCell ref="C47:G47"/>
    <mergeCell ref="C48:G48"/>
    <mergeCell ref="C42:G42"/>
    <mergeCell ref="C43:G43"/>
    <mergeCell ref="C44:G44"/>
    <mergeCell ref="C45:G45"/>
    <mergeCell ref="B10:J14"/>
    <mergeCell ref="B23:J23"/>
    <mergeCell ref="B27:J27"/>
    <mergeCell ref="B21:J21"/>
    <mergeCell ref="B16:J16"/>
    <mergeCell ref="B17:J17"/>
    <mergeCell ref="B18:J18"/>
    <mergeCell ref="B19:J19"/>
    <mergeCell ref="B20:J20"/>
    <mergeCell ref="B6:C6"/>
    <mergeCell ref="E6:F6"/>
    <mergeCell ref="H6:I6"/>
    <mergeCell ref="B7:C7"/>
    <mergeCell ref="D7:J7"/>
    <mergeCell ref="B4:C4"/>
    <mergeCell ref="E4:F4"/>
    <mergeCell ref="H4:I4"/>
    <mergeCell ref="B5:C5"/>
    <mergeCell ref="E5:F5"/>
    <mergeCell ref="H5:I5"/>
  </mergeCells>
  <conditionalFormatting sqref="J4">
    <cfRule type="expression" dxfId="193" priority="88">
      <formula>AND($J$4&lt;=$G$4)</formula>
    </cfRule>
  </conditionalFormatting>
  <conditionalFormatting sqref="J31 J33 J35">
    <cfRule type="cellIs" dxfId="192" priority="48" operator="lessThan">
      <formula>0</formula>
    </cfRule>
  </conditionalFormatting>
  <conditionalFormatting sqref="B41:J48">
    <cfRule type="expression" dxfId="191" priority="47">
      <formula>MOD(ROW(A2),2)=0</formula>
    </cfRule>
  </conditionalFormatting>
  <conditionalFormatting sqref="J37">
    <cfRule type="cellIs" dxfId="190" priority="45" operator="lessThan">
      <formula>0</formula>
    </cfRule>
  </conditionalFormatting>
  <conditionalFormatting sqref="G4">
    <cfRule type="expression" dxfId="189" priority="43">
      <formula>AND($G$4="")</formula>
    </cfRule>
  </conditionalFormatting>
  <conditionalFormatting sqref="I9">
    <cfRule type="colorScale" priority="35">
      <colorScale>
        <cfvo type="num" val="1"/>
        <cfvo type="num" val="2"/>
        <cfvo type="num" val="3"/>
        <color theme="6" tint="0.39997558519241921"/>
        <color rgb="FFFFEB84"/>
        <color theme="5" tint="0.39997558519241921"/>
      </colorScale>
    </cfRule>
    <cfRule type="iconSet" priority="36">
      <iconSet iconSet="3Symbols2" showValue="0" reverse="1">
        <cfvo type="percent" val="0"/>
        <cfvo type="num" val="1.25"/>
        <cfvo type="num" val="2.25"/>
      </iconSet>
    </cfRule>
  </conditionalFormatting>
  <conditionalFormatting sqref="K16">
    <cfRule type="expression" dxfId="188" priority="21">
      <formula>$A16=1</formula>
    </cfRule>
    <cfRule type="expression" dxfId="187" priority="22">
      <formula>$A16=2</formula>
    </cfRule>
    <cfRule type="expression" dxfId="186" priority="23">
      <formula>$A16=3</formula>
    </cfRule>
    <cfRule type="expression" dxfId="185" priority="24">
      <formula>$A16=4</formula>
    </cfRule>
    <cfRule type="expression" dxfId="184" priority="25">
      <formula>$A16=5</formula>
    </cfRule>
    <cfRule type="expression" dxfId="183" priority="26">
      <formula>$A16=6</formula>
    </cfRule>
    <cfRule type="expression" dxfId="182" priority="27">
      <formula>$A16=7</formula>
    </cfRule>
    <cfRule type="expression" dxfId="181" priority="28">
      <formula>$A16=8</formula>
    </cfRule>
    <cfRule type="expression" dxfId="180" priority="29">
      <formula>$A16=9</formula>
    </cfRule>
    <cfRule type="expression" dxfId="179" priority="30">
      <formula>$A16=10</formula>
    </cfRule>
  </conditionalFormatting>
  <conditionalFormatting sqref="K17:K21">
    <cfRule type="expression" dxfId="178" priority="11">
      <formula>$A17=1</formula>
    </cfRule>
    <cfRule type="expression" dxfId="177" priority="12">
      <formula>$A17=2</formula>
    </cfRule>
    <cfRule type="expression" dxfId="176" priority="13">
      <formula>$A17=3</formula>
    </cfRule>
    <cfRule type="expression" dxfId="175" priority="14">
      <formula>$A17=4</formula>
    </cfRule>
    <cfRule type="expression" dxfId="174" priority="15">
      <formula>$A17=5</formula>
    </cfRule>
    <cfRule type="expression" dxfId="173" priority="16">
      <formula>$A17=6</formula>
    </cfRule>
    <cfRule type="expression" dxfId="172" priority="17">
      <formula>$A17=7</formula>
    </cfRule>
    <cfRule type="expression" dxfId="171" priority="18">
      <formula>$A17=8</formula>
    </cfRule>
    <cfRule type="expression" dxfId="170" priority="19">
      <formula>$A17=9</formula>
    </cfRule>
    <cfRule type="expression" dxfId="169" priority="20">
      <formula>$A17=10</formula>
    </cfRule>
  </conditionalFormatting>
  <conditionalFormatting sqref="I15">
    <cfRule type="colorScale" priority="9">
      <colorScale>
        <cfvo type="num" val="1"/>
        <cfvo type="num" val="2"/>
        <cfvo type="num" val="3"/>
        <color theme="6" tint="0.39997558519241921"/>
        <color rgb="FFFFEB84"/>
        <color theme="5" tint="0.39997558519241921"/>
      </colorScale>
    </cfRule>
    <cfRule type="iconSet" priority="10">
      <iconSet iconSet="3Symbols2" showValue="0" reverse="1">
        <cfvo type="percent" val="0"/>
        <cfvo type="num" val="1.25"/>
        <cfvo type="num" val="2.25"/>
      </iconSet>
    </cfRule>
  </conditionalFormatting>
  <conditionalFormatting sqref="I22">
    <cfRule type="colorScale" priority="5">
      <colorScale>
        <cfvo type="num" val="1"/>
        <cfvo type="num" val="2"/>
        <cfvo type="num" val="3"/>
        <color theme="6" tint="0.39997558519241921"/>
        <color rgb="FFFFEB84"/>
        <color theme="5" tint="0.39997558519241921"/>
      </colorScale>
    </cfRule>
    <cfRule type="iconSet" priority="6">
      <iconSet iconSet="3Symbols2" showValue="0" reverse="1">
        <cfvo type="percent" val="0"/>
        <cfvo type="num" val="1.25"/>
        <cfvo type="num" val="2.25"/>
      </iconSet>
    </cfRule>
  </conditionalFormatting>
  <conditionalFormatting sqref="I29">
    <cfRule type="colorScale" priority="3">
      <colorScale>
        <cfvo type="num" val="1"/>
        <cfvo type="num" val="2"/>
        <cfvo type="num" val="3"/>
        <color theme="6" tint="0.39997558519241921"/>
        <color rgb="FFFFEB84"/>
        <color theme="5" tint="0.39997558519241921"/>
      </colorScale>
    </cfRule>
    <cfRule type="iconSet" priority="4">
      <iconSet iconSet="3Symbols2" showValue="0" reverse="1">
        <cfvo type="percent" val="0"/>
        <cfvo type="num" val="1.25"/>
        <cfvo type="num" val="2.25"/>
      </iconSet>
    </cfRule>
  </conditionalFormatting>
  <conditionalFormatting sqref="I39">
    <cfRule type="colorScale" priority="1">
      <colorScale>
        <cfvo type="num" val="1"/>
        <cfvo type="num" val="2"/>
        <cfvo type="num" val="3"/>
        <color theme="6" tint="0.39997558519241921"/>
        <color rgb="FFFFEB84"/>
        <color theme="5" tint="0.39997558519241921"/>
      </colorScale>
    </cfRule>
    <cfRule type="iconSet" priority="2">
      <iconSet iconSet="3Symbols2" showValue="0" reverse="1">
        <cfvo type="percent" val="0"/>
        <cfvo type="num" val="1.25"/>
        <cfvo type="num" val="2.25"/>
      </iconSet>
    </cfRule>
  </conditionalFormatting>
  <dataValidations count="5">
    <dataValidation type="date" operator="greaterThan" allowBlank="1" showInputMessage="1" showErrorMessage="1" errorTitle="Falsches Datum! Fausse date!" sqref="G4" xr:uid="{00000000-0002-0000-0100-000000000000}">
      <formula1>40858</formula1>
    </dataValidation>
    <dataValidation type="date" operator="greaterThanOrEqual" allowBlank="1" showInputMessage="1" showErrorMessage="1" errorTitle="Date must be later then begin" sqref="J4" xr:uid="{00000000-0002-0000-0100-000001000000}">
      <formula1>G4</formula1>
    </dataValidation>
    <dataValidation type="date" operator="greaterThanOrEqual" allowBlank="1" showInputMessage="1" showErrorMessage="1" errorTitle="Falsches Datum! Fausse date!" error="Datum muss grösser als Projektbeginn sein!_x000a_La date doit être plus grande que la date du début du projet!" sqref="B41:B48" xr:uid="{00000000-0002-0000-0100-000002000000}">
      <formula1>$G$47</formula1>
    </dataValidation>
    <dataValidation type="date" errorStyle="warning" operator="greaterThanOrEqual" allowBlank="1" showInputMessage="1" showErrorMessage="1" errorTitle="Falsches Datum - Fausse date" sqref="G6" xr:uid="{00000000-0002-0000-0100-000003000000}">
      <formula1>TODAY()</formula1>
    </dataValidation>
    <dataValidation allowBlank="1" showInputMessage="1" showErrorMessage="1" errorTitle="Name is not in the list!" error="Um einen Namen in der Liste hinzuzufügen vervollstgändigen Sie die Liste mit dem Projektteam._x000a__x000a_Pour ajouter un nom dans la liste, veuillez ajouter cette personne dans la liste de l'équipe de projet." sqref="G5" xr:uid="{00000000-0002-0000-0100-000004000000}"/>
  </dataValidations>
  <pageMargins left="0.19685039370078741" right="0.19685039370078741" top="0.23622047244094491" bottom="0.23622047244094491" header="0" footer="0.19685039370078741"/>
  <pageSetup paperSize="9" scale="91" orientation="portrait" r:id="rId1"/>
  <headerFooter scaleWithDoc="0">
    <oddFooter>&amp;L&amp;8&amp;K01+049(c) s. imboden&amp;C&amp;8&amp;K01+049printed &amp;D&amp;R&amp;8&amp;K03+000&amp;P/&amp;N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89" id="{3A08837D-2837-485A-ADD8-9B7B829817FE}">
            <x14:iconSet iconSet="3Signs" showValue="0" custom="1">
              <x14:cfvo type="percent">
                <xm:f>0</xm:f>
              </x14:cfvo>
              <x14:cfvo type="num">
                <xm:f>0</xm:f>
              </x14:cfvo>
              <x14:cfvo type="percentile">
                <xm:f>0</xm:f>
              </x14:cfvo>
              <x14:cfIcon iconSet="3Signs" iconId="0"/>
              <x14:cfIcon iconSet="3Signs" iconId="0"/>
              <x14:cfIcon iconSet="3Signs" iconId="0"/>
            </x14:iconSet>
          </x14:cfRule>
          <xm:sqref>I41:I48</xm:sqref>
        </x14:conditionalFormatting>
        <x14:conditionalFormatting xmlns:xm="http://schemas.microsoft.com/office/excel/2006/main">
          <x14:cfRule type="iconSet" priority="46" id="{06CFA383-B0A7-4009-9BF7-B75EFEB43EFA}">
            <x14:iconSet showValue="0" custom="1">
              <x14:cfvo type="percent">
                <xm:f>0</xm:f>
              </x14:cfvo>
              <x14:cfvo type="num">
                <xm:f>80</xm:f>
              </x14:cfvo>
              <x14:cfvo type="num">
                <xm:f>100</xm:f>
              </x14:cfvo>
              <x14:cfIcon iconSet="3Symbols" iconId="2"/>
              <x14:cfIcon iconSet="3Symbols" iconId="1"/>
              <x14:cfIcon iconSet="3Symbols" iconId="0"/>
            </x14:iconSet>
          </x14:cfRule>
          <xm:sqref>I37</xm:sqref>
        </x14:conditionalFormatting>
        <x14:conditionalFormatting xmlns:xm="http://schemas.microsoft.com/office/excel/2006/main">
          <x14:cfRule type="iconSet" priority="12668" id="{F93E4E76-F2E9-4806-98A9-DAA858F246EF}">
            <x14:iconSet showValue="0" custom="1">
              <x14:cfvo type="percent">
                <xm:f>0</xm:f>
              </x14:cfvo>
              <x14:cfvo type="num" gte="0">
                <xm:f>90</xm:f>
              </x14:cfvo>
              <x14:cfvo type="num" gte="0">
                <xm:f>100</xm:f>
              </x14:cfvo>
              <x14:cfIcon iconSet="3Symbols" iconId="2"/>
              <x14:cfIcon iconSet="3Symbols" iconId="1"/>
              <x14:cfIcon iconSet="3Symbols" iconId="0"/>
            </x14:iconSet>
          </x14:cfRule>
          <xm:sqref>I31 I33 I35</xm:sqref>
        </x14:conditionalFormatting>
      </x14:conditionalFormattings>
    </ext>
    <ext xmlns:x14="http://schemas.microsoft.com/office/spreadsheetml/2009/9/main" uri="{CCE6A557-97BC-4b89-ADB6-D9C93CAAB3DF}">
      <x14:dataValidations xmlns:xm="http://schemas.microsoft.com/office/excel/2006/main" count="3">
        <x14:dataValidation type="list" errorStyle="warning" allowBlank="1" showErrorMessage="1" errorTitle="Name is not in the list!" error="Um einen Namen in der Liste hinzuzufügen vervollstgändigen Sie die Liste mit dem Projektteam._x000a__x000a_Pour ajouter un nom dans la liste, veuillez ajouter cette personne dans la liste de l'équipe de projet." xr:uid="{00000000-0002-0000-0100-000005000000}">
          <x14:formula1>
            <xm:f>Projektteam!$D$10:$D$31</xm:f>
          </x14:formula1>
          <xm:sqref>H41:H48</xm:sqref>
        </x14:dataValidation>
        <x14:dataValidation type="list" errorStyle="warning" allowBlank="1" showInputMessage="1" showErrorMessage="1" error="Dieser Name existiert nicht in der Liste des Teams! _x000a_Ce nom n'existe pas dans la liste de l'équipe du team!" xr:uid="{00000000-0002-0000-0100-000006000000}">
          <x14:formula1>
            <xm:f>Projektteam!$AZ$10:$AZ$31</xm:f>
          </x14:formula1>
          <xm:sqref>J6</xm:sqref>
        </x14:dataValidation>
        <x14:dataValidation type="list" allowBlank="1" showInputMessage="1" showErrorMessage="1" errorTitle="Name is not in the list?" error="Um einen Namen in der Liste hinzuzufügen vervollstgändigen Sie die Liste mit dem Projektteam._x000a__x000a_Pour ajouter un nom dans la liste, veuillez ajouter cette personne dans la liste de l'équipe de projet." xr:uid="{00000000-0002-0000-0100-000007000000}">
          <x14:formula1>
            <xm:f>Projektteam!$AZ$10:$AZ$31</xm:f>
          </x14:formula1>
          <xm:sqref>J5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106DA-0AAD-49C3-8FC0-13D43D05B20E}">
  <sheetPr codeName="Konzept2">
    <tabColor theme="3" tint="0.59999389629810485"/>
    <pageSetUpPr fitToPage="1"/>
  </sheetPr>
  <dimension ref="A1:H36"/>
  <sheetViews>
    <sheetView showGridLines="0" zoomScaleNormal="100" workbookViewId="0">
      <pane ySplit="1" topLeftCell="A2" activePane="bottomLeft" state="frozen"/>
      <selection activeCell="C28" sqref="C28"/>
      <selection pane="bottomLeft" activeCell="A10" sqref="A10"/>
    </sheetView>
  </sheetViews>
  <sheetFormatPr baseColWidth="10" defaultColWidth="11.44140625" defaultRowHeight="14.4" x14ac:dyDescent="0.3"/>
  <cols>
    <col min="1" max="1" width="7" style="111" customWidth="1"/>
    <col min="2" max="2" width="4" style="75" customWidth="1"/>
    <col min="3" max="3" width="3.109375" style="75" customWidth="1"/>
    <col min="4" max="4" width="89.5546875" style="75" customWidth="1"/>
    <col min="5" max="5" width="18.109375" style="75" customWidth="1"/>
    <col min="6" max="6" width="22.109375" style="75" customWidth="1"/>
    <col min="7" max="7" width="3.109375" style="75" customWidth="1"/>
    <col min="8" max="8" width="17.88671875" style="75" customWidth="1"/>
    <col min="9" max="9" width="3.109375" style="75" customWidth="1"/>
    <col min="10" max="16384" width="11.44140625" style="75"/>
  </cols>
  <sheetData>
    <row r="1" spans="1:8" s="70" customFormat="1" ht="45" customHeight="1" x14ac:dyDescent="0.6">
      <c r="A1" s="497"/>
      <c r="B1" s="825" t="str">
        <f ca="1">' '!A381&amp;"  ("&amp;Projektauftrag!D5&amp;")"</f>
        <v>Roadmap  (Projet Agile 1)</v>
      </c>
      <c r="C1" s="71"/>
      <c r="D1" s="71"/>
      <c r="E1" s="908"/>
      <c r="F1" s="73"/>
      <c r="G1" s="71"/>
      <c r="H1" s="73"/>
    </row>
    <row r="2" spans="1:8" ht="10.5" customHeight="1" x14ac:dyDescent="0.3"/>
    <row r="3" spans="1:8" ht="18" customHeight="1" x14ac:dyDescent="0.3"/>
    <row r="4" spans="1:8" ht="10.5" customHeight="1" x14ac:dyDescent="0.3"/>
    <row r="5" spans="1:8" ht="10.5" customHeight="1" x14ac:dyDescent="0.3"/>
    <row r="10" spans="1:8" x14ac:dyDescent="0.3">
      <c r="A10" s="128"/>
    </row>
    <row r="36" spans="1:1" x14ac:dyDescent="0.3">
      <c r="A36" s="855" t="s">
        <v>1136</v>
      </c>
    </row>
  </sheetData>
  <sheetProtection sheet="1" scenarios="1" formatCells="0" formatColumns="0" formatRows="0" insertColumns="0" insertRows="0" insertHyperlinks="0" deleteColumns="0" deleteRows="0" selectLockedCells="1" sort="0" autoFilter="0"/>
  <pageMargins left="0.19685039370078741" right="0.19685039370078741" top="0.31496062992125984" bottom="0.43307086614173229" header="0" footer="0.19685039370078741"/>
  <pageSetup paperSize="9" scale="87" orientation="landscape" r:id="rId1"/>
  <headerFooter scaleWithDoc="0">
    <oddFooter>&amp;L&amp;8&amp;K01+049(c) s. imboden&amp;C&amp;8&amp;K01+049printed &amp;D&amp;R&amp;8&amp;K03+000&amp;P/&amp;N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Detailplan">
    <tabColor theme="3" tint="0.59999389629810485"/>
  </sheetPr>
  <dimension ref="A1:ABT224"/>
  <sheetViews>
    <sheetView showGridLines="0" zoomScaleNormal="100" workbookViewId="0">
      <pane xSplit="16" ySplit="8" topLeftCell="Q9" activePane="bottomRight" state="frozen"/>
      <selection activeCell="C28" sqref="C28"/>
      <selection pane="topRight" activeCell="C28" sqref="C28"/>
      <selection pane="bottomLeft" activeCell="C28" sqref="C28"/>
      <selection pane="bottomRight"/>
    </sheetView>
  </sheetViews>
  <sheetFormatPr baseColWidth="10" defaultColWidth="3.88671875" defaultRowHeight="15.6" x14ac:dyDescent="0.3"/>
  <cols>
    <col min="1" max="1" width="7.88671875" style="139" customWidth="1"/>
    <col min="2" max="2" width="5.6640625" style="141" customWidth="1"/>
    <col min="3" max="3" width="11.33203125" style="141" bestFit="1" customWidth="1"/>
    <col min="4" max="4" width="26.5546875" style="141" customWidth="1"/>
    <col min="5" max="5" width="59.88671875" style="142" customWidth="1"/>
    <col min="6" max="6" width="8" style="142" bestFit="1" customWidth="1"/>
    <col min="7" max="7" width="6.44140625" style="142" bestFit="1" customWidth="1"/>
    <col min="8" max="8" width="11.33203125" style="142" bestFit="1" customWidth="1"/>
    <col min="9" max="9" width="5.88671875" style="142" customWidth="1"/>
    <col min="10" max="10" width="11.33203125" style="142" bestFit="1" customWidth="1"/>
    <col min="11" max="11" width="6.5546875" style="142" customWidth="1"/>
    <col min="12" max="12" width="14.5546875" style="148" customWidth="1"/>
    <col min="13" max="13" width="5.44140625" style="142" customWidth="1"/>
    <col min="14" max="14" width="7.33203125" style="142" bestFit="1" customWidth="1"/>
    <col min="15" max="15" width="11.109375" style="968" bestFit="1" customWidth="1"/>
    <col min="16" max="16" width="6.33203125" style="968" bestFit="1" customWidth="1"/>
    <col min="17" max="18" width="7.109375" style="142" customWidth="1"/>
    <col min="19" max="21" width="7.109375" style="142" hidden="1" customWidth="1"/>
    <col min="22" max="23" width="7.109375" style="142" customWidth="1"/>
    <col min="24" max="24" width="21.44140625" style="142" customWidth="1"/>
    <col min="25" max="26" width="3.88671875" style="142" customWidth="1"/>
    <col min="27" max="27" width="6.6640625" style="142" customWidth="1"/>
    <col min="28" max="28" width="3.88671875" style="142" customWidth="1"/>
    <col min="29" max="29" width="6.44140625" style="142" customWidth="1"/>
    <col min="30" max="31" width="3.88671875" style="142" customWidth="1"/>
    <col min="32" max="32" width="7" style="142" bestFit="1" customWidth="1"/>
    <col min="33" max="33" width="6.44140625" style="142" customWidth="1"/>
    <col min="34" max="47" width="3.88671875" style="142"/>
    <col min="48" max="48" width="13.5546875" style="142" customWidth="1"/>
    <col min="49" max="49" width="9.5546875" style="142" customWidth="1"/>
    <col min="50" max="303" width="3.88671875" style="142"/>
    <col min="304" max="304" width="13.5546875" style="142" customWidth="1"/>
    <col min="305" max="305" width="9.5546875" style="142" customWidth="1"/>
    <col min="306" max="559" width="3.88671875" style="142"/>
    <col min="560" max="560" width="13.5546875" style="142" customWidth="1"/>
    <col min="561" max="561" width="9.5546875" style="142" customWidth="1"/>
    <col min="562" max="815" width="3.88671875" style="142"/>
    <col min="816" max="816" width="13.5546875" style="142" customWidth="1"/>
    <col min="817" max="817" width="9.5546875" style="142" customWidth="1"/>
    <col min="818" max="1071" width="3.88671875" style="142"/>
    <col min="1072" max="1072" width="13.5546875" style="142" customWidth="1"/>
    <col min="1073" max="1073" width="9.5546875" style="142" customWidth="1"/>
    <col min="1074" max="1327" width="3.88671875" style="142"/>
    <col min="1328" max="1328" width="13.5546875" style="142" customWidth="1"/>
    <col min="1329" max="1329" width="9.5546875" style="142" customWidth="1"/>
    <col min="1330" max="1583" width="3.88671875" style="142"/>
    <col min="1584" max="1584" width="13.5546875" style="142" customWidth="1"/>
    <col min="1585" max="1585" width="9.5546875" style="142" customWidth="1"/>
    <col min="1586" max="1839" width="3.88671875" style="142"/>
    <col min="1840" max="1840" width="13.5546875" style="142" customWidth="1"/>
    <col min="1841" max="1841" width="9.5546875" style="142" customWidth="1"/>
    <col min="1842" max="2095" width="3.88671875" style="142"/>
    <col min="2096" max="2096" width="13.5546875" style="142" customWidth="1"/>
    <col min="2097" max="2097" width="9.5546875" style="142" customWidth="1"/>
    <col min="2098" max="2351" width="3.88671875" style="142"/>
    <col min="2352" max="2352" width="13.5546875" style="142" customWidth="1"/>
    <col min="2353" max="2353" width="9.5546875" style="142" customWidth="1"/>
    <col min="2354" max="2607" width="3.88671875" style="142"/>
    <col min="2608" max="2608" width="13.5546875" style="142" customWidth="1"/>
    <col min="2609" max="2609" width="9.5546875" style="142" customWidth="1"/>
    <col min="2610" max="2863" width="3.88671875" style="142"/>
    <col min="2864" max="2864" width="13.5546875" style="142" customWidth="1"/>
    <col min="2865" max="2865" width="9.5546875" style="142" customWidth="1"/>
    <col min="2866" max="3119" width="3.88671875" style="142"/>
    <col min="3120" max="3120" width="13.5546875" style="142" customWidth="1"/>
    <col min="3121" max="3121" width="9.5546875" style="142" customWidth="1"/>
    <col min="3122" max="3375" width="3.88671875" style="142"/>
    <col min="3376" max="3376" width="13.5546875" style="142" customWidth="1"/>
    <col min="3377" max="3377" width="9.5546875" style="142" customWidth="1"/>
    <col min="3378" max="3631" width="3.88671875" style="142"/>
    <col min="3632" max="3632" width="13.5546875" style="142" customWidth="1"/>
    <col min="3633" max="3633" width="9.5546875" style="142" customWidth="1"/>
    <col min="3634" max="3887" width="3.88671875" style="142"/>
    <col min="3888" max="3888" width="13.5546875" style="142" customWidth="1"/>
    <col min="3889" max="3889" width="9.5546875" style="142" customWidth="1"/>
    <col min="3890" max="4143" width="3.88671875" style="142"/>
    <col min="4144" max="4144" width="13.5546875" style="142" customWidth="1"/>
    <col min="4145" max="4145" width="9.5546875" style="142" customWidth="1"/>
    <col min="4146" max="4399" width="3.88671875" style="142"/>
    <col min="4400" max="4400" width="13.5546875" style="142" customWidth="1"/>
    <col min="4401" max="4401" width="9.5546875" style="142" customWidth="1"/>
    <col min="4402" max="4655" width="3.88671875" style="142"/>
    <col min="4656" max="4656" width="13.5546875" style="142" customWidth="1"/>
    <col min="4657" max="4657" width="9.5546875" style="142" customWidth="1"/>
    <col min="4658" max="4911" width="3.88671875" style="142"/>
    <col min="4912" max="4912" width="13.5546875" style="142" customWidth="1"/>
    <col min="4913" max="4913" width="9.5546875" style="142" customWidth="1"/>
    <col min="4914" max="5167" width="3.88671875" style="142"/>
    <col min="5168" max="5168" width="13.5546875" style="142" customWidth="1"/>
    <col min="5169" max="5169" width="9.5546875" style="142" customWidth="1"/>
    <col min="5170" max="5423" width="3.88671875" style="142"/>
    <col min="5424" max="5424" width="13.5546875" style="142" customWidth="1"/>
    <col min="5425" max="5425" width="9.5546875" style="142" customWidth="1"/>
    <col min="5426" max="5679" width="3.88671875" style="142"/>
    <col min="5680" max="5680" width="13.5546875" style="142" customWidth="1"/>
    <col min="5681" max="5681" width="9.5546875" style="142" customWidth="1"/>
    <col min="5682" max="5935" width="3.88671875" style="142"/>
    <col min="5936" max="5936" width="13.5546875" style="142" customWidth="1"/>
    <col min="5937" max="5937" width="9.5546875" style="142" customWidth="1"/>
    <col min="5938" max="6191" width="3.88671875" style="142"/>
    <col min="6192" max="6192" width="13.5546875" style="142" customWidth="1"/>
    <col min="6193" max="6193" width="9.5546875" style="142" customWidth="1"/>
    <col min="6194" max="6447" width="3.88671875" style="142"/>
    <col min="6448" max="6448" width="13.5546875" style="142" customWidth="1"/>
    <col min="6449" max="6449" width="9.5546875" style="142" customWidth="1"/>
    <col min="6450" max="6703" width="3.88671875" style="142"/>
    <col min="6704" max="6704" width="13.5546875" style="142" customWidth="1"/>
    <col min="6705" max="6705" width="9.5546875" style="142" customWidth="1"/>
    <col min="6706" max="6959" width="3.88671875" style="142"/>
    <col min="6960" max="6960" width="13.5546875" style="142" customWidth="1"/>
    <col min="6961" max="6961" width="9.5546875" style="142" customWidth="1"/>
    <col min="6962" max="7215" width="3.88671875" style="142"/>
    <col min="7216" max="7216" width="13.5546875" style="142" customWidth="1"/>
    <col min="7217" max="7217" width="9.5546875" style="142" customWidth="1"/>
    <col min="7218" max="7471" width="3.88671875" style="142"/>
    <col min="7472" max="7472" width="13.5546875" style="142" customWidth="1"/>
    <col min="7473" max="7473" width="9.5546875" style="142" customWidth="1"/>
    <col min="7474" max="7727" width="3.88671875" style="142"/>
    <col min="7728" max="7728" width="13.5546875" style="142" customWidth="1"/>
    <col min="7729" max="7729" width="9.5546875" style="142" customWidth="1"/>
    <col min="7730" max="7983" width="3.88671875" style="142"/>
    <col min="7984" max="7984" width="13.5546875" style="142" customWidth="1"/>
    <col min="7985" max="7985" width="9.5546875" style="142" customWidth="1"/>
    <col min="7986" max="8239" width="3.88671875" style="142"/>
    <col min="8240" max="8240" width="13.5546875" style="142" customWidth="1"/>
    <col min="8241" max="8241" width="9.5546875" style="142" customWidth="1"/>
    <col min="8242" max="8495" width="3.88671875" style="142"/>
    <col min="8496" max="8496" width="13.5546875" style="142" customWidth="1"/>
    <col min="8497" max="8497" width="9.5546875" style="142" customWidth="1"/>
    <col min="8498" max="8751" width="3.88671875" style="142"/>
    <col min="8752" max="8752" width="13.5546875" style="142" customWidth="1"/>
    <col min="8753" max="8753" width="9.5546875" style="142" customWidth="1"/>
    <col min="8754" max="9007" width="3.88671875" style="142"/>
    <col min="9008" max="9008" width="13.5546875" style="142" customWidth="1"/>
    <col min="9009" max="9009" width="9.5546875" style="142" customWidth="1"/>
    <col min="9010" max="9263" width="3.88671875" style="142"/>
    <col min="9264" max="9264" width="13.5546875" style="142" customWidth="1"/>
    <col min="9265" max="9265" width="9.5546875" style="142" customWidth="1"/>
    <col min="9266" max="9519" width="3.88671875" style="142"/>
    <col min="9520" max="9520" width="13.5546875" style="142" customWidth="1"/>
    <col min="9521" max="9521" width="9.5546875" style="142" customWidth="1"/>
    <col min="9522" max="9775" width="3.88671875" style="142"/>
    <col min="9776" max="9776" width="13.5546875" style="142" customWidth="1"/>
    <col min="9777" max="9777" width="9.5546875" style="142" customWidth="1"/>
    <col min="9778" max="10031" width="3.88671875" style="142"/>
    <col min="10032" max="10032" width="13.5546875" style="142" customWidth="1"/>
    <col min="10033" max="10033" width="9.5546875" style="142" customWidth="1"/>
    <col min="10034" max="10287" width="3.88671875" style="142"/>
    <col min="10288" max="10288" width="13.5546875" style="142" customWidth="1"/>
    <col min="10289" max="10289" width="9.5546875" style="142" customWidth="1"/>
    <col min="10290" max="10543" width="3.88671875" style="142"/>
    <col min="10544" max="10544" width="13.5546875" style="142" customWidth="1"/>
    <col min="10545" max="10545" width="9.5546875" style="142" customWidth="1"/>
    <col min="10546" max="10799" width="3.88671875" style="142"/>
    <col min="10800" max="10800" width="13.5546875" style="142" customWidth="1"/>
    <col min="10801" max="10801" width="9.5546875" style="142" customWidth="1"/>
    <col min="10802" max="11055" width="3.88671875" style="142"/>
    <col min="11056" max="11056" width="13.5546875" style="142" customWidth="1"/>
    <col min="11057" max="11057" width="9.5546875" style="142" customWidth="1"/>
    <col min="11058" max="11311" width="3.88671875" style="142"/>
    <col min="11312" max="11312" width="13.5546875" style="142" customWidth="1"/>
    <col min="11313" max="11313" width="9.5546875" style="142" customWidth="1"/>
    <col min="11314" max="11567" width="3.88671875" style="142"/>
    <col min="11568" max="11568" width="13.5546875" style="142" customWidth="1"/>
    <col min="11569" max="11569" width="9.5546875" style="142" customWidth="1"/>
    <col min="11570" max="11823" width="3.88671875" style="142"/>
    <col min="11824" max="11824" width="13.5546875" style="142" customWidth="1"/>
    <col min="11825" max="11825" width="9.5546875" style="142" customWidth="1"/>
    <col min="11826" max="12079" width="3.88671875" style="142"/>
    <col min="12080" max="12080" width="13.5546875" style="142" customWidth="1"/>
    <col min="12081" max="12081" width="9.5546875" style="142" customWidth="1"/>
    <col min="12082" max="12335" width="3.88671875" style="142"/>
    <col min="12336" max="12336" width="13.5546875" style="142" customWidth="1"/>
    <col min="12337" max="12337" width="9.5546875" style="142" customWidth="1"/>
    <col min="12338" max="12591" width="3.88671875" style="142"/>
    <col min="12592" max="12592" width="13.5546875" style="142" customWidth="1"/>
    <col min="12593" max="12593" width="9.5546875" style="142" customWidth="1"/>
    <col min="12594" max="12847" width="3.88671875" style="142"/>
    <col min="12848" max="12848" width="13.5546875" style="142" customWidth="1"/>
    <col min="12849" max="12849" width="9.5546875" style="142" customWidth="1"/>
    <col min="12850" max="13103" width="3.88671875" style="142"/>
    <col min="13104" max="13104" width="13.5546875" style="142" customWidth="1"/>
    <col min="13105" max="13105" width="9.5546875" style="142" customWidth="1"/>
    <col min="13106" max="13359" width="3.88671875" style="142"/>
    <col min="13360" max="13360" width="13.5546875" style="142" customWidth="1"/>
    <col min="13361" max="13361" width="9.5546875" style="142" customWidth="1"/>
    <col min="13362" max="13615" width="3.88671875" style="142"/>
    <col min="13616" max="13616" width="13.5546875" style="142" customWidth="1"/>
    <col min="13617" max="13617" width="9.5546875" style="142" customWidth="1"/>
    <col min="13618" max="13871" width="3.88671875" style="142"/>
    <col min="13872" max="13872" width="13.5546875" style="142" customWidth="1"/>
    <col min="13873" max="13873" width="9.5546875" style="142" customWidth="1"/>
    <col min="13874" max="14127" width="3.88671875" style="142"/>
    <col min="14128" max="14128" width="13.5546875" style="142" customWidth="1"/>
    <col min="14129" max="14129" width="9.5546875" style="142" customWidth="1"/>
    <col min="14130" max="14383" width="3.88671875" style="142"/>
    <col min="14384" max="14384" width="13.5546875" style="142" customWidth="1"/>
    <col min="14385" max="14385" width="9.5546875" style="142" customWidth="1"/>
    <col min="14386" max="14639" width="3.88671875" style="142"/>
    <col min="14640" max="14640" width="13.5546875" style="142" customWidth="1"/>
    <col min="14641" max="14641" width="9.5546875" style="142" customWidth="1"/>
    <col min="14642" max="14895" width="3.88671875" style="142"/>
    <col min="14896" max="14896" width="13.5546875" style="142" customWidth="1"/>
    <col min="14897" max="14897" width="9.5546875" style="142" customWidth="1"/>
    <col min="14898" max="16384" width="3.88671875" style="142"/>
  </cols>
  <sheetData>
    <row r="1" spans="1:748" s="131" customFormat="1" ht="45" customHeight="1" x14ac:dyDescent="0.3">
      <c r="A1" s="130"/>
      <c r="B1" s="990" t="str">
        <f ca="1">' '!A120</f>
        <v>Product Backlog</v>
      </c>
      <c r="C1" s="950"/>
      <c r="D1" s="950"/>
      <c r="E1" s="950"/>
      <c r="F1" s="950"/>
      <c r="G1" s="950"/>
      <c r="H1" s="950"/>
      <c r="I1" s="950"/>
      <c r="J1" s="950"/>
      <c r="K1" s="950"/>
      <c r="L1" s="952"/>
      <c r="M1" s="950"/>
      <c r="N1" s="951"/>
      <c r="O1" s="964"/>
      <c r="P1" s="964"/>
    </row>
    <row r="2" spans="1:748" s="136" customFormat="1" ht="7.5" customHeight="1" x14ac:dyDescent="0.3">
      <c r="A2" s="133"/>
      <c r="B2" s="134"/>
      <c r="C2" s="134"/>
      <c r="D2" s="134"/>
      <c r="E2" s="135"/>
      <c r="F2" s="135"/>
      <c r="G2" s="135"/>
      <c r="L2" s="137"/>
      <c r="O2" s="965"/>
      <c r="P2" s="965"/>
    </row>
    <row r="3" spans="1:748" s="112" customFormat="1" ht="18" customHeight="1" x14ac:dyDescent="0.3">
      <c r="A3" s="138"/>
      <c r="B3" s="958" t="str">
        <f>Projektauftrag!D4</f>
        <v>P1</v>
      </c>
      <c r="C3" s="932"/>
      <c r="D3" s="932"/>
      <c r="E3" s="960" t="str">
        <f ca="1">Projektauftrag!E5&amp;"  "&amp;Projektauftrag!G5</f>
        <v>Procuct Owner:  xyz xxx</v>
      </c>
      <c r="F3" s="932"/>
      <c r="G3" s="932"/>
      <c r="H3" s="953"/>
      <c r="I3" s="954"/>
      <c r="J3" s="953"/>
      <c r="K3" s="946"/>
      <c r="L3" s="946"/>
      <c r="M3" s="946"/>
      <c r="N3" s="946"/>
      <c r="O3" s="966"/>
      <c r="P3" s="966"/>
    </row>
    <row r="4" spans="1:748" s="140" customFormat="1" ht="24" customHeight="1" x14ac:dyDescent="0.3">
      <c r="A4" s="139"/>
      <c r="B4" s="959" t="str">
        <f>Projektauftrag!D5</f>
        <v>Projet Agile 1</v>
      </c>
      <c r="C4" s="956"/>
      <c r="D4" s="956"/>
      <c r="E4" s="961" t="str">
        <f ca="1">Projektauftrag!H5&amp;"  "&amp;Projektauftrag!J5</f>
        <v>Scrum Master:  abc def (abc)</v>
      </c>
      <c r="F4" s="962" t="str">
        <f>CONCATENATE(Projektteam!AK34,"/",Projektteam!AD34)</f>
        <v>0/0</v>
      </c>
      <c r="G4" s="956"/>
      <c r="H4" s="955"/>
      <c r="I4" s="957"/>
      <c r="J4" s="1146"/>
      <c r="K4" s="1146"/>
      <c r="L4" s="1146"/>
      <c r="M4" s="1146"/>
      <c r="N4" s="1146"/>
      <c r="O4" s="1146"/>
      <c r="P4" s="1146"/>
    </row>
    <row r="5" spans="1:748" s="140" customFormat="1" ht="24" customHeight="1" x14ac:dyDescent="0.3">
      <c r="A5" s="139"/>
      <c r="B5" s="933"/>
      <c r="C5" s="933"/>
      <c r="D5" s="933"/>
      <c r="E5" s="933"/>
      <c r="F5" s="962" t="e">
        <f>Projektteam!AK34/Projektteam!AD34</f>
        <v>#DIV/0!</v>
      </c>
      <c r="G5" s="933"/>
      <c r="H5" s="933"/>
      <c r="I5" s="933"/>
      <c r="J5" s="933"/>
      <c r="K5" s="933"/>
      <c r="L5" s="933"/>
      <c r="M5" s="933"/>
      <c r="N5" s="933"/>
      <c r="O5" s="963"/>
      <c r="P5" s="963"/>
    </row>
    <row r="6" spans="1:748" s="693" customFormat="1" ht="30.75" customHeight="1" x14ac:dyDescent="0.2">
      <c r="A6" s="692"/>
      <c r="E6" s="694"/>
      <c r="F6" s="694"/>
      <c r="G6" s="694"/>
      <c r="H6" s="695"/>
      <c r="I6" s="695"/>
      <c r="J6" s="695"/>
      <c r="K6" s="695"/>
      <c r="L6" s="695"/>
      <c r="M6" s="695"/>
      <c r="N6" s="695"/>
      <c r="O6" s="967"/>
      <c r="P6" s="967"/>
    </row>
    <row r="7" spans="1:748" s="143" customFormat="1" ht="30.6" customHeight="1" x14ac:dyDescent="0.3">
      <c r="A7" s="139"/>
      <c r="B7" s="940" t="str">
        <f ca="1">' '!A145</f>
        <v>No.</v>
      </c>
      <c r="C7" s="940" t="str">
        <f ca="1">' '!A146</f>
        <v>Date</v>
      </c>
      <c r="D7" s="940" t="str">
        <f ca="1">' '!A147</f>
        <v>EPIC</v>
      </c>
      <c r="E7" s="940" t="str">
        <f ca="1">' '!A123</f>
        <v>Story</v>
      </c>
      <c r="F7" s="1090" t="str">
        <f ca="1">' '!A108</f>
        <v>Sprint</v>
      </c>
      <c r="G7" s="1086" t="str">
        <f ca="1">' '!A107</f>
        <v>Story
points</v>
      </c>
      <c r="H7" s="947" t="str">
        <f ca="1">' '!A388</f>
        <v>Start</v>
      </c>
      <c r="I7" s="948" t="str">
        <f ca="1">' '!A142</f>
        <v>Period
(days)</v>
      </c>
      <c r="J7" s="947" t="str">
        <f ca="1">' '!A389</f>
        <v>Finish</v>
      </c>
      <c r="K7" s="949" t="str">
        <f ca="1">' '!A390</f>
        <v>Who?</v>
      </c>
      <c r="L7" s="949" t="str">
        <f ca="1">' '!A109</f>
        <v>Stage</v>
      </c>
      <c r="M7" s="931">
        <v>0</v>
      </c>
      <c r="N7" s="1066" t="str">
        <f ca="1">' '!A117</f>
        <v>[h]</v>
      </c>
      <c r="O7" s="989" t="str">
        <f ca="1">' '!A149</f>
        <v>Progress</v>
      </c>
      <c r="P7" s="992" t="str">
        <f ca="1">' '!A139</f>
        <v xml:space="preserve"> days</v>
      </c>
      <c r="S7" s="693"/>
    </row>
    <row r="8" spans="1:748" s="146" customFormat="1" ht="16.5" customHeight="1" x14ac:dyDescent="0.3">
      <c r="A8" s="144"/>
      <c r="B8" s="934"/>
      <c r="C8" s="934"/>
      <c r="D8" s="934"/>
      <c r="E8" s="935"/>
      <c r="F8" s="935"/>
      <c r="G8" s="935"/>
      <c r="H8" s="936"/>
      <c r="I8" s="937"/>
      <c r="J8" s="936"/>
      <c r="K8" s="938"/>
      <c r="L8" s="938"/>
      <c r="M8" s="939"/>
      <c r="N8" s="937"/>
      <c r="R8" s="145"/>
      <c r="S8" s="145"/>
      <c r="T8" s="969">
        <v>1</v>
      </c>
      <c r="U8" s="145"/>
      <c r="V8" s="145"/>
      <c r="W8" s="145"/>
      <c r="X8" s="145"/>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5"/>
      <c r="AZ8" s="145"/>
      <c r="BA8" s="145"/>
      <c r="BB8" s="145"/>
      <c r="BC8" s="145"/>
      <c r="BD8" s="145"/>
      <c r="BE8" s="145"/>
      <c r="BF8" s="145"/>
      <c r="BG8" s="145"/>
      <c r="BH8" s="145"/>
      <c r="BI8" s="145"/>
      <c r="BJ8" s="145"/>
      <c r="BK8" s="145"/>
      <c r="BL8" s="145"/>
      <c r="BM8" s="145"/>
      <c r="BN8" s="145"/>
      <c r="BO8" s="145"/>
      <c r="BP8" s="145"/>
      <c r="BQ8" s="145"/>
      <c r="BR8" s="145"/>
      <c r="BS8" s="145"/>
      <c r="BT8" s="145"/>
      <c r="BU8" s="145"/>
      <c r="BV8" s="145"/>
      <c r="BW8" s="145"/>
      <c r="BX8" s="145"/>
      <c r="BY8" s="145"/>
      <c r="BZ8" s="145"/>
      <c r="CA8" s="145"/>
      <c r="CB8" s="145"/>
      <c r="CC8" s="145"/>
      <c r="CD8" s="145"/>
      <c r="CE8" s="145"/>
      <c r="CF8" s="145"/>
      <c r="CG8" s="145"/>
      <c r="CH8" s="145"/>
      <c r="CI8" s="145"/>
      <c r="CJ8" s="145"/>
      <c r="CK8" s="145"/>
      <c r="CL8" s="145"/>
      <c r="CM8" s="145"/>
      <c r="CN8" s="145"/>
      <c r="CO8" s="145"/>
      <c r="CP8" s="145"/>
      <c r="CQ8" s="145"/>
      <c r="CR8" s="145"/>
      <c r="CS8" s="145"/>
      <c r="CT8" s="145"/>
      <c r="CU8" s="145"/>
      <c r="CV8" s="145"/>
      <c r="CW8" s="145"/>
      <c r="CX8" s="145"/>
      <c r="CY8" s="145"/>
      <c r="CZ8" s="145"/>
      <c r="DA8" s="145"/>
      <c r="DB8" s="145"/>
      <c r="DC8" s="145"/>
      <c r="DD8" s="145"/>
      <c r="DE8" s="145"/>
      <c r="DF8" s="145"/>
      <c r="DG8" s="145"/>
      <c r="DH8" s="145"/>
      <c r="DI8" s="145"/>
      <c r="DJ8" s="145"/>
      <c r="DK8" s="145"/>
      <c r="DL8" s="145"/>
      <c r="DM8" s="145"/>
      <c r="DN8" s="145"/>
      <c r="DO8" s="145"/>
      <c r="DP8" s="145"/>
      <c r="DQ8" s="145"/>
      <c r="DR8" s="145"/>
      <c r="DS8" s="145"/>
      <c r="DT8" s="145"/>
      <c r="DU8" s="145"/>
      <c r="DV8" s="145"/>
      <c r="DW8" s="145"/>
      <c r="DX8" s="145"/>
      <c r="DY8" s="145"/>
      <c r="DZ8" s="145"/>
      <c r="EA8" s="145"/>
      <c r="EB8" s="145"/>
      <c r="EC8" s="145"/>
      <c r="ED8" s="145"/>
      <c r="EE8" s="145"/>
      <c r="EF8" s="145"/>
      <c r="EG8" s="145"/>
      <c r="EH8" s="145"/>
      <c r="EI8" s="145"/>
      <c r="EJ8" s="145"/>
      <c r="EK8" s="145"/>
      <c r="EL8" s="145"/>
      <c r="EM8" s="145"/>
      <c r="EN8" s="145"/>
      <c r="EO8" s="145"/>
      <c r="EP8" s="145"/>
      <c r="EQ8" s="145"/>
      <c r="ER8" s="145"/>
      <c r="ES8" s="145"/>
      <c r="ET8" s="145"/>
      <c r="EU8" s="145"/>
      <c r="EV8" s="145"/>
      <c r="EW8" s="145"/>
      <c r="EX8" s="145"/>
      <c r="EY8" s="145"/>
      <c r="EZ8" s="145"/>
      <c r="FA8" s="145"/>
      <c r="FB8" s="145"/>
      <c r="FC8" s="145"/>
      <c r="FD8" s="145"/>
      <c r="FE8" s="145"/>
      <c r="FF8" s="145"/>
      <c r="FG8" s="145"/>
      <c r="FH8" s="145"/>
      <c r="FI8" s="145"/>
      <c r="FJ8" s="145"/>
      <c r="FK8" s="145"/>
      <c r="FL8" s="145"/>
      <c r="FM8" s="145"/>
      <c r="FN8" s="145"/>
      <c r="FO8" s="145"/>
      <c r="FP8" s="145"/>
      <c r="FQ8" s="145"/>
      <c r="FR8" s="145"/>
      <c r="FS8" s="145"/>
      <c r="FT8" s="145"/>
      <c r="FU8" s="145"/>
      <c r="FV8" s="145"/>
      <c r="FW8" s="145"/>
      <c r="FX8" s="145"/>
      <c r="FY8" s="145"/>
      <c r="FZ8" s="145"/>
      <c r="GA8" s="145"/>
      <c r="GB8" s="145"/>
      <c r="GC8" s="145"/>
      <c r="GD8" s="145"/>
      <c r="GE8" s="145"/>
      <c r="GF8" s="145"/>
      <c r="GG8" s="145"/>
      <c r="GH8" s="145"/>
      <c r="GI8" s="145"/>
      <c r="GJ8" s="145"/>
      <c r="GK8" s="145"/>
      <c r="GL8" s="145"/>
      <c r="GM8" s="145"/>
      <c r="GN8" s="145"/>
      <c r="GO8" s="145"/>
      <c r="GP8" s="145"/>
      <c r="GQ8" s="145"/>
      <c r="GR8" s="145"/>
      <c r="GS8" s="145"/>
      <c r="GT8" s="145"/>
      <c r="GU8" s="145"/>
      <c r="GV8" s="145"/>
      <c r="GW8" s="145"/>
      <c r="GX8" s="145"/>
      <c r="GY8" s="145"/>
      <c r="GZ8" s="145"/>
      <c r="HA8" s="145"/>
      <c r="HB8" s="145"/>
      <c r="HC8" s="145"/>
      <c r="HD8" s="145"/>
      <c r="HE8" s="145"/>
      <c r="HF8" s="145"/>
      <c r="HG8" s="145"/>
      <c r="HH8" s="145"/>
      <c r="HI8" s="145"/>
      <c r="HJ8" s="145"/>
      <c r="HK8" s="145"/>
      <c r="HL8" s="145"/>
      <c r="HM8" s="145"/>
      <c r="HN8" s="145"/>
      <c r="HO8" s="145"/>
      <c r="HP8" s="145"/>
      <c r="HQ8" s="145"/>
      <c r="HR8" s="145"/>
      <c r="HS8" s="145"/>
      <c r="HT8" s="145"/>
      <c r="HU8" s="145"/>
      <c r="HV8" s="145"/>
      <c r="HW8" s="145"/>
      <c r="HX8" s="145"/>
      <c r="HY8" s="145"/>
      <c r="HZ8" s="145"/>
      <c r="IA8" s="145"/>
      <c r="IB8" s="145"/>
      <c r="IC8" s="145"/>
      <c r="ID8" s="145"/>
      <c r="IE8" s="145"/>
      <c r="IF8" s="145"/>
      <c r="IG8" s="145"/>
      <c r="IH8" s="145"/>
      <c r="II8" s="145"/>
      <c r="IJ8" s="145"/>
      <c r="IK8" s="145"/>
      <c r="IL8" s="145"/>
      <c r="IM8" s="145"/>
      <c r="IN8" s="145"/>
      <c r="IO8" s="145"/>
      <c r="IP8" s="145"/>
      <c r="IQ8" s="145"/>
      <c r="IR8" s="145"/>
      <c r="IS8" s="145"/>
      <c r="IT8" s="145"/>
      <c r="IU8" s="145"/>
      <c r="IV8" s="145"/>
      <c r="IW8" s="145"/>
      <c r="IX8" s="145"/>
      <c r="IY8" s="145"/>
      <c r="IZ8" s="145"/>
      <c r="JA8" s="145"/>
      <c r="JB8" s="145"/>
      <c r="JC8" s="145"/>
      <c r="JD8" s="145"/>
      <c r="JE8" s="145"/>
      <c r="JF8" s="145"/>
      <c r="JG8" s="145"/>
      <c r="JH8" s="145"/>
      <c r="JI8" s="145"/>
      <c r="JJ8" s="145"/>
      <c r="JK8" s="145"/>
      <c r="JL8" s="145"/>
      <c r="JM8" s="145"/>
      <c r="JN8" s="145"/>
      <c r="JO8" s="145"/>
      <c r="JP8" s="145"/>
      <c r="JQ8" s="145"/>
      <c r="JR8" s="145"/>
      <c r="JS8" s="145"/>
      <c r="JT8" s="145"/>
      <c r="JU8" s="145"/>
      <c r="JV8" s="145"/>
      <c r="JW8" s="145"/>
      <c r="JX8" s="145"/>
      <c r="JY8" s="145"/>
      <c r="JZ8" s="145"/>
      <c r="KA8" s="145"/>
      <c r="KB8" s="145"/>
      <c r="KC8" s="145"/>
      <c r="KD8" s="145"/>
      <c r="KE8" s="145"/>
      <c r="KF8" s="145"/>
      <c r="KG8" s="145"/>
      <c r="KH8" s="145"/>
      <c r="KI8" s="145"/>
      <c r="KJ8" s="145"/>
      <c r="KK8" s="145"/>
      <c r="KL8" s="145"/>
      <c r="KM8" s="145"/>
      <c r="KN8" s="145"/>
      <c r="KO8" s="145"/>
      <c r="KP8" s="145"/>
      <c r="KQ8" s="145"/>
      <c r="KR8" s="145"/>
      <c r="KS8" s="145"/>
      <c r="KT8" s="145"/>
      <c r="KU8" s="145"/>
      <c r="KV8" s="145"/>
      <c r="KW8" s="145"/>
      <c r="KX8" s="145"/>
      <c r="KY8" s="145"/>
      <c r="KZ8" s="145"/>
      <c r="LA8" s="145"/>
      <c r="LB8" s="145"/>
      <c r="LC8" s="145"/>
      <c r="LD8" s="145"/>
      <c r="LE8" s="145"/>
      <c r="LF8" s="145"/>
      <c r="LG8" s="145"/>
      <c r="LH8" s="145"/>
      <c r="LI8" s="145"/>
      <c r="LJ8" s="145"/>
      <c r="LK8" s="145"/>
      <c r="LL8" s="145"/>
      <c r="LM8" s="145"/>
      <c r="LN8" s="145"/>
      <c r="LO8" s="145"/>
      <c r="LP8" s="145"/>
      <c r="LQ8" s="145"/>
      <c r="LR8" s="145"/>
      <c r="LS8" s="145"/>
      <c r="LT8" s="145"/>
      <c r="LU8" s="145"/>
      <c r="LV8" s="145"/>
      <c r="LW8" s="145"/>
      <c r="LX8" s="145"/>
      <c r="LY8" s="145"/>
      <c r="LZ8" s="145"/>
      <c r="MA8" s="145"/>
      <c r="MB8" s="145"/>
      <c r="MC8" s="145"/>
      <c r="MD8" s="145"/>
      <c r="ME8" s="145"/>
      <c r="MF8" s="145"/>
      <c r="MG8" s="145"/>
      <c r="MH8" s="145"/>
      <c r="MI8" s="145"/>
      <c r="MJ8" s="145"/>
      <c r="MK8" s="145"/>
      <c r="ML8" s="145"/>
      <c r="MM8" s="145"/>
      <c r="MN8" s="145"/>
      <c r="MO8" s="145"/>
      <c r="MP8" s="145"/>
      <c r="MQ8" s="145"/>
      <c r="MR8" s="145"/>
      <c r="MS8" s="145"/>
      <c r="MT8" s="145"/>
      <c r="MU8" s="145"/>
      <c r="MV8" s="145"/>
      <c r="MW8" s="145"/>
      <c r="MX8" s="145"/>
      <c r="MY8" s="145"/>
      <c r="MZ8" s="145"/>
      <c r="NA8" s="145"/>
      <c r="NB8" s="145"/>
      <c r="NC8" s="145"/>
      <c r="ND8" s="145"/>
      <c r="NE8" s="145"/>
      <c r="NF8" s="145"/>
      <c r="NG8" s="145"/>
      <c r="NH8" s="145"/>
      <c r="NI8" s="145"/>
      <c r="NJ8" s="145"/>
      <c r="NK8" s="145"/>
      <c r="NL8" s="145"/>
      <c r="NM8" s="145"/>
      <c r="NN8" s="145"/>
      <c r="NO8" s="145"/>
      <c r="NP8" s="145"/>
      <c r="NQ8" s="145"/>
      <c r="NR8" s="145"/>
      <c r="NS8" s="145"/>
      <c r="NT8" s="145"/>
      <c r="NU8" s="145"/>
      <c r="NV8" s="145"/>
      <c r="NW8" s="145"/>
      <c r="NX8" s="145"/>
      <c r="NY8" s="145"/>
      <c r="NZ8" s="145"/>
      <c r="OA8" s="145"/>
      <c r="OB8" s="145"/>
      <c r="OC8" s="145"/>
      <c r="OD8" s="145"/>
      <c r="OE8" s="145"/>
      <c r="OF8" s="145"/>
      <c r="OG8" s="145"/>
      <c r="OH8" s="145"/>
      <c r="OI8" s="145"/>
      <c r="OJ8" s="145"/>
      <c r="OK8" s="145"/>
      <c r="OL8" s="145"/>
      <c r="OM8" s="145"/>
      <c r="ON8" s="145"/>
      <c r="OO8" s="145"/>
      <c r="OP8" s="145"/>
      <c r="OQ8" s="145"/>
      <c r="OR8" s="145"/>
      <c r="OS8" s="145"/>
      <c r="OT8" s="145"/>
      <c r="OU8" s="145"/>
      <c r="OV8" s="145"/>
      <c r="OW8" s="145"/>
      <c r="OX8" s="145"/>
      <c r="OY8" s="145"/>
      <c r="OZ8" s="145"/>
      <c r="PA8" s="145"/>
      <c r="PB8" s="145"/>
      <c r="PC8" s="145"/>
      <c r="PD8" s="145"/>
      <c r="PE8" s="145"/>
      <c r="PF8" s="145"/>
      <c r="PG8" s="145"/>
      <c r="PH8" s="145"/>
      <c r="PI8" s="145"/>
      <c r="PJ8" s="145"/>
      <c r="PK8" s="145"/>
      <c r="PL8" s="145"/>
      <c r="PM8" s="145"/>
      <c r="PN8" s="145"/>
      <c r="PO8" s="145"/>
      <c r="PP8" s="145"/>
      <c r="PQ8" s="145"/>
      <c r="PR8" s="145"/>
      <c r="PS8" s="145"/>
      <c r="PT8" s="145"/>
      <c r="PU8" s="145"/>
      <c r="PV8" s="145"/>
      <c r="PW8" s="145"/>
      <c r="PX8" s="145"/>
      <c r="PY8" s="145"/>
      <c r="PZ8" s="145"/>
      <c r="QA8" s="145"/>
      <c r="QB8" s="145"/>
      <c r="QC8" s="145"/>
      <c r="QD8" s="145"/>
      <c r="QE8" s="145"/>
      <c r="QF8" s="145"/>
      <c r="QG8" s="145"/>
      <c r="QH8" s="145"/>
      <c r="QI8" s="145"/>
      <c r="QJ8" s="145"/>
      <c r="QK8" s="145"/>
      <c r="QL8" s="145"/>
      <c r="QM8" s="145"/>
      <c r="QN8" s="145"/>
      <c r="QO8" s="145"/>
      <c r="QP8" s="145"/>
      <c r="QQ8" s="145"/>
      <c r="QR8" s="145"/>
      <c r="QS8" s="145"/>
      <c r="QT8" s="145"/>
      <c r="QU8" s="145"/>
      <c r="QV8" s="145"/>
      <c r="QW8" s="145"/>
      <c r="QX8" s="145"/>
      <c r="QY8" s="145"/>
      <c r="QZ8" s="145"/>
      <c r="RA8" s="145"/>
      <c r="RB8" s="145"/>
      <c r="RC8" s="145"/>
      <c r="RD8" s="145"/>
      <c r="RE8" s="145"/>
      <c r="RF8" s="145"/>
      <c r="RG8" s="145"/>
      <c r="RH8" s="145"/>
      <c r="RI8" s="145"/>
      <c r="RJ8" s="145"/>
      <c r="RK8" s="145"/>
      <c r="RL8" s="145"/>
      <c r="RM8" s="145"/>
      <c r="RN8" s="145"/>
      <c r="RO8" s="145"/>
      <c r="RP8" s="145"/>
      <c r="RQ8" s="145"/>
      <c r="RR8" s="145"/>
      <c r="RS8" s="145"/>
      <c r="RT8" s="145"/>
      <c r="RU8" s="145"/>
      <c r="RV8" s="145"/>
      <c r="RW8" s="145"/>
      <c r="RX8" s="145"/>
      <c r="RY8" s="145"/>
      <c r="RZ8" s="145"/>
      <c r="SA8" s="145"/>
      <c r="SB8" s="145"/>
      <c r="SC8" s="145"/>
      <c r="SD8" s="145"/>
      <c r="SE8" s="145"/>
      <c r="SF8" s="145"/>
      <c r="SG8" s="145"/>
      <c r="SH8" s="145"/>
      <c r="SI8" s="145"/>
      <c r="SJ8" s="145"/>
      <c r="SK8" s="145"/>
      <c r="SL8" s="145"/>
      <c r="SM8" s="145"/>
      <c r="SN8" s="145"/>
      <c r="SO8" s="145"/>
      <c r="SP8" s="145"/>
      <c r="SQ8" s="145"/>
      <c r="SR8" s="145"/>
      <c r="SS8" s="145"/>
      <c r="ST8" s="145"/>
      <c r="SU8" s="145"/>
      <c r="SV8" s="145"/>
      <c r="SW8" s="145"/>
      <c r="SX8" s="145"/>
      <c r="SY8" s="145"/>
      <c r="SZ8" s="145"/>
      <c r="TA8" s="145"/>
      <c r="TB8" s="145"/>
      <c r="TC8" s="145"/>
      <c r="TD8" s="145"/>
      <c r="TE8" s="145"/>
      <c r="TF8" s="145"/>
      <c r="TG8" s="145"/>
      <c r="TH8" s="145"/>
      <c r="TI8" s="145"/>
      <c r="TJ8" s="145"/>
      <c r="TK8" s="145"/>
      <c r="TL8" s="145"/>
      <c r="TM8" s="145"/>
      <c r="TN8" s="145"/>
      <c r="TO8" s="145"/>
      <c r="TP8" s="145"/>
      <c r="TQ8" s="145"/>
      <c r="TR8" s="145"/>
      <c r="TS8" s="145"/>
      <c r="TT8" s="145"/>
      <c r="TU8" s="145"/>
      <c r="TV8" s="145"/>
      <c r="TW8" s="145"/>
      <c r="TX8" s="145"/>
      <c r="TY8" s="145"/>
      <c r="TZ8" s="145"/>
      <c r="UA8" s="145"/>
      <c r="UB8" s="145"/>
      <c r="UC8" s="145"/>
      <c r="UD8" s="145"/>
      <c r="UE8" s="145"/>
      <c r="UF8" s="145"/>
      <c r="UG8" s="145"/>
      <c r="UH8" s="145"/>
      <c r="UI8" s="145"/>
      <c r="UJ8" s="145"/>
      <c r="UK8" s="145"/>
      <c r="UL8" s="145"/>
      <c r="UM8" s="145"/>
      <c r="UN8" s="145"/>
      <c r="UO8" s="145"/>
      <c r="UP8" s="145"/>
      <c r="UQ8" s="145"/>
      <c r="UR8" s="145"/>
      <c r="US8" s="145"/>
      <c r="UT8" s="145"/>
      <c r="UU8" s="145"/>
      <c r="UV8" s="145"/>
      <c r="UW8" s="145"/>
      <c r="UX8" s="145"/>
      <c r="UY8" s="145"/>
      <c r="UZ8" s="145"/>
      <c r="VA8" s="145"/>
      <c r="VB8" s="145"/>
      <c r="VC8" s="145"/>
      <c r="VD8" s="145"/>
      <c r="VE8" s="145"/>
      <c r="VF8" s="145"/>
      <c r="VG8" s="145"/>
      <c r="VH8" s="145"/>
      <c r="VI8" s="145"/>
      <c r="VJ8" s="145"/>
      <c r="VK8" s="145"/>
      <c r="VL8" s="145"/>
      <c r="VM8" s="145"/>
      <c r="VN8" s="145"/>
      <c r="VO8" s="145"/>
      <c r="VP8" s="145"/>
      <c r="VQ8" s="145"/>
      <c r="VR8" s="145"/>
      <c r="VS8" s="145"/>
      <c r="VT8" s="145"/>
      <c r="VU8" s="145"/>
      <c r="VV8" s="145"/>
      <c r="VW8" s="145"/>
      <c r="VX8" s="145"/>
      <c r="VY8" s="145"/>
      <c r="VZ8" s="145"/>
      <c r="WA8" s="145"/>
      <c r="WB8" s="145"/>
      <c r="WC8" s="145"/>
      <c r="WD8" s="145"/>
      <c r="WE8" s="145"/>
      <c r="WF8" s="145"/>
      <c r="WG8" s="145"/>
      <c r="WH8" s="145"/>
      <c r="WI8" s="145"/>
      <c r="WJ8" s="145"/>
      <c r="WK8" s="145"/>
      <c r="WL8" s="145"/>
      <c r="WM8" s="145"/>
      <c r="WN8" s="145"/>
      <c r="WO8" s="145"/>
      <c r="WP8" s="145"/>
      <c r="WQ8" s="145"/>
      <c r="WR8" s="145"/>
      <c r="WS8" s="145"/>
      <c r="WT8" s="145"/>
      <c r="WU8" s="145"/>
      <c r="WV8" s="145"/>
      <c r="WW8" s="145"/>
      <c r="WX8" s="145"/>
      <c r="WY8" s="145"/>
      <c r="WZ8" s="145"/>
      <c r="XA8" s="145"/>
      <c r="XB8" s="145"/>
      <c r="XC8" s="145"/>
      <c r="XD8" s="145"/>
      <c r="XE8" s="145"/>
      <c r="XF8" s="145"/>
      <c r="XG8" s="145"/>
      <c r="XH8" s="145"/>
      <c r="XI8" s="145"/>
      <c r="XJ8" s="145"/>
      <c r="XK8" s="145"/>
      <c r="XL8" s="145"/>
      <c r="XM8" s="145"/>
      <c r="XN8" s="145"/>
      <c r="XO8" s="145"/>
      <c r="XP8" s="145"/>
      <c r="XQ8" s="145"/>
      <c r="XR8" s="145"/>
      <c r="XS8" s="145"/>
      <c r="XT8" s="145"/>
      <c r="XU8" s="145"/>
      <c r="XV8" s="145"/>
      <c r="XW8" s="145"/>
      <c r="XX8" s="145"/>
      <c r="XY8" s="145"/>
      <c r="XZ8" s="145"/>
      <c r="YA8" s="145"/>
      <c r="YB8" s="145"/>
      <c r="YC8" s="145"/>
      <c r="YD8" s="145"/>
      <c r="YE8" s="145"/>
      <c r="YF8" s="145"/>
      <c r="YG8" s="145"/>
      <c r="YH8" s="145"/>
      <c r="YI8" s="145"/>
      <c r="YJ8" s="145"/>
      <c r="YK8" s="145"/>
      <c r="YL8" s="145"/>
      <c r="YM8" s="145"/>
      <c r="YN8" s="145"/>
      <c r="YO8" s="145"/>
      <c r="YP8" s="145"/>
      <c r="YQ8" s="145"/>
      <c r="YR8" s="145"/>
      <c r="YS8" s="145"/>
      <c r="YT8" s="145"/>
      <c r="YU8" s="145"/>
      <c r="YV8" s="145"/>
      <c r="YW8" s="145"/>
      <c r="YX8" s="145"/>
      <c r="YY8" s="145"/>
      <c r="YZ8" s="145"/>
      <c r="ZA8" s="145"/>
      <c r="ZB8" s="145"/>
      <c r="ZC8" s="145"/>
      <c r="ZD8" s="145"/>
      <c r="ZE8" s="145"/>
      <c r="ZF8" s="145"/>
      <c r="ZG8" s="145"/>
      <c r="ZH8" s="145"/>
      <c r="ZI8" s="145"/>
      <c r="ZJ8" s="145"/>
      <c r="ZK8" s="145"/>
      <c r="ZL8" s="145"/>
      <c r="ZM8" s="145"/>
      <c r="ZN8" s="145"/>
      <c r="ZO8" s="145"/>
      <c r="ZP8" s="145"/>
      <c r="ZQ8" s="145"/>
      <c r="ZR8" s="145"/>
      <c r="ZS8" s="145"/>
      <c r="ZT8" s="145"/>
      <c r="ZU8" s="145"/>
      <c r="ZV8" s="145"/>
      <c r="ZW8" s="145"/>
      <c r="ZX8" s="145"/>
      <c r="ZY8" s="145"/>
      <c r="ZZ8" s="145"/>
      <c r="AAA8" s="145"/>
      <c r="AAB8" s="145"/>
      <c r="AAC8" s="145"/>
      <c r="AAD8" s="145"/>
      <c r="AAE8" s="145"/>
      <c r="AAF8" s="145"/>
      <c r="AAG8" s="145"/>
      <c r="AAH8" s="145"/>
      <c r="AAI8" s="145"/>
      <c r="AAJ8" s="145"/>
      <c r="AAK8" s="145"/>
      <c r="AAL8" s="145"/>
      <c r="AAM8" s="145"/>
      <c r="AAN8" s="145"/>
      <c r="AAO8" s="145"/>
      <c r="AAP8" s="145"/>
      <c r="AAQ8" s="145"/>
      <c r="AAR8" s="145"/>
      <c r="AAS8" s="145"/>
      <c r="AAT8" s="145"/>
      <c r="AAU8" s="145"/>
      <c r="AAV8" s="145"/>
      <c r="AAW8" s="145"/>
      <c r="AAX8" s="145"/>
      <c r="AAY8" s="145"/>
      <c r="AAZ8" s="145"/>
      <c r="ABA8" s="145"/>
      <c r="ABB8" s="145"/>
      <c r="ABC8" s="145"/>
      <c r="ABD8" s="145"/>
      <c r="ABE8" s="145"/>
      <c r="ABF8" s="145"/>
      <c r="ABG8" s="145"/>
      <c r="ABH8" s="145"/>
      <c r="ABI8" s="145"/>
      <c r="ABJ8" s="145"/>
      <c r="ABK8" s="145"/>
      <c r="ABL8" s="145"/>
      <c r="ABM8" s="145"/>
      <c r="ABN8" s="145"/>
      <c r="ABO8" s="145"/>
      <c r="ABP8" s="145"/>
      <c r="ABQ8" s="145"/>
      <c r="ABR8" s="145"/>
      <c r="ABS8" s="145"/>
      <c r="ABT8" s="145"/>
    </row>
    <row r="9" spans="1:748" s="147" customFormat="1" ht="28.8" x14ac:dyDescent="0.2">
      <c r="A9" s="144" t="str">
        <f t="shared" ref="A9:A72" si="0">IF(M9=1,N9,"")</f>
        <v/>
      </c>
      <c r="B9" s="984">
        <v>1</v>
      </c>
      <c r="C9" s="975">
        <v>44625</v>
      </c>
      <c r="D9" s="1067" t="s">
        <v>1403</v>
      </c>
      <c r="E9" s="976" t="s">
        <v>1404</v>
      </c>
      <c r="F9" s="1035">
        <v>1</v>
      </c>
      <c r="G9" s="1087">
        <v>20</v>
      </c>
      <c r="H9" s="975">
        <f ca="1">TODAY()-5</f>
        <v>46044</v>
      </c>
      <c r="I9" s="978">
        <v>14</v>
      </c>
      <c r="J9" s="975">
        <f t="shared" ref="J9:J72" ca="1" si="1">IF(I9&lt;&gt;"",H9-1+INT(I9),"")</f>
        <v>46057</v>
      </c>
      <c r="K9" s="979" t="s">
        <v>1158</v>
      </c>
      <c r="L9" s="979" t="s">
        <v>1341</v>
      </c>
      <c r="M9" s="980">
        <v>2</v>
      </c>
      <c r="N9" s="981">
        <v>10</v>
      </c>
      <c r="O9" s="982">
        <f t="shared" ref="O9:O72" ca="1" si="2">IF(J9&lt;&gt;"",
IF(J9&gt;TODAY(),
IF((TODAY()-H9)/(J9-H9)&gt;0,(TODAY()-H9)/(J9-H9),0),100%),"")</f>
        <v>0.38461538461538464</v>
      </c>
      <c r="P9" s="991" t="str">
        <f t="shared" ref="P9:P72" ca="1" si="3">IF(T9&gt;0,U9,"0/"&amp;S9)</f>
        <v>5/14</v>
      </c>
      <c r="S9" s="147">
        <f ca="1">IF(J9&lt;&gt;"",J9-H9+1,"")</f>
        <v>14</v>
      </c>
      <c r="T9" s="147">
        <f ca="1">IF(H9&lt;&gt;"",(TODAY()-H9),"")</f>
        <v>5</v>
      </c>
      <c r="U9" s="147" t="str">
        <f ca="1">IF(T9&lt;&gt;"",T9&amp;"/"&amp;S9,"")</f>
        <v>5/14</v>
      </c>
    </row>
    <row r="10" spans="1:748" s="147" customFormat="1" ht="28.8" x14ac:dyDescent="0.2">
      <c r="A10" s="144">
        <f t="shared" si="0"/>
        <v>5</v>
      </c>
      <c r="B10" s="984">
        <v>2</v>
      </c>
      <c r="C10" s="975">
        <v>44562</v>
      </c>
      <c r="D10" s="1067"/>
      <c r="E10" s="976" t="s">
        <v>1405</v>
      </c>
      <c r="F10" s="1035">
        <v>2</v>
      </c>
      <c r="G10" s="1087">
        <v>25</v>
      </c>
      <c r="H10" s="975">
        <f ca="1">H9+I9</f>
        <v>46058</v>
      </c>
      <c r="I10" s="978">
        <v>14</v>
      </c>
      <c r="J10" s="975">
        <f t="shared" ca="1" si="1"/>
        <v>46071</v>
      </c>
      <c r="K10" s="979" t="s">
        <v>699</v>
      </c>
      <c r="L10" s="979" t="s">
        <v>1347</v>
      </c>
      <c r="M10" s="980">
        <v>1</v>
      </c>
      <c r="N10" s="983">
        <v>5</v>
      </c>
      <c r="O10" s="982">
        <f t="shared" ca="1" si="2"/>
        <v>0</v>
      </c>
      <c r="P10" s="991" t="str">
        <f t="shared" ca="1" si="3"/>
        <v>0/14</v>
      </c>
      <c r="S10" s="147">
        <f t="shared" ref="S10:S73" ca="1" si="4">IF(J10&lt;&gt;"",J10-H10+1,"")</f>
        <v>14</v>
      </c>
      <c r="T10" s="147">
        <f t="shared" ref="T10:T73" ca="1" si="5">IF(H10&lt;&gt;"",(TODAY()-H10),"")</f>
        <v>-9</v>
      </c>
      <c r="U10" s="147" t="str">
        <f t="shared" ref="U10:U73" ca="1" si="6">IF(T10&lt;&gt;"",T10&amp;"/"&amp;S10,"")</f>
        <v>-9/14</v>
      </c>
    </row>
    <row r="11" spans="1:748" s="147" customFormat="1" ht="14.4" x14ac:dyDescent="0.2">
      <c r="A11" s="144">
        <f t="shared" si="0"/>
        <v>10</v>
      </c>
      <c r="B11" s="984">
        <v>3</v>
      </c>
      <c r="C11" s="975">
        <v>44563</v>
      </c>
      <c r="D11" s="1067"/>
      <c r="E11" s="976" t="s">
        <v>1406</v>
      </c>
      <c r="F11" s="1035">
        <v>3</v>
      </c>
      <c r="G11" s="1087">
        <v>20</v>
      </c>
      <c r="H11" s="975">
        <f ca="1">H10+I10</f>
        <v>46072</v>
      </c>
      <c r="I11" s="978">
        <v>14</v>
      </c>
      <c r="J11" s="975">
        <f t="shared" ca="1" si="1"/>
        <v>46085</v>
      </c>
      <c r="K11" s="979" t="s">
        <v>1057</v>
      </c>
      <c r="L11" s="979" t="s">
        <v>1345</v>
      </c>
      <c r="M11" s="980">
        <v>1</v>
      </c>
      <c r="N11" s="983">
        <v>10</v>
      </c>
      <c r="O11" s="982">
        <f t="shared" ca="1" si="2"/>
        <v>0</v>
      </c>
      <c r="P11" s="991" t="str">
        <f t="shared" ca="1" si="3"/>
        <v>0/14</v>
      </c>
      <c r="S11" s="147">
        <f t="shared" ca="1" si="4"/>
        <v>14</v>
      </c>
      <c r="T11" s="147">
        <f ca="1">IF(H11&lt;&gt;"",(TODAY()-H11),"")</f>
        <v>-23</v>
      </c>
      <c r="U11" s="147" t="str">
        <f t="shared" ca="1" si="6"/>
        <v>-23/14</v>
      </c>
    </row>
    <row r="12" spans="1:748" s="147" customFormat="1" ht="14.4" x14ac:dyDescent="0.2">
      <c r="A12" s="144" t="str">
        <f t="shared" si="0"/>
        <v/>
      </c>
      <c r="B12" s="984">
        <v>4</v>
      </c>
      <c r="C12" s="975"/>
      <c r="D12" s="1067"/>
      <c r="E12" s="976" t="s">
        <v>1369</v>
      </c>
      <c r="F12" s="1035"/>
      <c r="G12" s="1087"/>
      <c r="H12" s="975"/>
      <c r="I12" s="978"/>
      <c r="J12" s="975" t="str">
        <f t="shared" si="1"/>
        <v/>
      </c>
      <c r="K12" s="979"/>
      <c r="L12" s="979"/>
      <c r="M12" s="980" t="str">
        <f t="shared" ref="M12:M75" si="7">IF(N12&lt;&gt;0,3,"")</f>
        <v/>
      </c>
      <c r="N12" s="983"/>
      <c r="O12" s="982" t="str">
        <f t="shared" ca="1" si="2"/>
        <v/>
      </c>
      <c r="P12" s="991" t="str">
        <f t="shared" ca="1" si="3"/>
        <v/>
      </c>
      <c r="S12" s="147" t="str">
        <f t="shared" si="4"/>
        <v/>
      </c>
      <c r="T12" s="147" t="str">
        <f t="shared" ca="1" si="5"/>
        <v/>
      </c>
      <c r="U12" s="147" t="str">
        <f t="shared" ca="1" si="6"/>
        <v/>
      </c>
    </row>
    <row r="13" spans="1:748" s="147" customFormat="1" ht="14.4" x14ac:dyDescent="0.2">
      <c r="A13" s="144" t="str">
        <f t="shared" si="0"/>
        <v/>
      </c>
      <c r="B13" s="984">
        <v>5</v>
      </c>
      <c r="C13" s="975"/>
      <c r="D13" s="1067"/>
      <c r="E13" s="976"/>
      <c r="F13" s="1035"/>
      <c r="G13" s="1087"/>
      <c r="H13" s="975"/>
      <c r="I13" s="978"/>
      <c r="J13" s="975" t="str">
        <f t="shared" si="1"/>
        <v/>
      </c>
      <c r="K13" s="979"/>
      <c r="L13" s="979"/>
      <c r="M13" s="980" t="str">
        <f t="shared" si="7"/>
        <v/>
      </c>
      <c r="N13" s="983"/>
      <c r="O13" s="982" t="str">
        <f t="shared" ca="1" si="2"/>
        <v/>
      </c>
      <c r="P13" s="991" t="str">
        <f t="shared" ca="1" si="3"/>
        <v/>
      </c>
      <c r="S13" s="147" t="str">
        <f t="shared" si="4"/>
        <v/>
      </c>
      <c r="T13" s="147" t="str">
        <f t="shared" ca="1" si="5"/>
        <v/>
      </c>
      <c r="U13" s="147" t="str">
        <f t="shared" ca="1" si="6"/>
        <v/>
      </c>
    </row>
    <row r="14" spans="1:748" s="147" customFormat="1" ht="14.4" x14ac:dyDescent="0.2">
      <c r="A14" s="144" t="str">
        <f t="shared" si="0"/>
        <v/>
      </c>
      <c r="B14" s="984">
        <v>6</v>
      </c>
      <c r="C14" s="975"/>
      <c r="D14" s="1067"/>
      <c r="E14" s="976"/>
      <c r="F14" s="1035"/>
      <c r="G14" s="1087"/>
      <c r="H14" s="975"/>
      <c r="I14" s="978"/>
      <c r="J14" s="975" t="str">
        <f t="shared" si="1"/>
        <v/>
      </c>
      <c r="K14" s="979"/>
      <c r="L14" s="979"/>
      <c r="M14" s="980" t="str">
        <f t="shared" si="7"/>
        <v/>
      </c>
      <c r="N14" s="983"/>
      <c r="O14" s="982" t="str">
        <f t="shared" ca="1" si="2"/>
        <v/>
      </c>
      <c r="P14" s="991" t="str">
        <f t="shared" ca="1" si="3"/>
        <v/>
      </c>
      <c r="S14" s="147" t="str">
        <f t="shared" si="4"/>
        <v/>
      </c>
      <c r="T14" s="147" t="str">
        <f t="shared" ca="1" si="5"/>
        <v/>
      </c>
      <c r="U14" s="147" t="str">
        <f t="shared" ca="1" si="6"/>
        <v/>
      </c>
    </row>
    <row r="15" spans="1:748" s="147" customFormat="1" ht="14.4" x14ac:dyDescent="0.2">
      <c r="A15" s="144" t="str">
        <f t="shared" si="0"/>
        <v/>
      </c>
      <c r="B15" s="984">
        <v>7</v>
      </c>
      <c r="C15" s="975"/>
      <c r="D15" s="1067"/>
      <c r="E15" s="976"/>
      <c r="F15" s="1035"/>
      <c r="G15" s="1087"/>
      <c r="H15" s="975"/>
      <c r="I15" s="978"/>
      <c r="J15" s="975" t="str">
        <f t="shared" si="1"/>
        <v/>
      </c>
      <c r="K15" s="979"/>
      <c r="L15" s="979"/>
      <c r="M15" s="980" t="str">
        <f t="shared" si="7"/>
        <v/>
      </c>
      <c r="N15" s="983"/>
      <c r="O15" s="982" t="str">
        <f t="shared" ca="1" si="2"/>
        <v/>
      </c>
      <c r="P15" s="991" t="str">
        <f t="shared" ca="1" si="3"/>
        <v/>
      </c>
      <c r="S15" s="147" t="str">
        <f t="shared" si="4"/>
        <v/>
      </c>
      <c r="T15" s="147" t="str">
        <f t="shared" ca="1" si="5"/>
        <v/>
      </c>
      <c r="U15" s="147" t="str">
        <f t="shared" ca="1" si="6"/>
        <v/>
      </c>
    </row>
    <row r="16" spans="1:748" s="147" customFormat="1" ht="14.4" x14ac:dyDescent="0.2">
      <c r="A16" s="144" t="str">
        <f t="shared" si="0"/>
        <v/>
      </c>
      <c r="B16" s="984">
        <v>8</v>
      </c>
      <c r="C16" s="975"/>
      <c r="D16" s="1067"/>
      <c r="E16" s="976"/>
      <c r="F16" s="1035"/>
      <c r="G16" s="1087"/>
      <c r="H16" s="975"/>
      <c r="I16" s="978"/>
      <c r="J16" s="975" t="str">
        <f t="shared" si="1"/>
        <v/>
      </c>
      <c r="K16" s="979"/>
      <c r="L16" s="979"/>
      <c r="M16" s="980" t="str">
        <f t="shared" si="7"/>
        <v/>
      </c>
      <c r="N16" s="983"/>
      <c r="O16" s="982" t="str">
        <f t="shared" ca="1" si="2"/>
        <v/>
      </c>
      <c r="P16" s="991" t="str">
        <f t="shared" ca="1" si="3"/>
        <v/>
      </c>
      <c r="S16" s="147" t="str">
        <f t="shared" si="4"/>
        <v/>
      </c>
      <c r="T16" s="147" t="str">
        <f t="shared" ca="1" si="5"/>
        <v/>
      </c>
      <c r="U16" s="147" t="str">
        <f t="shared" ca="1" si="6"/>
        <v/>
      </c>
    </row>
    <row r="17" spans="1:21" s="147" customFormat="1" ht="14.4" x14ac:dyDescent="0.2">
      <c r="A17" s="144" t="str">
        <f t="shared" si="0"/>
        <v/>
      </c>
      <c r="B17" s="984">
        <v>9</v>
      </c>
      <c r="C17" s="975"/>
      <c r="D17" s="1067"/>
      <c r="E17" s="976"/>
      <c r="F17" s="1035"/>
      <c r="G17" s="1087"/>
      <c r="H17" s="975"/>
      <c r="I17" s="978"/>
      <c r="J17" s="975" t="str">
        <f t="shared" si="1"/>
        <v/>
      </c>
      <c r="K17" s="979"/>
      <c r="L17" s="979"/>
      <c r="M17" s="980" t="str">
        <f t="shared" si="7"/>
        <v/>
      </c>
      <c r="N17" s="983"/>
      <c r="O17" s="982" t="str">
        <f t="shared" ca="1" si="2"/>
        <v/>
      </c>
      <c r="P17" s="991" t="str">
        <f t="shared" ca="1" si="3"/>
        <v/>
      </c>
      <c r="S17" s="147" t="str">
        <f t="shared" si="4"/>
        <v/>
      </c>
      <c r="T17" s="147" t="str">
        <f t="shared" ca="1" si="5"/>
        <v/>
      </c>
      <c r="U17" s="147" t="str">
        <f t="shared" ca="1" si="6"/>
        <v/>
      </c>
    </row>
    <row r="18" spans="1:21" s="147" customFormat="1" ht="14.4" x14ac:dyDescent="0.2">
      <c r="A18" s="144" t="str">
        <f t="shared" si="0"/>
        <v/>
      </c>
      <c r="B18" s="984">
        <v>10</v>
      </c>
      <c r="C18" s="975"/>
      <c r="D18" s="1067"/>
      <c r="E18" s="976"/>
      <c r="F18" s="1035"/>
      <c r="G18" s="1087"/>
      <c r="H18" s="975"/>
      <c r="I18" s="978"/>
      <c r="J18" s="975" t="str">
        <f t="shared" si="1"/>
        <v/>
      </c>
      <c r="K18" s="979"/>
      <c r="L18" s="979"/>
      <c r="M18" s="980" t="str">
        <f t="shared" si="7"/>
        <v/>
      </c>
      <c r="N18" s="983"/>
      <c r="O18" s="982" t="str">
        <f t="shared" ca="1" si="2"/>
        <v/>
      </c>
      <c r="P18" s="991" t="str">
        <f t="shared" ca="1" si="3"/>
        <v/>
      </c>
      <c r="R18" s="942"/>
      <c r="S18" s="147" t="str">
        <f t="shared" si="4"/>
        <v/>
      </c>
      <c r="T18" s="147" t="str">
        <f t="shared" ca="1" si="5"/>
        <v/>
      </c>
      <c r="U18" s="147" t="str">
        <f t="shared" ca="1" si="6"/>
        <v/>
      </c>
    </row>
    <row r="19" spans="1:21" s="147" customFormat="1" ht="14.4" x14ac:dyDescent="0.2">
      <c r="A19" s="144" t="str">
        <f t="shared" si="0"/>
        <v/>
      </c>
      <c r="B19" s="984">
        <v>11</v>
      </c>
      <c r="C19" s="975"/>
      <c r="D19" s="1067"/>
      <c r="E19" s="976"/>
      <c r="F19" s="1035"/>
      <c r="G19" s="1087"/>
      <c r="H19" s="975"/>
      <c r="I19" s="978"/>
      <c r="J19" s="975" t="str">
        <f t="shared" si="1"/>
        <v/>
      </c>
      <c r="K19" s="979"/>
      <c r="L19" s="979"/>
      <c r="M19" s="980" t="str">
        <f t="shared" si="7"/>
        <v/>
      </c>
      <c r="N19" s="983"/>
      <c r="O19" s="982" t="str">
        <f t="shared" ca="1" si="2"/>
        <v/>
      </c>
      <c r="P19" s="991" t="str">
        <f t="shared" ca="1" si="3"/>
        <v/>
      </c>
      <c r="R19" s="943"/>
      <c r="S19" s="147" t="str">
        <f t="shared" si="4"/>
        <v/>
      </c>
      <c r="T19" s="147" t="str">
        <f t="shared" ca="1" si="5"/>
        <v/>
      </c>
      <c r="U19" s="147" t="str">
        <f t="shared" ca="1" si="6"/>
        <v/>
      </c>
    </row>
    <row r="20" spans="1:21" s="147" customFormat="1" ht="14.4" x14ac:dyDescent="0.2">
      <c r="A20" s="144" t="str">
        <f t="shared" si="0"/>
        <v/>
      </c>
      <c r="B20" s="984">
        <v>12</v>
      </c>
      <c r="C20" s="975"/>
      <c r="D20" s="1067"/>
      <c r="E20" s="976"/>
      <c r="F20" s="1035"/>
      <c r="G20" s="1087"/>
      <c r="H20" s="975"/>
      <c r="I20" s="978"/>
      <c r="J20" s="975" t="str">
        <f t="shared" si="1"/>
        <v/>
      </c>
      <c r="K20" s="979"/>
      <c r="L20" s="979"/>
      <c r="M20" s="980" t="str">
        <f t="shared" si="7"/>
        <v/>
      </c>
      <c r="N20" s="983"/>
      <c r="O20" s="982" t="str">
        <f t="shared" ca="1" si="2"/>
        <v/>
      </c>
      <c r="P20" s="991" t="str">
        <f t="shared" ca="1" si="3"/>
        <v/>
      </c>
      <c r="S20" s="147" t="str">
        <f t="shared" si="4"/>
        <v/>
      </c>
      <c r="T20" s="147" t="str">
        <f t="shared" ca="1" si="5"/>
        <v/>
      </c>
      <c r="U20" s="147" t="str">
        <f t="shared" ca="1" si="6"/>
        <v/>
      </c>
    </row>
    <row r="21" spans="1:21" s="147" customFormat="1" ht="14.4" x14ac:dyDescent="0.2">
      <c r="A21" s="144" t="str">
        <f t="shared" si="0"/>
        <v/>
      </c>
      <c r="B21" s="984">
        <v>13</v>
      </c>
      <c r="C21" s="975"/>
      <c r="D21" s="1067"/>
      <c r="E21" s="976"/>
      <c r="F21" s="1035"/>
      <c r="G21" s="1087"/>
      <c r="H21" s="975"/>
      <c r="I21" s="978"/>
      <c r="J21" s="975" t="str">
        <f t="shared" si="1"/>
        <v/>
      </c>
      <c r="K21" s="979"/>
      <c r="L21" s="979"/>
      <c r="M21" s="980" t="str">
        <f t="shared" si="7"/>
        <v/>
      </c>
      <c r="N21" s="983"/>
      <c r="O21" s="982" t="str">
        <f t="shared" ca="1" si="2"/>
        <v/>
      </c>
      <c r="P21" s="991" t="str">
        <f t="shared" ca="1" si="3"/>
        <v/>
      </c>
      <c r="R21" s="944"/>
      <c r="S21" s="147" t="str">
        <f t="shared" si="4"/>
        <v/>
      </c>
      <c r="T21" s="147" t="str">
        <f t="shared" ca="1" si="5"/>
        <v/>
      </c>
      <c r="U21" s="147" t="str">
        <f t="shared" ca="1" si="6"/>
        <v/>
      </c>
    </row>
    <row r="22" spans="1:21" s="147" customFormat="1" ht="14.4" x14ac:dyDescent="0.2">
      <c r="A22" s="144" t="str">
        <f t="shared" si="0"/>
        <v/>
      </c>
      <c r="B22" s="984">
        <v>14</v>
      </c>
      <c r="C22" s="975"/>
      <c r="D22" s="1067"/>
      <c r="E22" s="976"/>
      <c r="F22" s="1035"/>
      <c r="G22" s="1087"/>
      <c r="H22" s="975"/>
      <c r="I22" s="978"/>
      <c r="J22" s="975" t="str">
        <f t="shared" si="1"/>
        <v/>
      </c>
      <c r="K22" s="979"/>
      <c r="L22" s="979"/>
      <c r="M22" s="980" t="str">
        <f t="shared" si="7"/>
        <v/>
      </c>
      <c r="N22" s="983"/>
      <c r="O22" s="982" t="str">
        <f t="shared" ca="1" si="2"/>
        <v/>
      </c>
      <c r="P22" s="991" t="str">
        <f t="shared" ca="1" si="3"/>
        <v/>
      </c>
      <c r="S22" s="147" t="str">
        <f t="shared" si="4"/>
        <v/>
      </c>
      <c r="T22" s="147" t="str">
        <f t="shared" ca="1" si="5"/>
        <v/>
      </c>
      <c r="U22" s="147" t="str">
        <f t="shared" ca="1" si="6"/>
        <v/>
      </c>
    </row>
    <row r="23" spans="1:21" s="147" customFormat="1" ht="14.4" x14ac:dyDescent="0.2">
      <c r="A23" s="144" t="str">
        <f t="shared" si="0"/>
        <v/>
      </c>
      <c r="B23" s="984">
        <v>15</v>
      </c>
      <c r="C23" s="975"/>
      <c r="D23" s="1067"/>
      <c r="E23" s="976"/>
      <c r="F23" s="1035"/>
      <c r="G23" s="1087"/>
      <c r="H23" s="975"/>
      <c r="I23" s="978"/>
      <c r="J23" s="975" t="str">
        <f t="shared" si="1"/>
        <v/>
      </c>
      <c r="K23" s="979"/>
      <c r="L23" s="979"/>
      <c r="M23" s="980" t="str">
        <f t="shared" si="7"/>
        <v/>
      </c>
      <c r="N23" s="983"/>
      <c r="O23" s="982" t="str">
        <f t="shared" ca="1" si="2"/>
        <v/>
      </c>
      <c r="P23" s="991" t="str">
        <f t="shared" ca="1" si="3"/>
        <v/>
      </c>
      <c r="S23" s="147" t="str">
        <f t="shared" si="4"/>
        <v/>
      </c>
      <c r="T23" s="147" t="str">
        <f t="shared" ca="1" si="5"/>
        <v/>
      </c>
      <c r="U23" s="147" t="str">
        <f t="shared" ca="1" si="6"/>
        <v/>
      </c>
    </row>
    <row r="24" spans="1:21" s="147" customFormat="1" ht="14.4" x14ac:dyDescent="0.2">
      <c r="A24" s="144" t="str">
        <f t="shared" si="0"/>
        <v/>
      </c>
      <c r="B24" s="984">
        <v>16</v>
      </c>
      <c r="C24" s="975"/>
      <c r="D24" s="1067"/>
      <c r="E24" s="976"/>
      <c r="F24" s="1035"/>
      <c r="G24" s="1087"/>
      <c r="H24" s="975"/>
      <c r="I24" s="978"/>
      <c r="J24" s="975" t="str">
        <f t="shared" si="1"/>
        <v/>
      </c>
      <c r="K24" s="979"/>
      <c r="L24" s="979"/>
      <c r="M24" s="980" t="str">
        <f t="shared" si="7"/>
        <v/>
      </c>
      <c r="N24" s="983"/>
      <c r="O24" s="982" t="str">
        <f t="shared" ca="1" si="2"/>
        <v/>
      </c>
      <c r="P24" s="991" t="str">
        <f t="shared" ca="1" si="3"/>
        <v/>
      </c>
      <c r="R24" s="945"/>
      <c r="S24" s="147" t="str">
        <f t="shared" si="4"/>
        <v/>
      </c>
      <c r="T24" s="147" t="str">
        <f t="shared" ca="1" si="5"/>
        <v/>
      </c>
      <c r="U24" s="147" t="str">
        <f t="shared" ca="1" si="6"/>
        <v/>
      </c>
    </row>
    <row r="25" spans="1:21" s="147" customFormat="1" ht="14.4" x14ac:dyDescent="0.2">
      <c r="A25" s="144" t="str">
        <f t="shared" si="0"/>
        <v/>
      </c>
      <c r="B25" s="984">
        <v>17</v>
      </c>
      <c r="C25" s="975"/>
      <c r="D25" s="1067"/>
      <c r="E25" s="976"/>
      <c r="F25" s="1035"/>
      <c r="G25" s="1087"/>
      <c r="H25" s="975"/>
      <c r="I25" s="978"/>
      <c r="J25" s="975" t="str">
        <f t="shared" si="1"/>
        <v/>
      </c>
      <c r="K25" s="979"/>
      <c r="L25" s="979"/>
      <c r="M25" s="980" t="str">
        <f t="shared" si="7"/>
        <v/>
      </c>
      <c r="N25" s="983"/>
      <c r="O25" s="982" t="str">
        <f t="shared" ca="1" si="2"/>
        <v/>
      </c>
      <c r="P25" s="991" t="str">
        <f t="shared" ca="1" si="3"/>
        <v/>
      </c>
      <c r="R25" s="944"/>
      <c r="S25" s="147" t="str">
        <f t="shared" si="4"/>
        <v/>
      </c>
      <c r="T25" s="147" t="str">
        <f t="shared" ca="1" si="5"/>
        <v/>
      </c>
      <c r="U25" s="147" t="str">
        <f t="shared" ca="1" si="6"/>
        <v/>
      </c>
    </row>
    <row r="26" spans="1:21" s="147" customFormat="1" ht="14.4" x14ac:dyDescent="0.2">
      <c r="A26" s="144" t="str">
        <f t="shared" si="0"/>
        <v/>
      </c>
      <c r="B26" s="984">
        <v>18</v>
      </c>
      <c r="C26" s="975"/>
      <c r="D26" s="1067"/>
      <c r="E26" s="976"/>
      <c r="F26" s="1035"/>
      <c r="G26" s="1087"/>
      <c r="H26" s="975"/>
      <c r="I26" s="978"/>
      <c r="J26" s="975" t="str">
        <f t="shared" si="1"/>
        <v/>
      </c>
      <c r="K26" s="979"/>
      <c r="L26" s="979"/>
      <c r="M26" s="980" t="str">
        <f t="shared" si="7"/>
        <v/>
      </c>
      <c r="N26" s="983"/>
      <c r="O26" s="982" t="str">
        <f t="shared" ca="1" si="2"/>
        <v/>
      </c>
      <c r="P26" s="991" t="str">
        <f t="shared" ca="1" si="3"/>
        <v/>
      </c>
      <c r="S26" s="147" t="str">
        <f t="shared" si="4"/>
        <v/>
      </c>
      <c r="T26" s="147" t="str">
        <f t="shared" ca="1" si="5"/>
        <v/>
      </c>
      <c r="U26" s="147" t="str">
        <f t="shared" ca="1" si="6"/>
        <v/>
      </c>
    </row>
    <row r="27" spans="1:21" s="147" customFormat="1" ht="14.4" x14ac:dyDescent="0.2">
      <c r="A27" s="144" t="str">
        <f t="shared" si="0"/>
        <v/>
      </c>
      <c r="B27" s="984">
        <v>19</v>
      </c>
      <c r="C27" s="975"/>
      <c r="D27" s="1067"/>
      <c r="E27" s="976"/>
      <c r="F27" s="1035"/>
      <c r="G27" s="1087"/>
      <c r="H27" s="975"/>
      <c r="I27" s="978"/>
      <c r="J27" s="975" t="str">
        <f t="shared" si="1"/>
        <v/>
      </c>
      <c r="K27" s="979"/>
      <c r="L27" s="979"/>
      <c r="M27" s="980" t="str">
        <f t="shared" si="7"/>
        <v/>
      </c>
      <c r="N27" s="983"/>
      <c r="O27" s="982" t="str">
        <f t="shared" ca="1" si="2"/>
        <v/>
      </c>
      <c r="P27" s="991" t="str">
        <f t="shared" ca="1" si="3"/>
        <v/>
      </c>
      <c r="S27" s="147" t="str">
        <f t="shared" si="4"/>
        <v/>
      </c>
      <c r="T27" s="147" t="str">
        <f t="shared" ca="1" si="5"/>
        <v/>
      </c>
      <c r="U27" s="147" t="str">
        <f t="shared" ca="1" si="6"/>
        <v/>
      </c>
    </row>
    <row r="28" spans="1:21" s="147" customFormat="1" ht="14.4" x14ac:dyDescent="0.2">
      <c r="A28" s="144" t="str">
        <f t="shared" si="0"/>
        <v/>
      </c>
      <c r="B28" s="984">
        <v>20</v>
      </c>
      <c r="C28" s="975"/>
      <c r="D28" s="1067"/>
      <c r="E28" s="976"/>
      <c r="F28" s="1035"/>
      <c r="G28" s="1087"/>
      <c r="H28" s="975"/>
      <c r="I28" s="978"/>
      <c r="J28" s="975" t="str">
        <f t="shared" si="1"/>
        <v/>
      </c>
      <c r="K28" s="979"/>
      <c r="L28" s="979"/>
      <c r="M28" s="980" t="str">
        <f t="shared" si="7"/>
        <v/>
      </c>
      <c r="N28" s="983"/>
      <c r="O28" s="982" t="str">
        <f t="shared" ca="1" si="2"/>
        <v/>
      </c>
      <c r="P28" s="991" t="str">
        <f t="shared" ca="1" si="3"/>
        <v/>
      </c>
      <c r="S28" s="147" t="str">
        <f t="shared" si="4"/>
        <v/>
      </c>
      <c r="T28" s="147" t="str">
        <f t="shared" ca="1" si="5"/>
        <v/>
      </c>
      <c r="U28" s="147" t="str">
        <f t="shared" ca="1" si="6"/>
        <v/>
      </c>
    </row>
    <row r="29" spans="1:21" s="147" customFormat="1" ht="14.4" x14ac:dyDescent="0.2">
      <c r="A29" s="144" t="str">
        <f t="shared" si="0"/>
        <v/>
      </c>
      <c r="B29" s="984">
        <v>21</v>
      </c>
      <c r="C29" s="975"/>
      <c r="D29" s="1067"/>
      <c r="E29" s="976"/>
      <c r="F29" s="1035"/>
      <c r="G29" s="1087"/>
      <c r="H29" s="975"/>
      <c r="I29" s="978"/>
      <c r="J29" s="975" t="str">
        <f t="shared" si="1"/>
        <v/>
      </c>
      <c r="K29" s="979"/>
      <c r="L29" s="979"/>
      <c r="M29" s="980" t="str">
        <f t="shared" si="7"/>
        <v/>
      </c>
      <c r="N29" s="983"/>
      <c r="O29" s="982" t="str">
        <f t="shared" ca="1" si="2"/>
        <v/>
      </c>
      <c r="P29" s="991" t="str">
        <f t="shared" ca="1" si="3"/>
        <v/>
      </c>
      <c r="S29" s="147" t="str">
        <f t="shared" si="4"/>
        <v/>
      </c>
      <c r="T29" s="147" t="str">
        <f t="shared" ca="1" si="5"/>
        <v/>
      </c>
      <c r="U29" s="147" t="str">
        <f t="shared" ca="1" si="6"/>
        <v/>
      </c>
    </row>
    <row r="30" spans="1:21" s="147" customFormat="1" ht="14.4" x14ac:dyDescent="0.2">
      <c r="A30" s="144" t="str">
        <f t="shared" si="0"/>
        <v/>
      </c>
      <c r="B30" s="984">
        <v>22</v>
      </c>
      <c r="C30" s="975"/>
      <c r="D30" s="1067"/>
      <c r="E30" s="976"/>
      <c r="F30" s="1035"/>
      <c r="G30" s="1087"/>
      <c r="H30" s="975"/>
      <c r="I30" s="978"/>
      <c r="J30" s="975" t="str">
        <f t="shared" si="1"/>
        <v/>
      </c>
      <c r="K30" s="979"/>
      <c r="L30" s="979"/>
      <c r="M30" s="980" t="str">
        <f t="shared" si="7"/>
        <v/>
      </c>
      <c r="N30" s="983"/>
      <c r="O30" s="982" t="str">
        <f t="shared" ca="1" si="2"/>
        <v/>
      </c>
      <c r="P30" s="991" t="str">
        <f t="shared" ca="1" si="3"/>
        <v/>
      </c>
      <c r="S30" s="147" t="str">
        <f t="shared" si="4"/>
        <v/>
      </c>
      <c r="T30" s="147" t="str">
        <f t="shared" ca="1" si="5"/>
        <v/>
      </c>
      <c r="U30" s="147" t="str">
        <f t="shared" ca="1" si="6"/>
        <v/>
      </c>
    </row>
    <row r="31" spans="1:21" s="147" customFormat="1" ht="14.4" x14ac:dyDescent="0.2">
      <c r="A31" s="144" t="str">
        <f t="shared" si="0"/>
        <v/>
      </c>
      <c r="B31" s="984">
        <v>23</v>
      </c>
      <c r="C31" s="975"/>
      <c r="D31" s="1067"/>
      <c r="E31" s="976"/>
      <c r="F31" s="1035"/>
      <c r="G31" s="1087"/>
      <c r="H31" s="975"/>
      <c r="I31" s="978"/>
      <c r="J31" s="975" t="str">
        <f t="shared" si="1"/>
        <v/>
      </c>
      <c r="K31" s="979"/>
      <c r="L31" s="979"/>
      <c r="M31" s="980" t="str">
        <f t="shared" si="7"/>
        <v/>
      </c>
      <c r="N31" s="983"/>
      <c r="O31" s="982" t="str">
        <f t="shared" ca="1" si="2"/>
        <v/>
      </c>
      <c r="P31" s="991" t="str">
        <f t="shared" ca="1" si="3"/>
        <v/>
      </c>
      <c r="S31" s="147" t="str">
        <f t="shared" si="4"/>
        <v/>
      </c>
      <c r="T31" s="147" t="str">
        <f t="shared" ca="1" si="5"/>
        <v/>
      </c>
      <c r="U31" s="147" t="str">
        <f t="shared" ca="1" si="6"/>
        <v/>
      </c>
    </row>
    <row r="32" spans="1:21" s="147" customFormat="1" ht="14.4" x14ac:dyDescent="0.2">
      <c r="A32" s="144" t="str">
        <f t="shared" si="0"/>
        <v/>
      </c>
      <c r="B32" s="984">
        <v>24</v>
      </c>
      <c r="C32" s="975"/>
      <c r="D32" s="1067"/>
      <c r="E32" s="976"/>
      <c r="F32" s="1035"/>
      <c r="G32" s="1087"/>
      <c r="H32" s="975"/>
      <c r="I32" s="978"/>
      <c r="J32" s="975" t="str">
        <f t="shared" si="1"/>
        <v/>
      </c>
      <c r="K32" s="979"/>
      <c r="L32" s="979"/>
      <c r="M32" s="980" t="str">
        <f t="shared" si="7"/>
        <v/>
      </c>
      <c r="N32" s="983"/>
      <c r="O32" s="982" t="str">
        <f t="shared" ca="1" si="2"/>
        <v/>
      </c>
      <c r="P32" s="991" t="str">
        <f t="shared" ca="1" si="3"/>
        <v/>
      </c>
      <c r="S32" s="147" t="str">
        <f t="shared" si="4"/>
        <v/>
      </c>
      <c r="T32" s="147" t="str">
        <f t="shared" ca="1" si="5"/>
        <v/>
      </c>
      <c r="U32" s="147" t="str">
        <f t="shared" ca="1" si="6"/>
        <v/>
      </c>
    </row>
    <row r="33" spans="1:21" s="147" customFormat="1" ht="14.4" x14ac:dyDescent="0.2">
      <c r="A33" s="144" t="str">
        <f t="shared" si="0"/>
        <v/>
      </c>
      <c r="B33" s="984">
        <v>25</v>
      </c>
      <c r="C33" s="975"/>
      <c r="D33" s="1067"/>
      <c r="E33" s="976"/>
      <c r="F33" s="1035"/>
      <c r="G33" s="1087"/>
      <c r="H33" s="975"/>
      <c r="I33" s="978"/>
      <c r="J33" s="975" t="str">
        <f t="shared" si="1"/>
        <v/>
      </c>
      <c r="K33" s="979"/>
      <c r="L33" s="979"/>
      <c r="M33" s="980" t="str">
        <f t="shared" si="7"/>
        <v/>
      </c>
      <c r="N33" s="983"/>
      <c r="O33" s="982" t="str">
        <f t="shared" ca="1" si="2"/>
        <v/>
      </c>
      <c r="P33" s="991" t="str">
        <f t="shared" ca="1" si="3"/>
        <v/>
      </c>
      <c r="S33" s="147" t="str">
        <f t="shared" si="4"/>
        <v/>
      </c>
      <c r="T33" s="147" t="str">
        <f t="shared" ca="1" si="5"/>
        <v/>
      </c>
      <c r="U33" s="147" t="str">
        <f t="shared" ca="1" si="6"/>
        <v/>
      </c>
    </row>
    <row r="34" spans="1:21" s="147" customFormat="1" ht="14.4" x14ac:dyDescent="0.2">
      <c r="A34" s="144" t="str">
        <f t="shared" si="0"/>
        <v/>
      </c>
      <c r="B34" s="984">
        <v>26</v>
      </c>
      <c r="C34" s="975"/>
      <c r="D34" s="1067"/>
      <c r="E34" s="976"/>
      <c r="F34" s="1035"/>
      <c r="G34" s="1087"/>
      <c r="H34" s="975"/>
      <c r="I34" s="978"/>
      <c r="J34" s="975" t="str">
        <f t="shared" si="1"/>
        <v/>
      </c>
      <c r="K34" s="979"/>
      <c r="L34" s="979"/>
      <c r="M34" s="980" t="str">
        <f t="shared" si="7"/>
        <v/>
      </c>
      <c r="N34" s="983"/>
      <c r="O34" s="982" t="str">
        <f t="shared" ca="1" si="2"/>
        <v/>
      </c>
      <c r="P34" s="991" t="str">
        <f t="shared" ca="1" si="3"/>
        <v/>
      </c>
      <c r="S34" s="147" t="str">
        <f t="shared" si="4"/>
        <v/>
      </c>
      <c r="T34" s="147" t="str">
        <f t="shared" ca="1" si="5"/>
        <v/>
      </c>
      <c r="U34" s="147" t="str">
        <f t="shared" ca="1" si="6"/>
        <v/>
      </c>
    </row>
    <row r="35" spans="1:21" s="147" customFormat="1" ht="14.4" x14ac:dyDescent="0.2">
      <c r="A35" s="144" t="str">
        <f t="shared" si="0"/>
        <v/>
      </c>
      <c r="B35" s="984">
        <v>27</v>
      </c>
      <c r="C35" s="975"/>
      <c r="D35" s="1067"/>
      <c r="E35" s="976"/>
      <c r="F35" s="1035"/>
      <c r="G35" s="1087"/>
      <c r="H35" s="975"/>
      <c r="I35" s="978"/>
      <c r="J35" s="975" t="str">
        <f t="shared" si="1"/>
        <v/>
      </c>
      <c r="K35" s="979"/>
      <c r="L35" s="979"/>
      <c r="M35" s="980" t="str">
        <f t="shared" si="7"/>
        <v/>
      </c>
      <c r="N35" s="983"/>
      <c r="O35" s="982" t="str">
        <f t="shared" ca="1" si="2"/>
        <v/>
      </c>
      <c r="P35" s="991" t="str">
        <f t="shared" ca="1" si="3"/>
        <v/>
      </c>
      <c r="S35" s="147" t="str">
        <f t="shared" si="4"/>
        <v/>
      </c>
      <c r="T35" s="147" t="str">
        <f t="shared" ca="1" si="5"/>
        <v/>
      </c>
      <c r="U35" s="147" t="str">
        <f t="shared" ca="1" si="6"/>
        <v/>
      </c>
    </row>
    <row r="36" spans="1:21" s="147" customFormat="1" ht="14.4" x14ac:dyDescent="0.2">
      <c r="A36" s="144" t="str">
        <f t="shared" si="0"/>
        <v/>
      </c>
      <c r="B36" s="984">
        <v>28</v>
      </c>
      <c r="C36" s="975"/>
      <c r="D36" s="1067"/>
      <c r="E36" s="976"/>
      <c r="F36" s="1035"/>
      <c r="G36" s="1087"/>
      <c r="H36" s="975"/>
      <c r="I36" s="978"/>
      <c r="J36" s="975" t="str">
        <f t="shared" si="1"/>
        <v/>
      </c>
      <c r="K36" s="979"/>
      <c r="L36" s="979"/>
      <c r="M36" s="980" t="str">
        <f t="shared" si="7"/>
        <v/>
      </c>
      <c r="N36" s="983"/>
      <c r="O36" s="982" t="str">
        <f t="shared" ca="1" si="2"/>
        <v/>
      </c>
      <c r="P36" s="991" t="str">
        <f t="shared" ca="1" si="3"/>
        <v/>
      </c>
      <c r="S36" s="147" t="str">
        <f t="shared" si="4"/>
        <v/>
      </c>
      <c r="T36" s="147" t="str">
        <f t="shared" ca="1" si="5"/>
        <v/>
      </c>
      <c r="U36" s="147" t="str">
        <f t="shared" ca="1" si="6"/>
        <v/>
      </c>
    </row>
    <row r="37" spans="1:21" s="147" customFormat="1" ht="14.4" x14ac:dyDescent="0.2">
      <c r="A37" s="144" t="str">
        <f t="shared" si="0"/>
        <v/>
      </c>
      <c r="B37" s="984">
        <v>29</v>
      </c>
      <c r="C37" s="975"/>
      <c r="D37" s="1067"/>
      <c r="E37" s="976"/>
      <c r="F37" s="1035"/>
      <c r="G37" s="1087"/>
      <c r="H37" s="975"/>
      <c r="I37" s="978"/>
      <c r="J37" s="975" t="str">
        <f t="shared" si="1"/>
        <v/>
      </c>
      <c r="K37" s="979"/>
      <c r="L37" s="979"/>
      <c r="M37" s="980" t="str">
        <f t="shared" si="7"/>
        <v/>
      </c>
      <c r="N37" s="983"/>
      <c r="O37" s="982" t="str">
        <f t="shared" ca="1" si="2"/>
        <v/>
      </c>
      <c r="P37" s="991" t="str">
        <f t="shared" ca="1" si="3"/>
        <v/>
      </c>
      <c r="S37" s="147" t="str">
        <f t="shared" si="4"/>
        <v/>
      </c>
      <c r="T37" s="147" t="str">
        <f t="shared" ca="1" si="5"/>
        <v/>
      </c>
      <c r="U37" s="147" t="str">
        <f t="shared" ca="1" si="6"/>
        <v/>
      </c>
    </row>
    <row r="38" spans="1:21" s="147" customFormat="1" ht="14.4" x14ac:dyDescent="0.2">
      <c r="A38" s="144" t="str">
        <f t="shared" si="0"/>
        <v/>
      </c>
      <c r="B38" s="984">
        <v>30</v>
      </c>
      <c r="C38" s="975"/>
      <c r="D38" s="1067"/>
      <c r="E38" s="976"/>
      <c r="F38" s="1035"/>
      <c r="G38" s="1087"/>
      <c r="H38" s="975"/>
      <c r="I38" s="978"/>
      <c r="J38" s="975" t="str">
        <f t="shared" si="1"/>
        <v/>
      </c>
      <c r="K38" s="979"/>
      <c r="L38" s="979"/>
      <c r="M38" s="980" t="str">
        <f t="shared" si="7"/>
        <v/>
      </c>
      <c r="N38" s="983"/>
      <c r="O38" s="982" t="str">
        <f t="shared" ca="1" si="2"/>
        <v/>
      </c>
      <c r="P38" s="991" t="str">
        <f t="shared" ca="1" si="3"/>
        <v/>
      </c>
      <c r="S38" s="147" t="str">
        <f t="shared" si="4"/>
        <v/>
      </c>
      <c r="T38" s="147" t="str">
        <f t="shared" ca="1" si="5"/>
        <v/>
      </c>
      <c r="U38" s="147" t="str">
        <f t="shared" ca="1" si="6"/>
        <v/>
      </c>
    </row>
    <row r="39" spans="1:21" s="147" customFormat="1" ht="14.4" x14ac:dyDescent="0.2">
      <c r="A39" s="144" t="str">
        <f t="shared" si="0"/>
        <v/>
      </c>
      <c r="B39" s="984">
        <v>31</v>
      </c>
      <c r="C39" s="975"/>
      <c r="D39" s="1067"/>
      <c r="E39" s="976"/>
      <c r="F39" s="1035"/>
      <c r="G39" s="1087"/>
      <c r="H39" s="975"/>
      <c r="I39" s="978"/>
      <c r="J39" s="975" t="str">
        <f t="shared" si="1"/>
        <v/>
      </c>
      <c r="K39" s="979"/>
      <c r="L39" s="979"/>
      <c r="M39" s="980" t="str">
        <f t="shared" si="7"/>
        <v/>
      </c>
      <c r="N39" s="983"/>
      <c r="O39" s="982" t="str">
        <f t="shared" ca="1" si="2"/>
        <v/>
      </c>
      <c r="P39" s="991" t="str">
        <f t="shared" ca="1" si="3"/>
        <v/>
      </c>
      <c r="S39" s="147" t="str">
        <f t="shared" si="4"/>
        <v/>
      </c>
      <c r="T39" s="147" t="str">
        <f t="shared" ca="1" si="5"/>
        <v/>
      </c>
      <c r="U39" s="147" t="str">
        <f t="shared" ca="1" si="6"/>
        <v/>
      </c>
    </row>
    <row r="40" spans="1:21" s="147" customFormat="1" ht="14.4" x14ac:dyDescent="0.2">
      <c r="A40" s="144" t="str">
        <f t="shared" si="0"/>
        <v/>
      </c>
      <c r="B40" s="984">
        <v>32</v>
      </c>
      <c r="C40" s="975"/>
      <c r="D40" s="1067"/>
      <c r="E40" s="976"/>
      <c r="F40" s="1035"/>
      <c r="G40" s="1087"/>
      <c r="H40" s="975"/>
      <c r="I40" s="978"/>
      <c r="J40" s="975" t="str">
        <f t="shared" si="1"/>
        <v/>
      </c>
      <c r="K40" s="979"/>
      <c r="L40" s="979"/>
      <c r="M40" s="980" t="str">
        <f t="shared" si="7"/>
        <v/>
      </c>
      <c r="N40" s="983"/>
      <c r="O40" s="982" t="str">
        <f t="shared" ca="1" si="2"/>
        <v/>
      </c>
      <c r="P40" s="991" t="str">
        <f t="shared" ca="1" si="3"/>
        <v/>
      </c>
      <c r="S40" s="147" t="str">
        <f t="shared" si="4"/>
        <v/>
      </c>
      <c r="T40" s="147" t="str">
        <f t="shared" ca="1" si="5"/>
        <v/>
      </c>
      <c r="U40" s="147" t="str">
        <f t="shared" ca="1" si="6"/>
        <v/>
      </c>
    </row>
    <row r="41" spans="1:21" s="147" customFormat="1" ht="14.4" x14ac:dyDescent="0.2">
      <c r="A41" s="144" t="str">
        <f t="shared" si="0"/>
        <v/>
      </c>
      <c r="B41" s="984">
        <v>33</v>
      </c>
      <c r="C41" s="975"/>
      <c r="D41" s="1067"/>
      <c r="E41" s="976"/>
      <c r="F41" s="1035"/>
      <c r="G41" s="1087"/>
      <c r="H41" s="975"/>
      <c r="I41" s="978"/>
      <c r="J41" s="975" t="str">
        <f t="shared" si="1"/>
        <v/>
      </c>
      <c r="K41" s="979"/>
      <c r="L41" s="979"/>
      <c r="M41" s="980" t="str">
        <f t="shared" si="7"/>
        <v/>
      </c>
      <c r="N41" s="983"/>
      <c r="O41" s="982" t="str">
        <f t="shared" ca="1" si="2"/>
        <v/>
      </c>
      <c r="P41" s="991" t="str">
        <f t="shared" ca="1" si="3"/>
        <v/>
      </c>
      <c r="S41" s="147" t="str">
        <f t="shared" si="4"/>
        <v/>
      </c>
      <c r="T41" s="147" t="str">
        <f t="shared" ca="1" si="5"/>
        <v/>
      </c>
      <c r="U41" s="147" t="str">
        <f t="shared" ca="1" si="6"/>
        <v/>
      </c>
    </row>
    <row r="42" spans="1:21" s="147" customFormat="1" ht="14.4" x14ac:dyDescent="0.2">
      <c r="A42" s="144" t="str">
        <f t="shared" si="0"/>
        <v/>
      </c>
      <c r="B42" s="984">
        <v>34</v>
      </c>
      <c r="C42" s="975"/>
      <c r="D42" s="1067"/>
      <c r="E42" s="976"/>
      <c r="F42" s="1035"/>
      <c r="G42" s="1087"/>
      <c r="H42" s="975"/>
      <c r="I42" s="978"/>
      <c r="J42" s="975" t="str">
        <f t="shared" si="1"/>
        <v/>
      </c>
      <c r="K42" s="979"/>
      <c r="L42" s="979"/>
      <c r="M42" s="980" t="str">
        <f t="shared" si="7"/>
        <v/>
      </c>
      <c r="N42" s="983"/>
      <c r="O42" s="982" t="str">
        <f t="shared" ca="1" si="2"/>
        <v/>
      </c>
      <c r="P42" s="991" t="str">
        <f t="shared" ca="1" si="3"/>
        <v/>
      </c>
      <c r="S42" s="147" t="str">
        <f t="shared" si="4"/>
        <v/>
      </c>
      <c r="T42" s="147" t="str">
        <f t="shared" ca="1" si="5"/>
        <v/>
      </c>
      <c r="U42" s="147" t="str">
        <f t="shared" ca="1" si="6"/>
        <v/>
      </c>
    </row>
    <row r="43" spans="1:21" s="147" customFormat="1" ht="14.4" x14ac:dyDescent="0.2">
      <c r="A43" s="144" t="str">
        <f t="shared" si="0"/>
        <v/>
      </c>
      <c r="B43" s="984">
        <v>35</v>
      </c>
      <c r="C43" s="975"/>
      <c r="D43" s="1067"/>
      <c r="E43" s="976"/>
      <c r="F43" s="1035"/>
      <c r="G43" s="1087"/>
      <c r="H43" s="975"/>
      <c r="I43" s="978"/>
      <c r="J43" s="975" t="str">
        <f t="shared" si="1"/>
        <v/>
      </c>
      <c r="K43" s="979"/>
      <c r="L43" s="979"/>
      <c r="M43" s="980" t="str">
        <f t="shared" si="7"/>
        <v/>
      </c>
      <c r="N43" s="983"/>
      <c r="O43" s="982" t="str">
        <f t="shared" ca="1" si="2"/>
        <v/>
      </c>
      <c r="P43" s="991" t="str">
        <f t="shared" ca="1" si="3"/>
        <v/>
      </c>
      <c r="S43" s="147" t="str">
        <f t="shared" si="4"/>
        <v/>
      </c>
      <c r="T43" s="147" t="str">
        <f t="shared" ca="1" si="5"/>
        <v/>
      </c>
      <c r="U43" s="147" t="str">
        <f t="shared" ca="1" si="6"/>
        <v/>
      </c>
    </row>
    <row r="44" spans="1:21" s="147" customFormat="1" ht="14.4" x14ac:dyDescent="0.2">
      <c r="A44" s="144" t="str">
        <f t="shared" si="0"/>
        <v/>
      </c>
      <c r="B44" s="984">
        <v>36</v>
      </c>
      <c r="C44" s="975"/>
      <c r="D44" s="1067"/>
      <c r="E44" s="976"/>
      <c r="F44" s="1035"/>
      <c r="G44" s="1087"/>
      <c r="H44" s="975"/>
      <c r="I44" s="978"/>
      <c r="J44" s="975" t="str">
        <f t="shared" si="1"/>
        <v/>
      </c>
      <c r="K44" s="979"/>
      <c r="L44" s="979"/>
      <c r="M44" s="980" t="str">
        <f t="shared" si="7"/>
        <v/>
      </c>
      <c r="N44" s="983"/>
      <c r="O44" s="982" t="str">
        <f t="shared" ca="1" si="2"/>
        <v/>
      </c>
      <c r="P44" s="991" t="str">
        <f t="shared" ca="1" si="3"/>
        <v/>
      </c>
      <c r="S44" s="147" t="str">
        <f t="shared" si="4"/>
        <v/>
      </c>
      <c r="T44" s="147" t="str">
        <f t="shared" ca="1" si="5"/>
        <v/>
      </c>
      <c r="U44" s="147" t="str">
        <f t="shared" ca="1" si="6"/>
        <v/>
      </c>
    </row>
    <row r="45" spans="1:21" s="147" customFormat="1" ht="14.4" x14ac:dyDescent="0.2">
      <c r="A45" s="144" t="str">
        <f t="shared" si="0"/>
        <v/>
      </c>
      <c r="B45" s="984">
        <v>37</v>
      </c>
      <c r="C45" s="975"/>
      <c r="D45" s="1067"/>
      <c r="E45" s="976"/>
      <c r="F45" s="1035"/>
      <c r="G45" s="1087"/>
      <c r="H45" s="975"/>
      <c r="I45" s="978"/>
      <c r="J45" s="975" t="str">
        <f t="shared" si="1"/>
        <v/>
      </c>
      <c r="K45" s="979"/>
      <c r="L45" s="979"/>
      <c r="M45" s="980" t="str">
        <f t="shared" si="7"/>
        <v/>
      </c>
      <c r="N45" s="983"/>
      <c r="O45" s="982" t="str">
        <f t="shared" ca="1" si="2"/>
        <v/>
      </c>
      <c r="P45" s="991" t="str">
        <f t="shared" ca="1" si="3"/>
        <v/>
      </c>
      <c r="S45" s="147" t="str">
        <f t="shared" si="4"/>
        <v/>
      </c>
      <c r="T45" s="147" t="str">
        <f t="shared" ca="1" si="5"/>
        <v/>
      </c>
      <c r="U45" s="147" t="str">
        <f t="shared" ca="1" si="6"/>
        <v/>
      </c>
    </row>
    <row r="46" spans="1:21" s="147" customFormat="1" ht="14.4" x14ac:dyDescent="0.2">
      <c r="A46" s="144" t="str">
        <f t="shared" si="0"/>
        <v/>
      </c>
      <c r="B46" s="984">
        <v>38</v>
      </c>
      <c r="C46" s="975"/>
      <c r="D46" s="1067"/>
      <c r="E46" s="976"/>
      <c r="F46" s="1035"/>
      <c r="G46" s="1087"/>
      <c r="H46" s="975"/>
      <c r="I46" s="978"/>
      <c r="J46" s="975" t="str">
        <f t="shared" si="1"/>
        <v/>
      </c>
      <c r="K46" s="979"/>
      <c r="L46" s="979"/>
      <c r="M46" s="980" t="str">
        <f t="shared" si="7"/>
        <v/>
      </c>
      <c r="N46" s="983"/>
      <c r="O46" s="982" t="str">
        <f t="shared" ca="1" si="2"/>
        <v/>
      </c>
      <c r="P46" s="991" t="str">
        <f t="shared" ca="1" si="3"/>
        <v/>
      </c>
      <c r="S46" s="147" t="str">
        <f t="shared" si="4"/>
        <v/>
      </c>
      <c r="T46" s="147" t="str">
        <f t="shared" ca="1" si="5"/>
        <v/>
      </c>
      <c r="U46" s="147" t="str">
        <f t="shared" ca="1" si="6"/>
        <v/>
      </c>
    </row>
    <row r="47" spans="1:21" s="147" customFormat="1" ht="14.4" x14ac:dyDescent="0.2">
      <c r="A47" s="144" t="str">
        <f t="shared" si="0"/>
        <v/>
      </c>
      <c r="B47" s="984">
        <v>39</v>
      </c>
      <c r="C47" s="975"/>
      <c r="D47" s="1067"/>
      <c r="E47" s="976"/>
      <c r="F47" s="1035"/>
      <c r="G47" s="1087"/>
      <c r="H47" s="975"/>
      <c r="I47" s="978"/>
      <c r="J47" s="975" t="str">
        <f t="shared" si="1"/>
        <v/>
      </c>
      <c r="K47" s="979"/>
      <c r="L47" s="979"/>
      <c r="M47" s="980" t="str">
        <f t="shared" si="7"/>
        <v/>
      </c>
      <c r="N47" s="983"/>
      <c r="O47" s="982" t="str">
        <f t="shared" ca="1" si="2"/>
        <v/>
      </c>
      <c r="P47" s="991" t="str">
        <f t="shared" ca="1" si="3"/>
        <v/>
      </c>
      <c r="S47" s="147" t="str">
        <f t="shared" si="4"/>
        <v/>
      </c>
      <c r="T47" s="147" t="str">
        <f t="shared" ca="1" si="5"/>
        <v/>
      </c>
      <c r="U47" s="147" t="str">
        <f t="shared" ca="1" si="6"/>
        <v/>
      </c>
    </row>
    <row r="48" spans="1:21" s="147" customFormat="1" ht="14.4" x14ac:dyDescent="0.2">
      <c r="A48" s="144" t="str">
        <f t="shared" si="0"/>
        <v/>
      </c>
      <c r="B48" s="984">
        <v>40</v>
      </c>
      <c r="C48" s="975"/>
      <c r="D48" s="1067"/>
      <c r="E48" s="976"/>
      <c r="F48" s="1035"/>
      <c r="G48" s="1087"/>
      <c r="H48" s="975"/>
      <c r="I48" s="978"/>
      <c r="J48" s="975" t="str">
        <f t="shared" si="1"/>
        <v/>
      </c>
      <c r="K48" s="979"/>
      <c r="L48" s="979"/>
      <c r="M48" s="980" t="str">
        <f t="shared" si="7"/>
        <v/>
      </c>
      <c r="N48" s="983"/>
      <c r="O48" s="982" t="str">
        <f t="shared" ca="1" si="2"/>
        <v/>
      </c>
      <c r="P48" s="991" t="str">
        <f t="shared" ca="1" si="3"/>
        <v/>
      </c>
      <c r="S48" s="147" t="str">
        <f t="shared" si="4"/>
        <v/>
      </c>
      <c r="T48" s="147" t="str">
        <f t="shared" ca="1" si="5"/>
        <v/>
      </c>
      <c r="U48" s="147" t="str">
        <f t="shared" ca="1" si="6"/>
        <v/>
      </c>
    </row>
    <row r="49" spans="1:21" s="147" customFormat="1" ht="14.4" x14ac:dyDescent="0.2">
      <c r="A49" s="144" t="str">
        <f t="shared" si="0"/>
        <v/>
      </c>
      <c r="B49" s="984">
        <v>41</v>
      </c>
      <c r="C49" s="975"/>
      <c r="D49" s="1067"/>
      <c r="E49" s="976"/>
      <c r="F49" s="1035"/>
      <c r="G49" s="1087"/>
      <c r="H49" s="975"/>
      <c r="I49" s="978"/>
      <c r="J49" s="975" t="str">
        <f t="shared" si="1"/>
        <v/>
      </c>
      <c r="K49" s="979"/>
      <c r="L49" s="979"/>
      <c r="M49" s="980" t="str">
        <f t="shared" si="7"/>
        <v/>
      </c>
      <c r="N49" s="983"/>
      <c r="O49" s="982" t="str">
        <f t="shared" ca="1" si="2"/>
        <v/>
      </c>
      <c r="P49" s="991" t="str">
        <f t="shared" ca="1" si="3"/>
        <v/>
      </c>
      <c r="S49" s="147" t="str">
        <f t="shared" si="4"/>
        <v/>
      </c>
      <c r="T49" s="147" t="str">
        <f t="shared" ca="1" si="5"/>
        <v/>
      </c>
      <c r="U49" s="147" t="str">
        <f t="shared" ca="1" si="6"/>
        <v/>
      </c>
    </row>
    <row r="50" spans="1:21" s="147" customFormat="1" ht="14.4" x14ac:dyDescent="0.2">
      <c r="A50" s="144" t="str">
        <f t="shared" si="0"/>
        <v/>
      </c>
      <c r="B50" s="984">
        <v>42</v>
      </c>
      <c r="C50" s="975"/>
      <c r="D50" s="1067"/>
      <c r="E50" s="976"/>
      <c r="F50" s="1035"/>
      <c r="G50" s="1087"/>
      <c r="H50" s="975"/>
      <c r="I50" s="978"/>
      <c r="J50" s="975" t="str">
        <f t="shared" si="1"/>
        <v/>
      </c>
      <c r="K50" s="979"/>
      <c r="L50" s="979"/>
      <c r="M50" s="980" t="str">
        <f t="shared" si="7"/>
        <v/>
      </c>
      <c r="N50" s="983"/>
      <c r="O50" s="982" t="str">
        <f t="shared" ca="1" si="2"/>
        <v/>
      </c>
      <c r="P50" s="991" t="str">
        <f t="shared" ca="1" si="3"/>
        <v/>
      </c>
      <c r="S50" s="147" t="str">
        <f t="shared" si="4"/>
        <v/>
      </c>
      <c r="T50" s="147" t="str">
        <f t="shared" ca="1" si="5"/>
        <v/>
      </c>
      <c r="U50" s="147" t="str">
        <f t="shared" ca="1" si="6"/>
        <v/>
      </c>
    </row>
    <row r="51" spans="1:21" s="147" customFormat="1" ht="14.4" x14ac:dyDescent="0.2">
      <c r="A51" s="144" t="str">
        <f t="shared" si="0"/>
        <v/>
      </c>
      <c r="B51" s="984">
        <v>43</v>
      </c>
      <c r="C51" s="975"/>
      <c r="D51" s="1067"/>
      <c r="E51" s="976"/>
      <c r="F51" s="1035"/>
      <c r="G51" s="1087"/>
      <c r="H51" s="975"/>
      <c r="I51" s="978"/>
      <c r="J51" s="975" t="str">
        <f t="shared" si="1"/>
        <v/>
      </c>
      <c r="K51" s="979"/>
      <c r="L51" s="979"/>
      <c r="M51" s="980" t="str">
        <f t="shared" si="7"/>
        <v/>
      </c>
      <c r="N51" s="983"/>
      <c r="O51" s="982" t="str">
        <f t="shared" ca="1" si="2"/>
        <v/>
      </c>
      <c r="P51" s="991" t="str">
        <f t="shared" ca="1" si="3"/>
        <v/>
      </c>
      <c r="S51" s="147" t="str">
        <f t="shared" si="4"/>
        <v/>
      </c>
      <c r="T51" s="147" t="str">
        <f t="shared" ca="1" si="5"/>
        <v/>
      </c>
      <c r="U51" s="147" t="str">
        <f t="shared" ca="1" si="6"/>
        <v/>
      </c>
    </row>
    <row r="52" spans="1:21" s="147" customFormat="1" ht="14.4" x14ac:dyDescent="0.3">
      <c r="A52" s="133" t="str">
        <f t="shared" si="0"/>
        <v/>
      </c>
      <c r="B52" s="984">
        <v>44</v>
      </c>
      <c r="C52" s="975"/>
      <c r="D52" s="1067"/>
      <c r="E52" s="976"/>
      <c r="F52" s="1035"/>
      <c r="G52" s="1087"/>
      <c r="H52" s="975"/>
      <c r="I52" s="978"/>
      <c r="J52" s="975" t="str">
        <f t="shared" si="1"/>
        <v/>
      </c>
      <c r="K52" s="979"/>
      <c r="L52" s="979"/>
      <c r="M52" s="980" t="str">
        <f t="shared" si="7"/>
        <v/>
      </c>
      <c r="N52" s="983"/>
      <c r="O52" s="982" t="str">
        <f t="shared" ca="1" si="2"/>
        <v/>
      </c>
      <c r="P52" s="991" t="str">
        <f t="shared" ca="1" si="3"/>
        <v/>
      </c>
      <c r="S52" s="147" t="str">
        <f t="shared" si="4"/>
        <v/>
      </c>
      <c r="T52" s="147" t="str">
        <f t="shared" ca="1" si="5"/>
        <v/>
      </c>
      <c r="U52" s="147" t="str">
        <f t="shared" ca="1" si="6"/>
        <v/>
      </c>
    </row>
    <row r="53" spans="1:21" s="147" customFormat="1" ht="14.4" x14ac:dyDescent="0.3">
      <c r="A53" s="139" t="str">
        <f t="shared" si="0"/>
        <v/>
      </c>
      <c r="B53" s="984">
        <v>45</v>
      </c>
      <c r="C53" s="975"/>
      <c r="D53" s="1067"/>
      <c r="E53" s="976"/>
      <c r="F53" s="1035"/>
      <c r="G53" s="1087"/>
      <c r="H53" s="975"/>
      <c r="I53" s="978"/>
      <c r="J53" s="975" t="str">
        <f t="shared" si="1"/>
        <v/>
      </c>
      <c r="K53" s="979"/>
      <c r="L53" s="979"/>
      <c r="M53" s="980" t="str">
        <f t="shared" si="7"/>
        <v/>
      </c>
      <c r="N53" s="983"/>
      <c r="O53" s="982" t="str">
        <f t="shared" ca="1" si="2"/>
        <v/>
      </c>
      <c r="P53" s="991" t="str">
        <f t="shared" ca="1" si="3"/>
        <v/>
      </c>
      <c r="S53" s="147" t="str">
        <f t="shared" si="4"/>
        <v/>
      </c>
      <c r="T53" s="147" t="str">
        <f t="shared" ca="1" si="5"/>
        <v/>
      </c>
      <c r="U53" s="147" t="str">
        <f t="shared" ca="1" si="6"/>
        <v/>
      </c>
    </row>
    <row r="54" spans="1:21" s="147" customFormat="1" ht="14.4" x14ac:dyDescent="0.3">
      <c r="A54" s="139" t="str">
        <f t="shared" si="0"/>
        <v/>
      </c>
      <c r="B54" s="984">
        <v>46</v>
      </c>
      <c r="C54" s="975"/>
      <c r="D54" s="1067"/>
      <c r="E54" s="976"/>
      <c r="F54" s="1035"/>
      <c r="G54" s="1087"/>
      <c r="H54" s="975"/>
      <c r="I54" s="978"/>
      <c r="J54" s="975" t="str">
        <f t="shared" si="1"/>
        <v/>
      </c>
      <c r="K54" s="979"/>
      <c r="L54" s="979"/>
      <c r="M54" s="980" t="str">
        <f t="shared" si="7"/>
        <v/>
      </c>
      <c r="N54" s="983"/>
      <c r="O54" s="982" t="str">
        <f t="shared" ca="1" si="2"/>
        <v/>
      </c>
      <c r="P54" s="991" t="str">
        <f t="shared" ca="1" si="3"/>
        <v/>
      </c>
      <c r="S54" s="147" t="str">
        <f t="shared" si="4"/>
        <v/>
      </c>
      <c r="T54" s="147" t="str">
        <f t="shared" ca="1" si="5"/>
        <v/>
      </c>
      <c r="U54" s="147" t="str">
        <f t="shared" ca="1" si="6"/>
        <v/>
      </c>
    </row>
    <row r="55" spans="1:21" s="147" customFormat="1" ht="14.4" x14ac:dyDescent="0.3">
      <c r="A55" s="139" t="str">
        <f t="shared" si="0"/>
        <v/>
      </c>
      <c r="B55" s="984">
        <v>47</v>
      </c>
      <c r="C55" s="975"/>
      <c r="D55" s="1067"/>
      <c r="E55" s="976"/>
      <c r="F55" s="1035"/>
      <c r="G55" s="1087"/>
      <c r="H55" s="975"/>
      <c r="I55" s="978"/>
      <c r="J55" s="975" t="str">
        <f t="shared" si="1"/>
        <v/>
      </c>
      <c r="K55" s="979"/>
      <c r="L55" s="979"/>
      <c r="M55" s="980" t="str">
        <f t="shared" si="7"/>
        <v/>
      </c>
      <c r="N55" s="983"/>
      <c r="O55" s="982" t="str">
        <f t="shared" ca="1" si="2"/>
        <v/>
      </c>
      <c r="P55" s="991" t="str">
        <f t="shared" ca="1" si="3"/>
        <v/>
      </c>
      <c r="S55" s="147" t="str">
        <f t="shared" si="4"/>
        <v/>
      </c>
      <c r="T55" s="147" t="str">
        <f t="shared" ca="1" si="5"/>
        <v/>
      </c>
      <c r="U55" s="147" t="str">
        <f t="shared" ca="1" si="6"/>
        <v/>
      </c>
    </row>
    <row r="56" spans="1:21" s="147" customFormat="1" ht="14.4" x14ac:dyDescent="0.3">
      <c r="A56" s="139" t="str">
        <f t="shared" si="0"/>
        <v/>
      </c>
      <c r="B56" s="984">
        <v>48</v>
      </c>
      <c r="C56" s="975"/>
      <c r="D56" s="1067"/>
      <c r="E56" s="976"/>
      <c r="F56" s="1035"/>
      <c r="G56" s="1087"/>
      <c r="H56" s="975"/>
      <c r="I56" s="978"/>
      <c r="J56" s="975" t="str">
        <f t="shared" si="1"/>
        <v/>
      </c>
      <c r="K56" s="979"/>
      <c r="L56" s="979"/>
      <c r="M56" s="980" t="str">
        <f t="shared" si="7"/>
        <v/>
      </c>
      <c r="N56" s="983"/>
      <c r="O56" s="982" t="str">
        <f t="shared" ca="1" si="2"/>
        <v/>
      </c>
      <c r="P56" s="991" t="str">
        <f t="shared" ca="1" si="3"/>
        <v/>
      </c>
      <c r="S56" s="147" t="str">
        <f t="shared" si="4"/>
        <v/>
      </c>
      <c r="T56" s="147" t="str">
        <f t="shared" ca="1" si="5"/>
        <v/>
      </c>
      <c r="U56" s="147" t="str">
        <f t="shared" ca="1" si="6"/>
        <v/>
      </c>
    </row>
    <row r="57" spans="1:21" s="147" customFormat="1" ht="14.4" x14ac:dyDescent="0.3">
      <c r="A57" s="139" t="str">
        <f t="shared" si="0"/>
        <v/>
      </c>
      <c r="B57" s="984">
        <v>49</v>
      </c>
      <c r="C57" s="975"/>
      <c r="D57" s="1067"/>
      <c r="E57" s="976"/>
      <c r="F57" s="1035"/>
      <c r="G57" s="1087"/>
      <c r="H57" s="975"/>
      <c r="I57" s="978"/>
      <c r="J57" s="975" t="str">
        <f t="shared" si="1"/>
        <v/>
      </c>
      <c r="K57" s="979"/>
      <c r="L57" s="979"/>
      <c r="M57" s="980" t="str">
        <f t="shared" si="7"/>
        <v/>
      </c>
      <c r="N57" s="983"/>
      <c r="O57" s="982" t="str">
        <f t="shared" ca="1" si="2"/>
        <v/>
      </c>
      <c r="P57" s="991" t="str">
        <f t="shared" ca="1" si="3"/>
        <v/>
      </c>
      <c r="S57" s="147" t="str">
        <f t="shared" si="4"/>
        <v/>
      </c>
      <c r="T57" s="147" t="str">
        <f t="shared" ca="1" si="5"/>
        <v/>
      </c>
      <c r="U57" s="147" t="str">
        <f t="shared" ca="1" si="6"/>
        <v/>
      </c>
    </row>
    <row r="58" spans="1:21" s="147" customFormat="1" ht="14.4" x14ac:dyDescent="0.3">
      <c r="A58" s="139" t="str">
        <f t="shared" si="0"/>
        <v/>
      </c>
      <c r="B58" s="984">
        <v>50</v>
      </c>
      <c r="C58" s="975"/>
      <c r="D58" s="1067"/>
      <c r="E58" s="976"/>
      <c r="F58" s="1035"/>
      <c r="G58" s="1087"/>
      <c r="H58" s="975"/>
      <c r="I58" s="978"/>
      <c r="J58" s="975" t="str">
        <f t="shared" si="1"/>
        <v/>
      </c>
      <c r="K58" s="979"/>
      <c r="L58" s="979"/>
      <c r="M58" s="980" t="str">
        <f t="shared" si="7"/>
        <v/>
      </c>
      <c r="N58" s="983"/>
      <c r="O58" s="982" t="str">
        <f t="shared" ca="1" si="2"/>
        <v/>
      </c>
      <c r="P58" s="991" t="str">
        <f t="shared" ca="1" si="3"/>
        <v/>
      </c>
      <c r="S58" s="147" t="str">
        <f t="shared" si="4"/>
        <v/>
      </c>
      <c r="T58" s="147" t="str">
        <f t="shared" ca="1" si="5"/>
        <v/>
      </c>
      <c r="U58" s="147" t="str">
        <f t="shared" ca="1" si="6"/>
        <v/>
      </c>
    </row>
    <row r="59" spans="1:21" s="147" customFormat="1" ht="14.4" x14ac:dyDescent="0.3">
      <c r="A59" s="139" t="str">
        <f t="shared" si="0"/>
        <v/>
      </c>
      <c r="B59" s="984">
        <v>51</v>
      </c>
      <c r="C59" s="975"/>
      <c r="D59" s="1067"/>
      <c r="E59" s="976"/>
      <c r="F59" s="1035"/>
      <c r="G59" s="1087"/>
      <c r="H59" s="975"/>
      <c r="I59" s="978"/>
      <c r="J59" s="975" t="str">
        <f t="shared" si="1"/>
        <v/>
      </c>
      <c r="K59" s="979"/>
      <c r="L59" s="979"/>
      <c r="M59" s="980" t="str">
        <f t="shared" si="7"/>
        <v/>
      </c>
      <c r="N59" s="983"/>
      <c r="O59" s="982" t="str">
        <f t="shared" ca="1" si="2"/>
        <v/>
      </c>
      <c r="P59" s="991" t="str">
        <f t="shared" ca="1" si="3"/>
        <v/>
      </c>
      <c r="S59" s="147" t="str">
        <f t="shared" si="4"/>
        <v/>
      </c>
      <c r="T59" s="147" t="str">
        <f t="shared" ca="1" si="5"/>
        <v/>
      </c>
      <c r="U59" s="147" t="str">
        <f t="shared" ca="1" si="6"/>
        <v/>
      </c>
    </row>
    <row r="60" spans="1:21" s="147" customFormat="1" ht="14.4" x14ac:dyDescent="0.3">
      <c r="A60" s="139" t="str">
        <f t="shared" si="0"/>
        <v/>
      </c>
      <c r="B60" s="984">
        <v>52</v>
      </c>
      <c r="C60" s="975"/>
      <c r="D60" s="1067"/>
      <c r="E60" s="976"/>
      <c r="F60" s="1035"/>
      <c r="G60" s="1087"/>
      <c r="H60" s="975"/>
      <c r="I60" s="978"/>
      <c r="J60" s="975" t="str">
        <f t="shared" si="1"/>
        <v/>
      </c>
      <c r="K60" s="979"/>
      <c r="L60" s="979"/>
      <c r="M60" s="980" t="str">
        <f t="shared" si="7"/>
        <v/>
      </c>
      <c r="N60" s="983"/>
      <c r="O60" s="982" t="str">
        <f t="shared" ca="1" si="2"/>
        <v/>
      </c>
      <c r="P60" s="991" t="str">
        <f t="shared" ca="1" si="3"/>
        <v/>
      </c>
      <c r="S60" s="147" t="str">
        <f t="shared" si="4"/>
        <v/>
      </c>
      <c r="T60" s="147" t="str">
        <f t="shared" ca="1" si="5"/>
        <v/>
      </c>
      <c r="U60" s="147" t="str">
        <f t="shared" ca="1" si="6"/>
        <v/>
      </c>
    </row>
    <row r="61" spans="1:21" s="147" customFormat="1" ht="14.4" x14ac:dyDescent="0.3">
      <c r="A61" s="139" t="str">
        <f t="shared" si="0"/>
        <v/>
      </c>
      <c r="B61" s="984">
        <v>53</v>
      </c>
      <c r="C61" s="975"/>
      <c r="D61" s="1067"/>
      <c r="E61" s="976"/>
      <c r="F61" s="1035"/>
      <c r="G61" s="1087"/>
      <c r="H61" s="975"/>
      <c r="I61" s="978"/>
      <c r="J61" s="975" t="str">
        <f t="shared" si="1"/>
        <v/>
      </c>
      <c r="K61" s="979"/>
      <c r="L61" s="979"/>
      <c r="M61" s="980" t="str">
        <f t="shared" si="7"/>
        <v/>
      </c>
      <c r="N61" s="983"/>
      <c r="O61" s="982" t="str">
        <f t="shared" ca="1" si="2"/>
        <v/>
      </c>
      <c r="P61" s="991" t="str">
        <f t="shared" ca="1" si="3"/>
        <v/>
      </c>
      <c r="S61" s="147" t="str">
        <f t="shared" si="4"/>
        <v/>
      </c>
      <c r="T61" s="147" t="str">
        <f t="shared" ca="1" si="5"/>
        <v/>
      </c>
      <c r="U61" s="147" t="str">
        <f t="shared" ca="1" si="6"/>
        <v/>
      </c>
    </row>
    <row r="62" spans="1:21" s="147" customFormat="1" ht="14.4" x14ac:dyDescent="0.3">
      <c r="A62" s="139" t="str">
        <f t="shared" si="0"/>
        <v/>
      </c>
      <c r="B62" s="984">
        <v>54</v>
      </c>
      <c r="C62" s="975"/>
      <c r="D62" s="1067"/>
      <c r="E62" s="976"/>
      <c r="F62" s="1035"/>
      <c r="G62" s="1087"/>
      <c r="H62" s="975"/>
      <c r="I62" s="978"/>
      <c r="J62" s="975" t="str">
        <f t="shared" si="1"/>
        <v/>
      </c>
      <c r="K62" s="979"/>
      <c r="L62" s="979"/>
      <c r="M62" s="980" t="str">
        <f t="shared" si="7"/>
        <v/>
      </c>
      <c r="N62" s="983"/>
      <c r="O62" s="982" t="str">
        <f t="shared" ca="1" si="2"/>
        <v/>
      </c>
      <c r="P62" s="991" t="str">
        <f t="shared" ca="1" si="3"/>
        <v/>
      </c>
      <c r="S62" s="147" t="str">
        <f t="shared" si="4"/>
        <v/>
      </c>
      <c r="T62" s="147" t="str">
        <f t="shared" ca="1" si="5"/>
        <v/>
      </c>
      <c r="U62" s="147" t="str">
        <f t="shared" ca="1" si="6"/>
        <v/>
      </c>
    </row>
    <row r="63" spans="1:21" s="147" customFormat="1" ht="14.4" x14ac:dyDescent="0.3">
      <c r="A63" s="139" t="str">
        <f t="shared" si="0"/>
        <v/>
      </c>
      <c r="B63" s="984">
        <v>55</v>
      </c>
      <c r="C63" s="975"/>
      <c r="D63" s="1067"/>
      <c r="E63" s="976"/>
      <c r="F63" s="1035"/>
      <c r="G63" s="1087"/>
      <c r="H63" s="975"/>
      <c r="I63" s="978"/>
      <c r="J63" s="975" t="str">
        <f t="shared" si="1"/>
        <v/>
      </c>
      <c r="K63" s="979"/>
      <c r="L63" s="979"/>
      <c r="M63" s="980" t="str">
        <f t="shared" si="7"/>
        <v/>
      </c>
      <c r="N63" s="983"/>
      <c r="O63" s="982" t="str">
        <f t="shared" ca="1" si="2"/>
        <v/>
      </c>
      <c r="P63" s="991" t="str">
        <f t="shared" ca="1" si="3"/>
        <v/>
      </c>
      <c r="S63" s="147" t="str">
        <f t="shared" si="4"/>
        <v/>
      </c>
      <c r="T63" s="147" t="str">
        <f t="shared" ca="1" si="5"/>
        <v/>
      </c>
      <c r="U63" s="147" t="str">
        <f t="shared" ca="1" si="6"/>
        <v/>
      </c>
    </row>
    <row r="64" spans="1:21" s="147" customFormat="1" ht="14.4" x14ac:dyDescent="0.3">
      <c r="A64" s="139" t="str">
        <f t="shared" si="0"/>
        <v/>
      </c>
      <c r="B64" s="984">
        <v>56</v>
      </c>
      <c r="C64" s="975"/>
      <c r="D64" s="1067"/>
      <c r="E64" s="976"/>
      <c r="F64" s="1035"/>
      <c r="G64" s="1087"/>
      <c r="H64" s="975"/>
      <c r="I64" s="978"/>
      <c r="J64" s="975" t="str">
        <f t="shared" si="1"/>
        <v/>
      </c>
      <c r="K64" s="979"/>
      <c r="L64" s="979"/>
      <c r="M64" s="980" t="str">
        <f t="shared" si="7"/>
        <v/>
      </c>
      <c r="N64" s="983"/>
      <c r="O64" s="982" t="str">
        <f t="shared" ca="1" si="2"/>
        <v/>
      </c>
      <c r="P64" s="991" t="str">
        <f t="shared" ca="1" si="3"/>
        <v/>
      </c>
      <c r="S64" s="147" t="str">
        <f t="shared" si="4"/>
        <v/>
      </c>
      <c r="T64" s="147" t="str">
        <f t="shared" ca="1" si="5"/>
        <v/>
      </c>
      <c r="U64" s="147" t="str">
        <f t="shared" ca="1" si="6"/>
        <v/>
      </c>
    </row>
    <row r="65" spans="1:21" s="147" customFormat="1" ht="14.4" x14ac:dyDescent="0.3">
      <c r="A65" s="139" t="str">
        <f t="shared" si="0"/>
        <v/>
      </c>
      <c r="B65" s="984">
        <v>57</v>
      </c>
      <c r="C65" s="975"/>
      <c r="D65" s="1067"/>
      <c r="E65" s="976"/>
      <c r="F65" s="1035"/>
      <c r="G65" s="1087"/>
      <c r="H65" s="975"/>
      <c r="I65" s="978"/>
      <c r="J65" s="975" t="str">
        <f t="shared" si="1"/>
        <v/>
      </c>
      <c r="K65" s="979"/>
      <c r="L65" s="979"/>
      <c r="M65" s="980" t="str">
        <f t="shared" si="7"/>
        <v/>
      </c>
      <c r="N65" s="983"/>
      <c r="O65" s="982" t="str">
        <f t="shared" ca="1" si="2"/>
        <v/>
      </c>
      <c r="P65" s="991" t="str">
        <f t="shared" ca="1" si="3"/>
        <v/>
      </c>
      <c r="S65" s="147" t="str">
        <f t="shared" si="4"/>
        <v/>
      </c>
      <c r="T65" s="147" t="str">
        <f t="shared" ca="1" si="5"/>
        <v/>
      </c>
      <c r="U65" s="147" t="str">
        <f t="shared" ca="1" si="6"/>
        <v/>
      </c>
    </row>
    <row r="66" spans="1:21" s="147" customFormat="1" ht="14.4" x14ac:dyDescent="0.3">
      <c r="A66" s="139" t="str">
        <f t="shared" si="0"/>
        <v/>
      </c>
      <c r="B66" s="984">
        <v>58</v>
      </c>
      <c r="C66" s="975"/>
      <c r="D66" s="1067"/>
      <c r="E66" s="976"/>
      <c r="F66" s="1035"/>
      <c r="G66" s="1087"/>
      <c r="H66" s="975"/>
      <c r="I66" s="978"/>
      <c r="J66" s="975" t="str">
        <f t="shared" si="1"/>
        <v/>
      </c>
      <c r="K66" s="979"/>
      <c r="L66" s="979"/>
      <c r="M66" s="980" t="str">
        <f t="shared" si="7"/>
        <v/>
      </c>
      <c r="N66" s="983"/>
      <c r="O66" s="982" t="str">
        <f t="shared" ca="1" si="2"/>
        <v/>
      </c>
      <c r="P66" s="991" t="str">
        <f t="shared" ca="1" si="3"/>
        <v/>
      </c>
      <c r="S66" s="147" t="str">
        <f t="shared" si="4"/>
        <v/>
      </c>
      <c r="T66" s="147" t="str">
        <f t="shared" ca="1" si="5"/>
        <v/>
      </c>
      <c r="U66" s="147" t="str">
        <f t="shared" ca="1" si="6"/>
        <v/>
      </c>
    </row>
    <row r="67" spans="1:21" s="147" customFormat="1" ht="14.4" x14ac:dyDescent="0.3">
      <c r="A67" s="139" t="str">
        <f t="shared" si="0"/>
        <v/>
      </c>
      <c r="B67" s="984">
        <v>59</v>
      </c>
      <c r="C67" s="975"/>
      <c r="D67" s="1067"/>
      <c r="E67" s="976"/>
      <c r="F67" s="1035"/>
      <c r="G67" s="1087"/>
      <c r="H67" s="975"/>
      <c r="I67" s="978"/>
      <c r="J67" s="975" t="str">
        <f t="shared" si="1"/>
        <v/>
      </c>
      <c r="K67" s="979"/>
      <c r="L67" s="979"/>
      <c r="M67" s="980" t="str">
        <f t="shared" si="7"/>
        <v/>
      </c>
      <c r="N67" s="983"/>
      <c r="O67" s="982" t="str">
        <f t="shared" ca="1" si="2"/>
        <v/>
      </c>
      <c r="P67" s="991" t="str">
        <f t="shared" ca="1" si="3"/>
        <v/>
      </c>
      <c r="S67" s="147" t="str">
        <f t="shared" si="4"/>
        <v/>
      </c>
      <c r="T67" s="147" t="str">
        <f t="shared" ca="1" si="5"/>
        <v/>
      </c>
      <c r="U67" s="147" t="str">
        <f t="shared" ca="1" si="6"/>
        <v/>
      </c>
    </row>
    <row r="68" spans="1:21" s="147" customFormat="1" ht="14.4" x14ac:dyDescent="0.3">
      <c r="A68" s="139" t="str">
        <f t="shared" si="0"/>
        <v/>
      </c>
      <c r="B68" s="984">
        <v>60</v>
      </c>
      <c r="C68" s="975"/>
      <c r="D68" s="1067"/>
      <c r="E68" s="976"/>
      <c r="F68" s="1035"/>
      <c r="G68" s="1087"/>
      <c r="H68" s="975"/>
      <c r="I68" s="978"/>
      <c r="J68" s="975" t="str">
        <f t="shared" si="1"/>
        <v/>
      </c>
      <c r="K68" s="979"/>
      <c r="L68" s="979"/>
      <c r="M68" s="980" t="str">
        <f t="shared" si="7"/>
        <v/>
      </c>
      <c r="N68" s="983"/>
      <c r="O68" s="982" t="str">
        <f t="shared" ca="1" si="2"/>
        <v/>
      </c>
      <c r="P68" s="991" t="str">
        <f t="shared" ca="1" si="3"/>
        <v/>
      </c>
      <c r="S68" s="147" t="str">
        <f t="shared" si="4"/>
        <v/>
      </c>
      <c r="T68" s="147" t="str">
        <f t="shared" ca="1" si="5"/>
        <v/>
      </c>
      <c r="U68" s="147" t="str">
        <f t="shared" ca="1" si="6"/>
        <v/>
      </c>
    </row>
    <row r="69" spans="1:21" s="147" customFormat="1" ht="14.4" x14ac:dyDescent="0.3">
      <c r="A69" s="139" t="str">
        <f t="shared" si="0"/>
        <v/>
      </c>
      <c r="B69" s="984">
        <v>61</v>
      </c>
      <c r="C69" s="975"/>
      <c r="D69" s="1067"/>
      <c r="E69" s="976"/>
      <c r="F69" s="1035"/>
      <c r="G69" s="1087"/>
      <c r="H69" s="975"/>
      <c r="I69" s="978"/>
      <c r="J69" s="975" t="str">
        <f t="shared" si="1"/>
        <v/>
      </c>
      <c r="K69" s="979"/>
      <c r="L69" s="979"/>
      <c r="M69" s="980" t="str">
        <f t="shared" si="7"/>
        <v/>
      </c>
      <c r="N69" s="983"/>
      <c r="O69" s="982" t="str">
        <f t="shared" ca="1" si="2"/>
        <v/>
      </c>
      <c r="P69" s="991" t="str">
        <f t="shared" ca="1" si="3"/>
        <v/>
      </c>
      <c r="S69" s="147" t="str">
        <f t="shared" si="4"/>
        <v/>
      </c>
      <c r="T69" s="147" t="str">
        <f t="shared" ca="1" si="5"/>
        <v/>
      </c>
      <c r="U69" s="147" t="str">
        <f t="shared" ca="1" si="6"/>
        <v/>
      </c>
    </row>
    <row r="70" spans="1:21" s="147" customFormat="1" ht="14.4" x14ac:dyDescent="0.3">
      <c r="A70" s="139" t="str">
        <f t="shared" si="0"/>
        <v/>
      </c>
      <c r="B70" s="984">
        <v>62</v>
      </c>
      <c r="C70" s="975"/>
      <c r="D70" s="1067"/>
      <c r="E70" s="976"/>
      <c r="F70" s="1035"/>
      <c r="G70" s="1087"/>
      <c r="H70" s="975"/>
      <c r="I70" s="978"/>
      <c r="J70" s="975" t="str">
        <f t="shared" si="1"/>
        <v/>
      </c>
      <c r="K70" s="979"/>
      <c r="L70" s="979"/>
      <c r="M70" s="980" t="str">
        <f t="shared" si="7"/>
        <v/>
      </c>
      <c r="N70" s="983"/>
      <c r="O70" s="982" t="str">
        <f t="shared" ca="1" si="2"/>
        <v/>
      </c>
      <c r="P70" s="991" t="str">
        <f t="shared" ca="1" si="3"/>
        <v/>
      </c>
      <c r="S70" s="147" t="str">
        <f t="shared" si="4"/>
        <v/>
      </c>
      <c r="T70" s="147" t="str">
        <f t="shared" ca="1" si="5"/>
        <v/>
      </c>
      <c r="U70" s="147" t="str">
        <f t="shared" ca="1" si="6"/>
        <v/>
      </c>
    </row>
    <row r="71" spans="1:21" s="147" customFormat="1" ht="14.4" x14ac:dyDescent="0.3">
      <c r="A71" s="139" t="str">
        <f t="shared" si="0"/>
        <v/>
      </c>
      <c r="B71" s="984">
        <v>63</v>
      </c>
      <c r="C71" s="975"/>
      <c r="D71" s="1067"/>
      <c r="E71" s="976"/>
      <c r="F71" s="1035"/>
      <c r="G71" s="1087"/>
      <c r="H71" s="975"/>
      <c r="I71" s="978"/>
      <c r="J71" s="975" t="str">
        <f t="shared" si="1"/>
        <v/>
      </c>
      <c r="K71" s="979"/>
      <c r="L71" s="979"/>
      <c r="M71" s="980" t="str">
        <f t="shared" si="7"/>
        <v/>
      </c>
      <c r="N71" s="983"/>
      <c r="O71" s="982" t="str">
        <f t="shared" ca="1" si="2"/>
        <v/>
      </c>
      <c r="P71" s="991" t="str">
        <f t="shared" ca="1" si="3"/>
        <v/>
      </c>
      <c r="S71" s="147" t="str">
        <f t="shared" si="4"/>
        <v/>
      </c>
      <c r="T71" s="147" t="str">
        <f t="shared" ca="1" si="5"/>
        <v/>
      </c>
      <c r="U71" s="147" t="str">
        <f t="shared" ca="1" si="6"/>
        <v/>
      </c>
    </row>
    <row r="72" spans="1:21" s="147" customFormat="1" ht="14.4" x14ac:dyDescent="0.3">
      <c r="A72" s="139" t="str">
        <f t="shared" si="0"/>
        <v/>
      </c>
      <c r="B72" s="984">
        <v>64</v>
      </c>
      <c r="C72" s="975"/>
      <c r="D72" s="1067"/>
      <c r="E72" s="976"/>
      <c r="F72" s="1035"/>
      <c r="G72" s="1087"/>
      <c r="H72" s="975"/>
      <c r="I72" s="978"/>
      <c r="J72" s="975" t="str">
        <f t="shared" si="1"/>
        <v/>
      </c>
      <c r="K72" s="979"/>
      <c r="L72" s="979"/>
      <c r="M72" s="980" t="str">
        <f t="shared" si="7"/>
        <v/>
      </c>
      <c r="N72" s="983"/>
      <c r="O72" s="982" t="str">
        <f t="shared" ca="1" si="2"/>
        <v/>
      </c>
      <c r="P72" s="991" t="str">
        <f t="shared" ca="1" si="3"/>
        <v/>
      </c>
      <c r="S72" s="147" t="str">
        <f t="shared" si="4"/>
        <v/>
      </c>
      <c r="T72" s="147" t="str">
        <f t="shared" ca="1" si="5"/>
        <v/>
      </c>
      <c r="U72" s="147" t="str">
        <f t="shared" ca="1" si="6"/>
        <v/>
      </c>
    </row>
    <row r="73" spans="1:21" s="147" customFormat="1" ht="14.4" x14ac:dyDescent="0.3">
      <c r="A73" s="139" t="str">
        <f t="shared" ref="A73:A136" si="8">IF(M73=1,N73,"")</f>
        <v/>
      </c>
      <c r="B73" s="984">
        <v>65</v>
      </c>
      <c r="C73" s="975"/>
      <c r="D73" s="1067"/>
      <c r="E73" s="976"/>
      <c r="F73" s="1035"/>
      <c r="G73" s="1087"/>
      <c r="H73" s="975"/>
      <c r="I73" s="978"/>
      <c r="J73" s="975" t="str">
        <f t="shared" ref="J73:J136" si="9">IF(I73&lt;&gt;"",H73-1+INT(I73),"")</f>
        <v/>
      </c>
      <c r="K73" s="979"/>
      <c r="L73" s="979"/>
      <c r="M73" s="980" t="str">
        <f t="shared" si="7"/>
        <v/>
      </c>
      <c r="N73" s="983"/>
      <c r="O73" s="982" t="str">
        <f t="shared" ref="O73:O136" ca="1" si="10">IF(J73&lt;&gt;"",
IF(J73&gt;TODAY(),
IF((TODAY()-H73)/(J73-H73)&gt;0,(TODAY()-H73)/(J73-H73),0),100%),"")</f>
        <v/>
      </c>
      <c r="P73" s="991" t="str">
        <f t="shared" ref="P73:P136" ca="1" si="11">IF(T73&gt;0,U73,"0/"&amp;S73)</f>
        <v/>
      </c>
      <c r="S73" s="147" t="str">
        <f t="shared" si="4"/>
        <v/>
      </c>
      <c r="T73" s="147" t="str">
        <f t="shared" ca="1" si="5"/>
        <v/>
      </c>
      <c r="U73" s="147" t="str">
        <f t="shared" ca="1" si="6"/>
        <v/>
      </c>
    </row>
    <row r="74" spans="1:21" s="147" customFormat="1" ht="14.4" x14ac:dyDescent="0.3">
      <c r="A74" s="139" t="str">
        <f t="shared" si="8"/>
        <v/>
      </c>
      <c r="B74" s="984">
        <v>66</v>
      </c>
      <c r="C74" s="975"/>
      <c r="D74" s="1067"/>
      <c r="E74" s="976"/>
      <c r="F74" s="1035"/>
      <c r="G74" s="1087"/>
      <c r="H74" s="975"/>
      <c r="I74" s="978"/>
      <c r="J74" s="975" t="str">
        <f t="shared" si="9"/>
        <v/>
      </c>
      <c r="K74" s="979"/>
      <c r="L74" s="979"/>
      <c r="M74" s="980" t="str">
        <f t="shared" si="7"/>
        <v/>
      </c>
      <c r="N74" s="983"/>
      <c r="O74" s="982" t="str">
        <f t="shared" ca="1" si="10"/>
        <v/>
      </c>
      <c r="P74" s="991" t="str">
        <f t="shared" ca="1" si="11"/>
        <v/>
      </c>
      <c r="S74" s="147" t="str">
        <f t="shared" ref="S74:S137" si="12">IF(J74&lt;&gt;"",J74-H74+1,"")</f>
        <v/>
      </c>
      <c r="T74" s="147" t="str">
        <f t="shared" ref="T74:T137" ca="1" si="13">IF(H74&lt;&gt;"",(TODAY()-H74),"")</f>
        <v/>
      </c>
      <c r="U74" s="147" t="str">
        <f t="shared" ref="U74:U137" ca="1" si="14">IF(T74&lt;&gt;"",T74&amp;"/"&amp;S74,"")</f>
        <v/>
      </c>
    </row>
    <row r="75" spans="1:21" s="147" customFormat="1" ht="14.4" x14ac:dyDescent="0.3">
      <c r="A75" s="139" t="str">
        <f t="shared" si="8"/>
        <v/>
      </c>
      <c r="B75" s="984">
        <v>67</v>
      </c>
      <c r="C75" s="975"/>
      <c r="D75" s="1067"/>
      <c r="E75" s="976"/>
      <c r="F75" s="1035"/>
      <c r="G75" s="1087"/>
      <c r="H75" s="975"/>
      <c r="I75" s="978"/>
      <c r="J75" s="975" t="str">
        <f t="shared" si="9"/>
        <v/>
      </c>
      <c r="K75" s="979"/>
      <c r="L75" s="979"/>
      <c r="M75" s="980" t="str">
        <f t="shared" si="7"/>
        <v/>
      </c>
      <c r="N75" s="983"/>
      <c r="O75" s="982" t="str">
        <f t="shared" ca="1" si="10"/>
        <v/>
      </c>
      <c r="P75" s="991" t="str">
        <f t="shared" ca="1" si="11"/>
        <v/>
      </c>
      <c r="S75" s="147" t="str">
        <f t="shared" si="12"/>
        <v/>
      </c>
      <c r="T75" s="147" t="str">
        <f t="shared" ca="1" si="13"/>
        <v/>
      </c>
      <c r="U75" s="147" t="str">
        <f t="shared" ca="1" si="14"/>
        <v/>
      </c>
    </row>
    <row r="76" spans="1:21" s="147" customFormat="1" ht="14.4" x14ac:dyDescent="0.3">
      <c r="A76" s="139" t="str">
        <f t="shared" si="8"/>
        <v/>
      </c>
      <c r="B76" s="984">
        <v>68</v>
      </c>
      <c r="C76" s="975"/>
      <c r="D76" s="1067"/>
      <c r="E76" s="976"/>
      <c r="F76" s="1035"/>
      <c r="G76" s="1087"/>
      <c r="H76" s="975"/>
      <c r="I76" s="978"/>
      <c r="J76" s="975" t="str">
        <f t="shared" si="9"/>
        <v/>
      </c>
      <c r="K76" s="979"/>
      <c r="L76" s="979"/>
      <c r="M76" s="980" t="str">
        <f t="shared" ref="M76:M139" si="15">IF(N76&lt;&gt;0,3,"")</f>
        <v/>
      </c>
      <c r="N76" s="983"/>
      <c r="O76" s="982" t="str">
        <f t="shared" ca="1" si="10"/>
        <v/>
      </c>
      <c r="P76" s="991" t="str">
        <f t="shared" ca="1" si="11"/>
        <v/>
      </c>
      <c r="S76" s="147" t="str">
        <f t="shared" si="12"/>
        <v/>
      </c>
      <c r="T76" s="147" t="str">
        <f t="shared" ca="1" si="13"/>
        <v/>
      </c>
      <c r="U76" s="147" t="str">
        <f t="shared" ca="1" si="14"/>
        <v/>
      </c>
    </row>
    <row r="77" spans="1:21" s="147" customFormat="1" ht="14.4" x14ac:dyDescent="0.3">
      <c r="A77" s="139" t="str">
        <f t="shared" si="8"/>
        <v/>
      </c>
      <c r="B77" s="984">
        <v>69</v>
      </c>
      <c r="C77" s="975"/>
      <c r="D77" s="1067"/>
      <c r="E77" s="976"/>
      <c r="F77" s="1035"/>
      <c r="G77" s="1087"/>
      <c r="H77" s="975"/>
      <c r="I77" s="978"/>
      <c r="J77" s="975" t="str">
        <f t="shared" si="9"/>
        <v/>
      </c>
      <c r="K77" s="979"/>
      <c r="L77" s="979"/>
      <c r="M77" s="980" t="str">
        <f t="shared" si="15"/>
        <v/>
      </c>
      <c r="N77" s="983"/>
      <c r="O77" s="982" t="str">
        <f t="shared" ca="1" si="10"/>
        <v/>
      </c>
      <c r="P77" s="991" t="str">
        <f t="shared" ca="1" si="11"/>
        <v/>
      </c>
      <c r="S77" s="147" t="str">
        <f t="shared" si="12"/>
        <v/>
      </c>
      <c r="T77" s="147" t="str">
        <f t="shared" ca="1" si="13"/>
        <v/>
      </c>
      <c r="U77" s="147" t="str">
        <f t="shared" ca="1" si="14"/>
        <v/>
      </c>
    </row>
    <row r="78" spans="1:21" s="147" customFormat="1" ht="14.4" x14ac:dyDescent="0.3">
      <c r="A78" s="139" t="str">
        <f t="shared" si="8"/>
        <v/>
      </c>
      <c r="B78" s="984">
        <v>70</v>
      </c>
      <c r="C78" s="975"/>
      <c r="D78" s="1067"/>
      <c r="E78" s="976"/>
      <c r="F78" s="1035"/>
      <c r="G78" s="1087"/>
      <c r="H78" s="975"/>
      <c r="I78" s="978"/>
      <c r="J78" s="975" t="str">
        <f t="shared" si="9"/>
        <v/>
      </c>
      <c r="K78" s="979"/>
      <c r="L78" s="979"/>
      <c r="M78" s="980" t="str">
        <f t="shared" si="15"/>
        <v/>
      </c>
      <c r="N78" s="983"/>
      <c r="O78" s="982" t="str">
        <f t="shared" ca="1" si="10"/>
        <v/>
      </c>
      <c r="P78" s="991" t="str">
        <f t="shared" ca="1" si="11"/>
        <v/>
      </c>
      <c r="S78" s="147" t="str">
        <f t="shared" si="12"/>
        <v/>
      </c>
      <c r="T78" s="147" t="str">
        <f t="shared" ca="1" si="13"/>
        <v/>
      </c>
      <c r="U78" s="147" t="str">
        <f t="shared" ca="1" si="14"/>
        <v/>
      </c>
    </row>
    <row r="79" spans="1:21" s="147" customFormat="1" ht="14.4" x14ac:dyDescent="0.3">
      <c r="A79" s="139" t="str">
        <f t="shared" si="8"/>
        <v/>
      </c>
      <c r="B79" s="984">
        <v>71</v>
      </c>
      <c r="C79" s="975"/>
      <c r="D79" s="1067"/>
      <c r="E79" s="976"/>
      <c r="F79" s="1035"/>
      <c r="G79" s="1087"/>
      <c r="H79" s="975"/>
      <c r="I79" s="978"/>
      <c r="J79" s="975" t="str">
        <f t="shared" si="9"/>
        <v/>
      </c>
      <c r="K79" s="979"/>
      <c r="L79" s="979"/>
      <c r="M79" s="980" t="str">
        <f t="shared" si="15"/>
        <v/>
      </c>
      <c r="N79" s="983"/>
      <c r="O79" s="982" t="str">
        <f t="shared" ca="1" si="10"/>
        <v/>
      </c>
      <c r="P79" s="991" t="str">
        <f t="shared" ca="1" si="11"/>
        <v/>
      </c>
      <c r="S79" s="147" t="str">
        <f t="shared" si="12"/>
        <v/>
      </c>
      <c r="T79" s="147" t="str">
        <f t="shared" ca="1" si="13"/>
        <v/>
      </c>
      <c r="U79" s="147" t="str">
        <f t="shared" ca="1" si="14"/>
        <v/>
      </c>
    </row>
    <row r="80" spans="1:21" s="147" customFormat="1" ht="14.4" x14ac:dyDescent="0.3">
      <c r="A80" s="139" t="str">
        <f t="shared" si="8"/>
        <v/>
      </c>
      <c r="B80" s="984">
        <v>72</v>
      </c>
      <c r="C80" s="975"/>
      <c r="D80" s="1067"/>
      <c r="E80" s="976"/>
      <c r="F80" s="1035"/>
      <c r="G80" s="1087"/>
      <c r="H80" s="975"/>
      <c r="I80" s="978"/>
      <c r="J80" s="975" t="str">
        <f t="shared" si="9"/>
        <v/>
      </c>
      <c r="K80" s="979"/>
      <c r="L80" s="979"/>
      <c r="M80" s="980" t="str">
        <f t="shared" si="15"/>
        <v/>
      </c>
      <c r="N80" s="983"/>
      <c r="O80" s="982" t="str">
        <f t="shared" ca="1" si="10"/>
        <v/>
      </c>
      <c r="P80" s="991" t="str">
        <f t="shared" ca="1" si="11"/>
        <v/>
      </c>
      <c r="S80" s="147" t="str">
        <f t="shared" si="12"/>
        <v/>
      </c>
      <c r="T80" s="147" t="str">
        <f t="shared" ca="1" si="13"/>
        <v/>
      </c>
      <c r="U80" s="147" t="str">
        <f t="shared" ca="1" si="14"/>
        <v/>
      </c>
    </row>
    <row r="81" spans="1:21" s="147" customFormat="1" ht="14.4" x14ac:dyDescent="0.3">
      <c r="A81" s="139" t="str">
        <f t="shared" si="8"/>
        <v/>
      </c>
      <c r="B81" s="984">
        <v>73</v>
      </c>
      <c r="C81" s="975"/>
      <c r="D81" s="1067"/>
      <c r="E81" s="976"/>
      <c r="F81" s="1035"/>
      <c r="G81" s="1087"/>
      <c r="H81" s="975"/>
      <c r="I81" s="978"/>
      <c r="J81" s="975" t="str">
        <f t="shared" si="9"/>
        <v/>
      </c>
      <c r="K81" s="979"/>
      <c r="L81" s="979"/>
      <c r="M81" s="980" t="str">
        <f t="shared" si="15"/>
        <v/>
      </c>
      <c r="N81" s="983"/>
      <c r="O81" s="982" t="str">
        <f t="shared" ca="1" si="10"/>
        <v/>
      </c>
      <c r="P81" s="991" t="str">
        <f t="shared" ca="1" si="11"/>
        <v/>
      </c>
      <c r="S81" s="147" t="str">
        <f t="shared" si="12"/>
        <v/>
      </c>
      <c r="T81" s="147" t="str">
        <f t="shared" ca="1" si="13"/>
        <v/>
      </c>
      <c r="U81" s="147" t="str">
        <f t="shared" ca="1" si="14"/>
        <v/>
      </c>
    </row>
    <row r="82" spans="1:21" s="147" customFormat="1" ht="14.4" x14ac:dyDescent="0.3">
      <c r="A82" s="139" t="str">
        <f t="shared" si="8"/>
        <v/>
      </c>
      <c r="B82" s="984">
        <v>74</v>
      </c>
      <c r="C82" s="975"/>
      <c r="D82" s="1067"/>
      <c r="E82" s="976"/>
      <c r="F82" s="1035"/>
      <c r="G82" s="1087"/>
      <c r="H82" s="975"/>
      <c r="I82" s="978"/>
      <c r="J82" s="975" t="str">
        <f t="shared" si="9"/>
        <v/>
      </c>
      <c r="K82" s="979"/>
      <c r="L82" s="979"/>
      <c r="M82" s="980" t="str">
        <f t="shared" si="15"/>
        <v/>
      </c>
      <c r="N82" s="983"/>
      <c r="O82" s="982" t="str">
        <f t="shared" ca="1" si="10"/>
        <v/>
      </c>
      <c r="P82" s="991" t="str">
        <f t="shared" ca="1" si="11"/>
        <v/>
      </c>
      <c r="S82" s="147" t="str">
        <f t="shared" si="12"/>
        <v/>
      </c>
      <c r="T82" s="147" t="str">
        <f t="shared" ca="1" si="13"/>
        <v/>
      </c>
      <c r="U82" s="147" t="str">
        <f t="shared" ca="1" si="14"/>
        <v/>
      </c>
    </row>
    <row r="83" spans="1:21" s="147" customFormat="1" ht="14.4" x14ac:dyDescent="0.3">
      <c r="A83" s="139" t="str">
        <f t="shared" si="8"/>
        <v/>
      </c>
      <c r="B83" s="984">
        <v>75</v>
      </c>
      <c r="C83" s="975"/>
      <c r="D83" s="1067"/>
      <c r="E83" s="976"/>
      <c r="F83" s="1035"/>
      <c r="G83" s="1087"/>
      <c r="H83" s="975"/>
      <c r="I83" s="978"/>
      <c r="J83" s="975" t="str">
        <f t="shared" si="9"/>
        <v/>
      </c>
      <c r="K83" s="979"/>
      <c r="L83" s="979"/>
      <c r="M83" s="980" t="str">
        <f t="shared" si="15"/>
        <v/>
      </c>
      <c r="N83" s="983"/>
      <c r="O83" s="982" t="str">
        <f t="shared" ca="1" si="10"/>
        <v/>
      </c>
      <c r="P83" s="991" t="str">
        <f t="shared" ca="1" si="11"/>
        <v/>
      </c>
      <c r="S83" s="147" t="str">
        <f t="shared" si="12"/>
        <v/>
      </c>
      <c r="T83" s="147" t="str">
        <f t="shared" ca="1" si="13"/>
        <v/>
      </c>
      <c r="U83" s="147" t="str">
        <f t="shared" ca="1" si="14"/>
        <v/>
      </c>
    </row>
    <row r="84" spans="1:21" s="147" customFormat="1" ht="14.4" x14ac:dyDescent="0.3">
      <c r="A84" s="139" t="str">
        <f t="shared" si="8"/>
        <v/>
      </c>
      <c r="B84" s="984">
        <v>76</v>
      </c>
      <c r="C84" s="975"/>
      <c r="D84" s="1067"/>
      <c r="E84" s="976"/>
      <c r="F84" s="1035"/>
      <c r="G84" s="1087"/>
      <c r="H84" s="975"/>
      <c r="I84" s="978"/>
      <c r="J84" s="975" t="str">
        <f t="shared" si="9"/>
        <v/>
      </c>
      <c r="K84" s="979"/>
      <c r="L84" s="979"/>
      <c r="M84" s="980" t="str">
        <f t="shared" si="15"/>
        <v/>
      </c>
      <c r="N84" s="983"/>
      <c r="O84" s="982" t="str">
        <f t="shared" ca="1" si="10"/>
        <v/>
      </c>
      <c r="P84" s="991" t="str">
        <f t="shared" ca="1" si="11"/>
        <v/>
      </c>
      <c r="S84" s="147" t="str">
        <f t="shared" si="12"/>
        <v/>
      </c>
      <c r="T84" s="147" t="str">
        <f t="shared" ca="1" si="13"/>
        <v/>
      </c>
      <c r="U84" s="147" t="str">
        <f t="shared" ca="1" si="14"/>
        <v/>
      </c>
    </row>
    <row r="85" spans="1:21" s="147" customFormat="1" ht="14.4" x14ac:dyDescent="0.3">
      <c r="A85" s="139" t="str">
        <f t="shared" si="8"/>
        <v/>
      </c>
      <c r="B85" s="984">
        <v>77</v>
      </c>
      <c r="C85" s="975"/>
      <c r="D85" s="1067"/>
      <c r="E85" s="976"/>
      <c r="F85" s="1035"/>
      <c r="G85" s="1087"/>
      <c r="H85" s="975"/>
      <c r="I85" s="978"/>
      <c r="J85" s="975" t="str">
        <f t="shared" si="9"/>
        <v/>
      </c>
      <c r="K85" s="979"/>
      <c r="L85" s="979"/>
      <c r="M85" s="980" t="str">
        <f t="shared" si="15"/>
        <v/>
      </c>
      <c r="N85" s="983"/>
      <c r="O85" s="982" t="str">
        <f t="shared" ca="1" si="10"/>
        <v/>
      </c>
      <c r="P85" s="991" t="str">
        <f t="shared" ca="1" si="11"/>
        <v/>
      </c>
      <c r="S85" s="147" t="str">
        <f t="shared" si="12"/>
        <v/>
      </c>
      <c r="T85" s="147" t="str">
        <f t="shared" ca="1" si="13"/>
        <v/>
      </c>
      <c r="U85" s="147" t="str">
        <f t="shared" ca="1" si="14"/>
        <v/>
      </c>
    </row>
    <row r="86" spans="1:21" s="147" customFormat="1" ht="14.4" x14ac:dyDescent="0.3">
      <c r="A86" s="139" t="str">
        <f t="shared" si="8"/>
        <v/>
      </c>
      <c r="B86" s="984">
        <v>78</v>
      </c>
      <c r="C86" s="975"/>
      <c r="D86" s="1067"/>
      <c r="E86" s="976"/>
      <c r="F86" s="1035"/>
      <c r="G86" s="1087"/>
      <c r="H86" s="975"/>
      <c r="I86" s="978"/>
      <c r="J86" s="975" t="str">
        <f t="shared" si="9"/>
        <v/>
      </c>
      <c r="K86" s="979"/>
      <c r="L86" s="979"/>
      <c r="M86" s="980" t="str">
        <f t="shared" si="15"/>
        <v/>
      </c>
      <c r="N86" s="983"/>
      <c r="O86" s="982" t="str">
        <f t="shared" ca="1" si="10"/>
        <v/>
      </c>
      <c r="P86" s="991" t="str">
        <f t="shared" ca="1" si="11"/>
        <v/>
      </c>
      <c r="S86" s="147" t="str">
        <f t="shared" si="12"/>
        <v/>
      </c>
      <c r="T86" s="147" t="str">
        <f t="shared" ca="1" si="13"/>
        <v/>
      </c>
      <c r="U86" s="147" t="str">
        <f t="shared" ca="1" si="14"/>
        <v/>
      </c>
    </row>
    <row r="87" spans="1:21" s="147" customFormat="1" ht="14.4" x14ac:dyDescent="0.3">
      <c r="A87" s="139" t="str">
        <f t="shared" si="8"/>
        <v/>
      </c>
      <c r="B87" s="984">
        <v>79</v>
      </c>
      <c r="C87" s="975"/>
      <c r="D87" s="1067"/>
      <c r="E87" s="976"/>
      <c r="F87" s="1035"/>
      <c r="G87" s="1087"/>
      <c r="H87" s="975"/>
      <c r="I87" s="978"/>
      <c r="J87" s="975" t="str">
        <f t="shared" si="9"/>
        <v/>
      </c>
      <c r="K87" s="979"/>
      <c r="L87" s="979"/>
      <c r="M87" s="980" t="str">
        <f t="shared" si="15"/>
        <v/>
      </c>
      <c r="N87" s="983"/>
      <c r="O87" s="982" t="str">
        <f t="shared" ca="1" si="10"/>
        <v/>
      </c>
      <c r="P87" s="991" t="str">
        <f t="shared" ca="1" si="11"/>
        <v/>
      </c>
      <c r="S87" s="147" t="str">
        <f t="shared" si="12"/>
        <v/>
      </c>
      <c r="T87" s="147" t="str">
        <f t="shared" ca="1" si="13"/>
        <v/>
      </c>
      <c r="U87" s="147" t="str">
        <f t="shared" ca="1" si="14"/>
        <v/>
      </c>
    </row>
    <row r="88" spans="1:21" s="147" customFormat="1" ht="14.4" x14ac:dyDescent="0.3">
      <c r="A88" s="139" t="str">
        <f t="shared" si="8"/>
        <v/>
      </c>
      <c r="B88" s="984">
        <v>80</v>
      </c>
      <c r="C88" s="975"/>
      <c r="D88" s="1067"/>
      <c r="E88" s="976"/>
      <c r="F88" s="1035"/>
      <c r="G88" s="1087"/>
      <c r="H88" s="975"/>
      <c r="I88" s="978"/>
      <c r="J88" s="975" t="str">
        <f t="shared" si="9"/>
        <v/>
      </c>
      <c r="K88" s="979"/>
      <c r="L88" s="979"/>
      <c r="M88" s="980" t="str">
        <f t="shared" si="15"/>
        <v/>
      </c>
      <c r="N88" s="983"/>
      <c r="O88" s="982" t="str">
        <f t="shared" ca="1" si="10"/>
        <v/>
      </c>
      <c r="P88" s="991" t="str">
        <f t="shared" ca="1" si="11"/>
        <v/>
      </c>
      <c r="S88" s="147" t="str">
        <f t="shared" si="12"/>
        <v/>
      </c>
      <c r="T88" s="147" t="str">
        <f t="shared" ca="1" si="13"/>
        <v/>
      </c>
      <c r="U88" s="147" t="str">
        <f t="shared" ca="1" si="14"/>
        <v/>
      </c>
    </row>
    <row r="89" spans="1:21" s="147" customFormat="1" ht="14.4" x14ac:dyDescent="0.3">
      <c r="A89" s="139" t="str">
        <f t="shared" si="8"/>
        <v/>
      </c>
      <c r="B89" s="984">
        <v>81</v>
      </c>
      <c r="C89" s="975"/>
      <c r="D89" s="1067"/>
      <c r="E89" s="976"/>
      <c r="F89" s="1035"/>
      <c r="G89" s="1087"/>
      <c r="H89" s="975"/>
      <c r="I89" s="978"/>
      <c r="J89" s="975" t="str">
        <f t="shared" si="9"/>
        <v/>
      </c>
      <c r="K89" s="979"/>
      <c r="L89" s="979"/>
      <c r="M89" s="980" t="str">
        <f t="shared" si="15"/>
        <v/>
      </c>
      <c r="N89" s="983"/>
      <c r="O89" s="982" t="str">
        <f t="shared" ca="1" si="10"/>
        <v/>
      </c>
      <c r="P89" s="991" t="str">
        <f t="shared" ca="1" si="11"/>
        <v/>
      </c>
      <c r="S89" s="147" t="str">
        <f t="shared" si="12"/>
        <v/>
      </c>
      <c r="T89" s="147" t="str">
        <f t="shared" ca="1" si="13"/>
        <v/>
      </c>
      <c r="U89" s="147" t="str">
        <f t="shared" ca="1" si="14"/>
        <v/>
      </c>
    </row>
    <row r="90" spans="1:21" s="147" customFormat="1" ht="14.4" x14ac:dyDescent="0.3">
      <c r="A90" s="139" t="str">
        <f t="shared" si="8"/>
        <v/>
      </c>
      <c r="B90" s="984">
        <v>82</v>
      </c>
      <c r="C90" s="975"/>
      <c r="D90" s="1067"/>
      <c r="E90" s="976"/>
      <c r="F90" s="1035"/>
      <c r="G90" s="1087"/>
      <c r="H90" s="975"/>
      <c r="I90" s="978"/>
      <c r="J90" s="975" t="str">
        <f t="shared" si="9"/>
        <v/>
      </c>
      <c r="K90" s="979"/>
      <c r="L90" s="979"/>
      <c r="M90" s="980" t="str">
        <f t="shared" si="15"/>
        <v/>
      </c>
      <c r="N90" s="983"/>
      <c r="O90" s="982" t="str">
        <f t="shared" ca="1" si="10"/>
        <v/>
      </c>
      <c r="P90" s="991" t="str">
        <f t="shared" ca="1" si="11"/>
        <v/>
      </c>
      <c r="S90" s="147" t="str">
        <f t="shared" si="12"/>
        <v/>
      </c>
      <c r="T90" s="147" t="str">
        <f t="shared" ca="1" si="13"/>
        <v/>
      </c>
      <c r="U90" s="147" t="str">
        <f t="shared" ca="1" si="14"/>
        <v/>
      </c>
    </row>
    <row r="91" spans="1:21" s="147" customFormat="1" ht="14.4" x14ac:dyDescent="0.3">
      <c r="A91" s="139" t="str">
        <f t="shared" si="8"/>
        <v/>
      </c>
      <c r="B91" s="984">
        <v>83</v>
      </c>
      <c r="C91" s="975"/>
      <c r="D91" s="1067"/>
      <c r="E91" s="976"/>
      <c r="F91" s="1035"/>
      <c r="G91" s="1087"/>
      <c r="H91" s="975"/>
      <c r="I91" s="978"/>
      <c r="J91" s="975" t="str">
        <f t="shared" si="9"/>
        <v/>
      </c>
      <c r="K91" s="979"/>
      <c r="L91" s="979"/>
      <c r="M91" s="980" t="str">
        <f t="shared" si="15"/>
        <v/>
      </c>
      <c r="N91" s="983"/>
      <c r="O91" s="982" t="str">
        <f t="shared" ca="1" si="10"/>
        <v/>
      </c>
      <c r="P91" s="991" t="str">
        <f t="shared" ca="1" si="11"/>
        <v/>
      </c>
      <c r="S91" s="147" t="str">
        <f t="shared" si="12"/>
        <v/>
      </c>
      <c r="T91" s="147" t="str">
        <f t="shared" ca="1" si="13"/>
        <v/>
      </c>
      <c r="U91" s="147" t="str">
        <f t="shared" ca="1" si="14"/>
        <v/>
      </c>
    </row>
    <row r="92" spans="1:21" s="147" customFormat="1" ht="14.4" x14ac:dyDescent="0.3">
      <c r="A92" s="139" t="str">
        <f t="shared" si="8"/>
        <v/>
      </c>
      <c r="B92" s="984">
        <v>84</v>
      </c>
      <c r="C92" s="975"/>
      <c r="D92" s="1067"/>
      <c r="E92" s="976"/>
      <c r="F92" s="1035"/>
      <c r="G92" s="1087"/>
      <c r="H92" s="975"/>
      <c r="I92" s="978"/>
      <c r="J92" s="975" t="str">
        <f t="shared" si="9"/>
        <v/>
      </c>
      <c r="K92" s="979"/>
      <c r="L92" s="979"/>
      <c r="M92" s="980" t="str">
        <f t="shared" si="15"/>
        <v/>
      </c>
      <c r="N92" s="983"/>
      <c r="O92" s="982" t="str">
        <f t="shared" ca="1" si="10"/>
        <v/>
      </c>
      <c r="P92" s="991" t="str">
        <f t="shared" ca="1" si="11"/>
        <v/>
      </c>
      <c r="S92" s="147" t="str">
        <f t="shared" si="12"/>
        <v/>
      </c>
      <c r="T92" s="147" t="str">
        <f t="shared" ca="1" si="13"/>
        <v/>
      </c>
      <c r="U92" s="147" t="str">
        <f t="shared" ca="1" si="14"/>
        <v/>
      </c>
    </row>
    <row r="93" spans="1:21" s="147" customFormat="1" ht="14.4" x14ac:dyDescent="0.3">
      <c r="A93" s="139" t="str">
        <f t="shared" si="8"/>
        <v/>
      </c>
      <c r="B93" s="984">
        <v>85</v>
      </c>
      <c r="C93" s="975"/>
      <c r="D93" s="1067"/>
      <c r="E93" s="976"/>
      <c r="F93" s="1035"/>
      <c r="G93" s="1087"/>
      <c r="H93" s="975"/>
      <c r="I93" s="978"/>
      <c r="J93" s="975" t="str">
        <f t="shared" si="9"/>
        <v/>
      </c>
      <c r="K93" s="979"/>
      <c r="L93" s="979"/>
      <c r="M93" s="980" t="str">
        <f t="shared" si="15"/>
        <v/>
      </c>
      <c r="N93" s="983"/>
      <c r="O93" s="982" t="str">
        <f t="shared" ca="1" si="10"/>
        <v/>
      </c>
      <c r="P93" s="991" t="str">
        <f t="shared" ca="1" si="11"/>
        <v/>
      </c>
      <c r="S93" s="147" t="str">
        <f t="shared" si="12"/>
        <v/>
      </c>
      <c r="T93" s="147" t="str">
        <f t="shared" ca="1" si="13"/>
        <v/>
      </c>
      <c r="U93" s="147" t="str">
        <f t="shared" ca="1" si="14"/>
        <v/>
      </c>
    </row>
    <row r="94" spans="1:21" s="147" customFormat="1" ht="14.4" x14ac:dyDescent="0.3">
      <c r="A94" s="139" t="str">
        <f t="shared" si="8"/>
        <v/>
      </c>
      <c r="B94" s="984">
        <v>86</v>
      </c>
      <c r="C94" s="975"/>
      <c r="D94" s="1067"/>
      <c r="E94" s="976"/>
      <c r="F94" s="1035"/>
      <c r="G94" s="1087"/>
      <c r="H94" s="975"/>
      <c r="I94" s="978"/>
      <c r="J94" s="975" t="str">
        <f t="shared" si="9"/>
        <v/>
      </c>
      <c r="K94" s="979"/>
      <c r="L94" s="979"/>
      <c r="M94" s="980" t="str">
        <f t="shared" si="15"/>
        <v/>
      </c>
      <c r="N94" s="983"/>
      <c r="O94" s="982" t="str">
        <f t="shared" ca="1" si="10"/>
        <v/>
      </c>
      <c r="P94" s="991" t="str">
        <f t="shared" ca="1" si="11"/>
        <v/>
      </c>
      <c r="S94" s="147" t="str">
        <f t="shared" si="12"/>
        <v/>
      </c>
      <c r="T94" s="147" t="str">
        <f t="shared" ca="1" si="13"/>
        <v/>
      </c>
      <c r="U94" s="147" t="str">
        <f t="shared" ca="1" si="14"/>
        <v/>
      </c>
    </row>
    <row r="95" spans="1:21" s="147" customFormat="1" ht="14.4" x14ac:dyDescent="0.3">
      <c r="A95" s="139" t="str">
        <f t="shared" si="8"/>
        <v/>
      </c>
      <c r="B95" s="984">
        <v>87</v>
      </c>
      <c r="C95" s="975"/>
      <c r="D95" s="1067"/>
      <c r="E95" s="976"/>
      <c r="F95" s="1035"/>
      <c r="G95" s="1087"/>
      <c r="H95" s="975"/>
      <c r="I95" s="978"/>
      <c r="J95" s="975" t="str">
        <f t="shared" si="9"/>
        <v/>
      </c>
      <c r="K95" s="979"/>
      <c r="L95" s="979"/>
      <c r="M95" s="980" t="str">
        <f t="shared" si="15"/>
        <v/>
      </c>
      <c r="N95" s="983"/>
      <c r="O95" s="982" t="str">
        <f t="shared" ca="1" si="10"/>
        <v/>
      </c>
      <c r="P95" s="991" t="str">
        <f t="shared" ca="1" si="11"/>
        <v/>
      </c>
      <c r="S95" s="147" t="str">
        <f t="shared" si="12"/>
        <v/>
      </c>
      <c r="T95" s="147" t="str">
        <f t="shared" ca="1" si="13"/>
        <v/>
      </c>
      <c r="U95" s="147" t="str">
        <f t="shared" ca="1" si="14"/>
        <v/>
      </c>
    </row>
    <row r="96" spans="1:21" s="147" customFormat="1" ht="14.4" x14ac:dyDescent="0.3">
      <c r="A96" s="139" t="str">
        <f t="shared" si="8"/>
        <v/>
      </c>
      <c r="B96" s="984">
        <v>88</v>
      </c>
      <c r="C96" s="975"/>
      <c r="D96" s="1067"/>
      <c r="E96" s="976"/>
      <c r="F96" s="1035"/>
      <c r="G96" s="1087"/>
      <c r="H96" s="975"/>
      <c r="I96" s="978"/>
      <c r="J96" s="975" t="str">
        <f t="shared" si="9"/>
        <v/>
      </c>
      <c r="K96" s="979"/>
      <c r="L96" s="979"/>
      <c r="M96" s="980" t="str">
        <f t="shared" si="15"/>
        <v/>
      </c>
      <c r="N96" s="983"/>
      <c r="O96" s="982" t="str">
        <f t="shared" ca="1" si="10"/>
        <v/>
      </c>
      <c r="P96" s="991" t="str">
        <f t="shared" ca="1" si="11"/>
        <v/>
      </c>
      <c r="S96" s="147" t="str">
        <f t="shared" si="12"/>
        <v/>
      </c>
      <c r="T96" s="147" t="str">
        <f t="shared" ca="1" si="13"/>
        <v/>
      </c>
      <c r="U96" s="147" t="str">
        <f t="shared" ca="1" si="14"/>
        <v/>
      </c>
    </row>
    <row r="97" spans="1:21" s="147" customFormat="1" ht="14.4" x14ac:dyDescent="0.3">
      <c r="A97" s="139" t="str">
        <f t="shared" si="8"/>
        <v/>
      </c>
      <c r="B97" s="984">
        <v>89</v>
      </c>
      <c r="C97" s="975"/>
      <c r="D97" s="1067"/>
      <c r="E97" s="976"/>
      <c r="F97" s="1035"/>
      <c r="G97" s="1087"/>
      <c r="H97" s="975"/>
      <c r="I97" s="978"/>
      <c r="J97" s="975" t="str">
        <f t="shared" si="9"/>
        <v/>
      </c>
      <c r="K97" s="979"/>
      <c r="L97" s="979"/>
      <c r="M97" s="980" t="str">
        <f t="shared" si="15"/>
        <v/>
      </c>
      <c r="N97" s="983"/>
      <c r="O97" s="982" t="str">
        <f t="shared" ca="1" si="10"/>
        <v/>
      </c>
      <c r="P97" s="991" t="str">
        <f t="shared" ca="1" si="11"/>
        <v/>
      </c>
      <c r="S97" s="147" t="str">
        <f t="shared" si="12"/>
        <v/>
      </c>
      <c r="T97" s="147" t="str">
        <f t="shared" ca="1" si="13"/>
        <v/>
      </c>
      <c r="U97" s="147" t="str">
        <f t="shared" ca="1" si="14"/>
        <v/>
      </c>
    </row>
    <row r="98" spans="1:21" s="147" customFormat="1" ht="14.4" x14ac:dyDescent="0.3">
      <c r="A98" s="139" t="str">
        <f t="shared" si="8"/>
        <v/>
      </c>
      <c r="B98" s="984">
        <v>90</v>
      </c>
      <c r="C98" s="975"/>
      <c r="D98" s="1067"/>
      <c r="E98" s="976"/>
      <c r="F98" s="1035"/>
      <c r="G98" s="1087"/>
      <c r="H98" s="975"/>
      <c r="I98" s="978"/>
      <c r="J98" s="975" t="str">
        <f t="shared" si="9"/>
        <v/>
      </c>
      <c r="K98" s="979"/>
      <c r="L98" s="979"/>
      <c r="M98" s="980" t="str">
        <f t="shared" si="15"/>
        <v/>
      </c>
      <c r="N98" s="983"/>
      <c r="O98" s="982" t="str">
        <f t="shared" ca="1" si="10"/>
        <v/>
      </c>
      <c r="P98" s="991" t="str">
        <f t="shared" ca="1" si="11"/>
        <v/>
      </c>
      <c r="S98" s="147" t="str">
        <f t="shared" si="12"/>
        <v/>
      </c>
      <c r="T98" s="147" t="str">
        <f t="shared" ca="1" si="13"/>
        <v/>
      </c>
      <c r="U98" s="147" t="str">
        <f t="shared" ca="1" si="14"/>
        <v/>
      </c>
    </row>
    <row r="99" spans="1:21" s="147" customFormat="1" ht="14.4" x14ac:dyDescent="0.3">
      <c r="A99" s="139" t="str">
        <f t="shared" si="8"/>
        <v/>
      </c>
      <c r="B99" s="984">
        <v>91</v>
      </c>
      <c r="C99" s="975"/>
      <c r="D99" s="1067"/>
      <c r="E99" s="976"/>
      <c r="F99" s="1035"/>
      <c r="G99" s="1087"/>
      <c r="H99" s="975"/>
      <c r="I99" s="978"/>
      <c r="J99" s="975" t="str">
        <f t="shared" si="9"/>
        <v/>
      </c>
      <c r="K99" s="979"/>
      <c r="L99" s="979"/>
      <c r="M99" s="980" t="str">
        <f t="shared" si="15"/>
        <v/>
      </c>
      <c r="N99" s="983"/>
      <c r="O99" s="982" t="str">
        <f t="shared" ca="1" si="10"/>
        <v/>
      </c>
      <c r="P99" s="991" t="str">
        <f t="shared" ca="1" si="11"/>
        <v/>
      </c>
      <c r="S99" s="147" t="str">
        <f t="shared" si="12"/>
        <v/>
      </c>
      <c r="T99" s="147" t="str">
        <f t="shared" ca="1" si="13"/>
        <v/>
      </c>
      <c r="U99" s="147" t="str">
        <f t="shared" ca="1" si="14"/>
        <v/>
      </c>
    </row>
    <row r="100" spans="1:21" s="147" customFormat="1" ht="14.4" x14ac:dyDescent="0.3">
      <c r="A100" s="139" t="str">
        <f t="shared" si="8"/>
        <v/>
      </c>
      <c r="B100" s="984">
        <v>92</v>
      </c>
      <c r="C100" s="975"/>
      <c r="D100" s="1067"/>
      <c r="E100" s="976"/>
      <c r="F100" s="1035"/>
      <c r="G100" s="1087"/>
      <c r="H100" s="975"/>
      <c r="I100" s="978"/>
      <c r="J100" s="975" t="str">
        <f t="shared" si="9"/>
        <v/>
      </c>
      <c r="K100" s="979"/>
      <c r="L100" s="979"/>
      <c r="M100" s="980" t="str">
        <f t="shared" si="15"/>
        <v/>
      </c>
      <c r="N100" s="983"/>
      <c r="O100" s="982" t="str">
        <f t="shared" ca="1" si="10"/>
        <v/>
      </c>
      <c r="P100" s="991" t="str">
        <f t="shared" ca="1" si="11"/>
        <v/>
      </c>
      <c r="S100" s="147" t="str">
        <f t="shared" si="12"/>
        <v/>
      </c>
      <c r="T100" s="147" t="str">
        <f t="shared" ca="1" si="13"/>
        <v/>
      </c>
      <c r="U100" s="147" t="str">
        <f t="shared" ca="1" si="14"/>
        <v/>
      </c>
    </row>
    <row r="101" spans="1:21" s="147" customFormat="1" ht="14.4" x14ac:dyDescent="0.3">
      <c r="A101" s="139" t="str">
        <f t="shared" si="8"/>
        <v/>
      </c>
      <c r="B101" s="984">
        <v>93</v>
      </c>
      <c r="C101" s="975"/>
      <c r="D101" s="1067"/>
      <c r="E101" s="976"/>
      <c r="F101" s="1035"/>
      <c r="G101" s="1087"/>
      <c r="H101" s="975"/>
      <c r="I101" s="978"/>
      <c r="J101" s="975" t="str">
        <f t="shared" si="9"/>
        <v/>
      </c>
      <c r="K101" s="979"/>
      <c r="L101" s="979"/>
      <c r="M101" s="980" t="str">
        <f t="shared" si="15"/>
        <v/>
      </c>
      <c r="N101" s="983"/>
      <c r="O101" s="982" t="str">
        <f t="shared" ca="1" si="10"/>
        <v/>
      </c>
      <c r="P101" s="991" t="str">
        <f t="shared" ca="1" si="11"/>
        <v/>
      </c>
      <c r="S101" s="147" t="str">
        <f t="shared" si="12"/>
        <v/>
      </c>
      <c r="T101" s="147" t="str">
        <f t="shared" ca="1" si="13"/>
        <v/>
      </c>
      <c r="U101" s="147" t="str">
        <f t="shared" ca="1" si="14"/>
        <v/>
      </c>
    </row>
    <row r="102" spans="1:21" s="147" customFormat="1" ht="14.4" x14ac:dyDescent="0.3">
      <c r="A102" s="139" t="str">
        <f t="shared" si="8"/>
        <v/>
      </c>
      <c r="B102" s="984">
        <v>94</v>
      </c>
      <c r="C102" s="975"/>
      <c r="D102" s="1067"/>
      <c r="E102" s="976"/>
      <c r="F102" s="1035"/>
      <c r="G102" s="1087"/>
      <c r="H102" s="975"/>
      <c r="I102" s="978"/>
      <c r="J102" s="975" t="str">
        <f t="shared" si="9"/>
        <v/>
      </c>
      <c r="K102" s="979"/>
      <c r="L102" s="979"/>
      <c r="M102" s="980" t="str">
        <f t="shared" si="15"/>
        <v/>
      </c>
      <c r="N102" s="983"/>
      <c r="O102" s="982" t="str">
        <f t="shared" ca="1" si="10"/>
        <v/>
      </c>
      <c r="P102" s="991" t="str">
        <f t="shared" ca="1" si="11"/>
        <v/>
      </c>
      <c r="S102" s="147" t="str">
        <f t="shared" si="12"/>
        <v/>
      </c>
      <c r="T102" s="147" t="str">
        <f t="shared" ca="1" si="13"/>
        <v/>
      </c>
      <c r="U102" s="147" t="str">
        <f t="shared" ca="1" si="14"/>
        <v/>
      </c>
    </row>
    <row r="103" spans="1:21" s="147" customFormat="1" ht="14.4" x14ac:dyDescent="0.3">
      <c r="A103" s="139" t="str">
        <f t="shared" si="8"/>
        <v/>
      </c>
      <c r="B103" s="984">
        <v>95</v>
      </c>
      <c r="C103" s="975"/>
      <c r="D103" s="1067"/>
      <c r="E103" s="976"/>
      <c r="F103" s="1035"/>
      <c r="G103" s="1087"/>
      <c r="H103" s="975"/>
      <c r="I103" s="978"/>
      <c r="J103" s="975" t="str">
        <f t="shared" si="9"/>
        <v/>
      </c>
      <c r="K103" s="979"/>
      <c r="L103" s="979"/>
      <c r="M103" s="980" t="str">
        <f t="shared" si="15"/>
        <v/>
      </c>
      <c r="N103" s="983"/>
      <c r="O103" s="982" t="str">
        <f t="shared" ca="1" si="10"/>
        <v/>
      </c>
      <c r="P103" s="991" t="str">
        <f t="shared" ca="1" si="11"/>
        <v/>
      </c>
      <c r="S103" s="147" t="str">
        <f t="shared" si="12"/>
        <v/>
      </c>
      <c r="T103" s="147" t="str">
        <f t="shared" ca="1" si="13"/>
        <v/>
      </c>
      <c r="U103" s="147" t="str">
        <f t="shared" ca="1" si="14"/>
        <v/>
      </c>
    </row>
    <row r="104" spans="1:21" s="147" customFormat="1" ht="14.4" x14ac:dyDescent="0.3">
      <c r="A104" s="139" t="str">
        <f t="shared" si="8"/>
        <v/>
      </c>
      <c r="B104" s="984">
        <v>96</v>
      </c>
      <c r="C104" s="975"/>
      <c r="D104" s="1067"/>
      <c r="E104" s="976"/>
      <c r="F104" s="1035"/>
      <c r="G104" s="1087"/>
      <c r="H104" s="976"/>
      <c r="I104" s="978"/>
      <c r="J104" s="975" t="str">
        <f t="shared" si="9"/>
        <v/>
      </c>
      <c r="K104" s="979"/>
      <c r="L104" s="979"/>
      <c r="M104" s="980" t="str">
        <f t="shared" si="15"/>
        <v/>
      </c>
      <c r="N104" s="983"/>
      <c r="O104" s="982" t="str">
        <f t="shared" ca="1" si="10"/>
        <v/>
      </c>
      <c r="P104" s="991" t="str">
        <f t="shared" ca="1" si="11"/>
        <v/>
      </c>
      <c r="S104" s="147" t="str">
        <f t="shared" si="12"/>
        <v/>
      </c>
      <c r="T104" s="147" t="str">
        <f t="shared" ca="1" si="13"/>
        <v/>
      </c>
      <c r="U104" s="147" t="str">
        <f t="shared" ca="1" si="14"/>
        <v/>
      </c>
    </row>
    <row r="105" spans="1:21" s="147" customFormat="1" ht="14.4" x14ac:dyDescent="0.3">
      <c r="A105" s="139" t="str">
        <f t="shared" si="8"/>
        <v/>
      </c>
      <c r="B105" s="984">
        <v>97</v>
      </c>
      <c r="C105" s="975"/>
      <c r="D105" s="1067"/>
      <c r="E105" s="976"/>
      <c r="F105" s="1035"/>
      <c r="G105" s="1087"/>
      <c r="H105" s="975"/>
      <c r="I105" s="978"/>
      <c r="J105" s="975" t="str">
        <f t="shared" si="9"/>
        <v/>
      </c>
      <c r="K105" s="979"/>
      <c r="L105" s="979"/>
      <c r="M105" s="980" t="str">
        <f t="shared" si="15"/>
        <v/>
      </c>
      <c r="N105" s="983"/>
      <c r="O105" s="982" t="str">
        <f t="shared" ca="1" si="10"/>
        <v/>
      </c>
      <c r="P105" s="991" t="str">
        <f t="shared" ca="1" si="11"/>
        <v/>
      </c>
      <c r="S105" s="147" t="str">
        <f t="shared" si="12"/>
        <v/>
      </c>
      <c r="T105" s="147" t="str">
        <f t="shared" ca="1" si="13"/>
        <v/>
      </c>
      <c r="U105" s="147" t="str">
        <f t="shared" ca="1" si="14"/>
        <v/>
      </c>
    </row>
    <row r="106" spans="1:21" s="147" customFormat="1" ht="14.4" x14ac:dyDescent="0.3">
      <c r="A106" s="139" t="str">
        <f t="shared" si="8"/>
        <v/>
      </c>
      <c r="B106" s="984">
        <v>98</v>
      </c>
      <c r="C106" s="975"/>
      <c r="D106" s="1067"/>
      <c r="E106" s="976"/>
      <c r="F106" s="1035"/>
      <c r="G106" s="1087"/>
      <c r="H106" s="975"/>
      <c r="I106" s="978"/>
      <c r="J106" s="975" t="str">
        <f t="shared" si="9"/>
        <v/>
      </c>
      <c r="K106" s="979"/>
      <c r="L106" s="979"/>
      <c r="M106" s="980" t="str">
        <f t="shared" si="15"/>
        <v/>
      </c>
      <c r="N106" s="983"/>
      <c r="O106" s="982" t="str">
        <f t="shared" ca="1" si="10"/>
        <v/>
      </c>
      <c r="P106" s="991" t="str">
        <f t="shared" ca="1" si="11"/>
        <v/>
      </c>
      <c r="S106" s="147" t="str">
        <f t="shared" si="12"/>
        <v/>
      </c>
      <c r="T106" s="147" t="str">
        <f t="shared" ca="1" si="13"/>
        <v/>
      </c>
      <c r="U106" s="147" t="str">
        <f t="shared" ca="1" si="14"/>
        <v/>
      </c>
    </row>
    <row r="107" spans="1:21" s="147" customFormat="1" ht="14.4" x14ac:dyDescent="0.3">
      <c r="A107" s="139" t="str">
        <f t="shared" si="8"/>
        <v/>
      </c>
      <c r="B107" s="984">
        <v>99</v>
      </c>
      <c r="C107" s="975"/>
      <c r="D107" s="1067"/>
      <c r="E107" s="976"/>
      <c r="F107" s="1035"/>
      <c r="G107" s="1087"/>
      <c r="H107" s="975"/>
      <c r="I107" s="978"/>
      <c r="J107" s="975" t="str">
        <f t="shared" si="9"/>
        <v/>
      </c>
      <c r="K107" s="979"/>
      <c r="L107" s="979"/>
      <c r="M107" s="980" t="str">
        <f t="shared" si="15"/>
        <v/>
      </c>
      <c r="N107" s="983"/>
      <c r="O107" s="982" t="str">
        <f t="shared" ca="1" si="10"/>
        <v/>
      </c>
      <c r="P107" s="991" t="str">
        <f t="shared" ca="1" si="11"/>
        <v/>
      </c>
      <c r="S107" s="147" t="str">
        <f t="shared" si="12"/>
        <v/>
      </c>
      <c r="T107" s="147" t="str">
        <f t="shared" ca="1" si="13"/>
        <v/>
      </c>
      <c r="U107" s="147" t="str">
        <f t="shared" ca="1" si="14"/>
        <v/>
      </c>
    </row>
    <row r="108" spans="1:21" s="147" customFormat="1" ht="14.4" x14ac:dyDescent="0.3">
      <c r="A108" s="139" t="str">
        <f t="shared" si="8"/>
        <v/>
      </c>
      <c r="B108" s="984">
        <v>100</v>
      </c>
      <c r="C108" s="975"/>
      <c r="D108" s="1067"/>
      <c r="E108" s="976"/>
      <c r="F108" s="1035"/>
      <c r="G108" s="1087"/>
      <c r="H108" s="975"/>
      <c r="I108" s="978"/>
      <c r="J108" s="975" t="str">
        <f t="shared" si="9"/>
        <v/>
      </c>
      <c r="K108" s="979"/>
      <c r="L108" s="979"/>
      <c r="M108" s="980" t="str">
        <f t="shared" si="15"/>
        <v/>
      </c>
      <c r="N108" s="983"/>
      <c r="O108" s="982" t="str">
        <f t="shared" ca="1" si="10"/>
        <v/>
      </c>
      <c r="P108" s="991" t="str">
        <f t="shared" ca="1" si="11"/>
        <v/>
      </c>
      <c r="S108" s="147" t="str">
        <f t="shared" si="12"/>
        <v/>
      </c>
      <c r="T108" s="147" t="str">
        <f t="shared" ca="1" si="13"/>
        <v/>
      </c>
      <c r="U108" s="147" t="str">
        <f t="shared" ca="1" si="14"/>
        <v/>
      </c>
    </row>
    <row r="109" spans="1:21" s="147" customFormat="1" ht="14.4" x14ac:dyDescent="0.3">
      <c r="A109" s="139" t="str">
        <f t="shared" si="8"/>
        <v/>
      </c>
      <c r="B109" s="984">
        <v>101</v>
      </c>
      <c r="C109" s="975"/>
      <c r="D109" s="1067"/>
      <c r="E109" s="976"/>
      <c r="F109" s="1035"/>
      <c r="G109" s="1087"/>
      <c r="H109" s="975"/>
      <c r="I109" s="978"/>
      <c r="J109" s="975" t="str">
        <f t="shared" si="9"/>
        <v/>
      </c>
      <c r="K109" s="979"/>
      <c r="L109" s="979"/>
      <c r="M109" s="980" t="str">
        <f t="shared" si="15"/>
        <v/>
      </c>
      <c r="N109" s="983"/>
      <c r="O109" s="982" t="str">
        <f t="shared" ca="1" si="10"/>
        <v/>
      </c>
      <c r="P109" s="991" t="str">
        <f t="shared" ca="1" si="11"/>
        <v/>
      </c>
      <c r="S109" s="147" t="str">
        <f t="shared" si="12"/>
        <v/>
      </c>
      <c r="T109" s="147" t="str">
        <f t="shared" ca="1" si="13"/>
        <v/>
      </c>
      <c r="U109" s="147" t="str">
        <f t="shared" ca="1" si="14"/>
        <v/>
      </c>
    </row>
    <row r="110" spans="1:21" s="147" customFormat="1" ht="14.4" x14ac:dyDescent="0.3">
      <c r="A110" s="139" t="str">
        <f t="shared" si="8"/>
        <v/>
      </c>
      <c r="B110" s="984">
        <v>102</v>
      </c>
      <c r="C110" s="975"/>
      <c r="D110" s="1067"/>
      <c r="E110" s="976"/>
      <c r="F110" s="1035"/>
      <c r="G110" s="1087"/>
      <c r="H110" s="975"/>
      <c r="I110" s="978"/>
      <c r="J110" s="975" t="str">
        <f t="shared" si="9"/>
        <v/>
      </c>
      <c r="K110" s="979"/>
      <c r="L110" s="979"/>
      <c r="M110" s="980" t="str">
        <f t="shared" si="15"/>
        <v/>
      </c>
      <c r="N110" s="983"/>
      <c r="O110" s="982" t="str">
        <f t="shared" ca="1" si="10"/>
        <v/>
      </c>
      <c r="P110" s="991" t="str">
        <f t="shared" ca="1" si="11"/>
        <v/>
      </c>
      <c r="S110" s="147" t="str">
        <f t="shared" si="12"/>
        <v/>
      </c>
      <c r="T110" s="147" t="str">
        <f t="shared" ca="1" si="13"/>
        <v/>
      </c>
      <c r="U110" s="147" t="str">
        <f t="shared" ca="1" si="14"/>
        <v/>
      </c>
    </row>
    <row r="111" spans="1:21" s="147" customFormat="1" ht="14.4" x14ac:dyDescent="0.3">
      <c r="A111" s="139" t="str">
        <f t="shared" si="8"/>
        <v/>
      </c>
      <c r="B111" s="984">
        <v>103</v>
      </c>
      <c r="C111" s="975"/>
      <c r="D111" s="1067"/>
      <c r="E111" s="976"/>
      <c r="F111" s="1035"/>
      <c r="G111" s="1087"/>
      <c r="H111" s="975"/>
      <c r="I111" s="978"/>
      <c r="J111" s="975" t="str">
        <f t="shared" si="9"/>
        <v/>
      </c>
      <c r="K111" s="979"/>
      <c r="L111" s="979"/>
      <c r="M111" s="980" t="str">
        <f t="shared" si="15"/>
        <v/>
      </c>
      <c r="N111" s="983"/>
      <c r="O111" s="982" t="str">
        <f t="shared" ca="1" si="10"/>
        <v/>
      </c>
      <c r="P111" s="991" t="str">
        <f t="shared" ca="1" si="11"/>
        <v/>
      </c>
      <c r="S111" s="147" t="str">
        <f t="shared" si="12"/>
        <v/>
      </c>
      <c r="T111" s="147" t="str">
        <f t="shared" ca="1" si="13"/>
        <v/>
      </c>
      <c r="U111" s="147" t="str">
        <f t="shared" ca="1" si="14"/>
        <v/>
      </c>
    </row>
    <row r="112" spans="1:21" s="147" customFormat="1" ht="14.4" x14ac:dyDescent="0.3">
      <c r="A112" s="139" t="str">
        <f t="shared" si="8"/>
        <v/>
      </c>
      <c r="B112" s="984">
        <v>104</v>
      </c>
      <c r="C112" s="975"/>
      <c r="D112" s="1067"/>
      <c r="E112" s="976"/>
      <c r="F112" s="1035"/>
      <c r="G112" s="1087"/>
      <c r="H112" s="975"/>
      <c r="I112" s="978"/>
      <c r="J112" s="975" t="str">
        <f t="shared" si="9"/>
        <v/>
      </c>
      <c r="K112" s="979"/>
      <c r="L112" s="979"/>
      <c r="M112" s="980" t="str">
        <f t="shared" si="15"/>
        <v/>
      </c>
      <c r="N112" s="983"/>
      <c r="O112" s="982" t="str">
        <f t="shared" ca="1" si="10"/>
        <v/>
      </c>
      <c r="P112" s="991" t="str">
        <f t="shared" ca="1" si="11"/>
        <v/>
      </c>
      <c r="S112" s="147" t="str">
        <f t="shared" si="12"/>
        <v/>
      </c>
      <c r="T112" s="147" t="str">
        <f t="shared" ca="1" si="13"/>
        <v/>
      </c>
      <c r="U112" s="147" t="str">
        <f t="shared" ca="1" si="14"/>
        <v/>
      </c>
    </row>
    <row r="113" spans="1:21" s="147" customFormat="1" ht="14.4" x14ac:dyDescent="0.3">
      <c r="A113" s="139" t="str">
        <f t="shared" si="8"/>
        <v/>
      </c>
      <c r="B113" s="984">
        <v>105</v>
      </c>
      <c r="C113" s="975"/>
      <c r="D113" s="1067"/>
      <c r="E113" s="976"/>
      <c r="F113" s="1035"/>
      <c r="G113" s="1087"/>
      <c r="H113" s="975"/>
      <c r="I113" s="978"/>
      <c r="J113" s="975" t="str">
        <f t="shared" si="9"/>
        <v/>
      </c>
      <c r="K113" s="979"/>
      <c r="L113" s="979"/>
      <c r="M113" s="980" t="str">
        <f t="shared" si="15"/>
        <v/>
      </c>
      <c r="N113" s="983"/>
      <c r="O113" s="982" t="str">
        <f t="shared" ca="1" si="10"/>
        <v/>
      </c>
      <c r="P113" s="991" t="str">
        <f t="shared" ca="1" si="11"/>
        <v/>
      </c>
      <c r="S113" s="147" t="str">
        <f t="shared" si="12"/>
        <v/>
      </c>
      <c r="T113" s="147" t="str">
        <f t="shared" ca="1" si="13"/>
        <v/>
      </c>
      <c r="U113" s="147" t="str">
        <f t="shared" ca="1" si="14"/>
        <v/>
      </c>
    </row>
    <row r="114" spans="1:21" s="147" customFormat="1" ht="14.4" x14ac:dyDescent="0.3">
      <c r="A114" s="139" t="str">
        <f t="shared" si="8"/>
        <v/>
      </c>
      <c r="B114" s="984">
        <v>106</v>
      </c>
      <c r="C114" s="975"/>
      <c r="D114" s="1067"/>
      <c r="E114" s="976"/>
      <c r="F114" s="1035"/>
      <c r="G114" s="1087"/>
      <c r="H114" s="975"/>
      <c r="I114" s="978"/>
      <c r="J114" s="975" t="str">
        <f t="shared" si="9"/>
        <v/>
      </c>
      <c r="K114" s="979"/>
      <c r="L114" s="979"/>
      <c r="M114" s="980" t="str">
        <f t="shared" si="15"/>
        <v/>
      </c>
      <c r="N114" s="983"/>
      <c r="O114" s="982" t="str">
        <f t="shared" ca="1" si="10"/>
        <v/>
      </c>
      <c r="P114" s="991" t="str">
        <f t="shared" ca="1" si="11"/>
        <v/>
      </c>
      <c r="S114" s="147" t="str">
        <f t="shared" si="12"/>
        <v/>
      </c>
      <c r="T114" s="147" t="str">
        <f t="shared" ca="1" si="13"/>
        <v/>
      </c>
      <c r="U114" s="147" t="str">
        <f t="shared" ca="1" si="14"/>
        <v/>
      </c>
    </row>
    <row r="115" spans="1:21" s="147" customFormat="1" ht="14.4" x14ac:dyDescent="0.3">
      <c r="A115" s="139" t="str">
        <f t="shared" si="8"/>
        <v/>
      </c>
      <c r="B115" s="984">
        <v>107</v>
      </c>
      <c r="C115" s="975"/>
      <c r="D115" s="1067"/>
      <c r="E115" s="976"/>
      <c r="F115" s="1035"/>
      <c r="G115" s="1087"/>
      <c r="H115" s="975"/>
      <c r="I115" s="978"/>
      <c r="J115" s="975" t="str">
        <f t="shared" si="9"/>
        <v/>
      </c>
      <c r="K115" s="979"/>
      <c r="L115" s="979"/>
      <c r="M115" s="980" t="str">
        <f t="shared" si="15"/>
        <v/>
      </c>
      <c r="N115" s="983"/>
      <c r="O115" s="982" t="str">
        <f t="shared" ca="1" si="10"/>
        <v/>
      </c>
      <c r="P115" s="991" t="str">
        <f t="shared" ca="1" si="11"/>
        <v/>
      </c>
      <c r="S115" s="147" t="str">
        <f t="shared" si="12"/>
        <v/>
      </c>
      <c r="T115" s="147" t="str">
        <f t="shared" ca="1" si="13"/>
        <v/>
      </c>
      <c r="U115" s="147" t="str">
        <f t="shared" ca="1" si="14"/>
        <v/>
      </c>
    </row>
    <row r="116" spans="1:21" s="147" customFormat="1" ht="14.4" x14ac:dyDescent="0.3">
      <c r="A116" s="139" t="str">
        <f t="shared" si="8"/>
        <v/>
      </c>
      <c r="B116" s="984">
        <v>108</v>
      </c>
      <c r="C116" s="975"/>
      <c r="D116" s="1067"/>
      <c r="E116" s="976"/>
      <c r="F116" s="1035"/>
      <c r="G116" s="1087"/>
      <c r="H116" s="975"/>
      <c r="I116" s="978"/>
      <c r="J116" s="975" t="str">
        <f t="shared" si="9"/>
        <v/>
      </c>
      <c r="K116" s="979"/>
      <c r="L116" s="979"/>
      <c r="M116" s="980" t="str">
        <f t="shared" si="15"/>
        <v/>
      </c>
      <c r="N116" s="983"/>
      <c r="O116" s="982" t="str">
        <f t="shared" ca="1" si="10"/>
        <v/>
      </c>
      <c r="P116" s="991" t="str">
        <f t="shared" ca="1" si="11"/>
        <v/>
      </c>
      <c r="S116" s="147" t="str">
        <f t="shared" si="12"/>
        <v/>
      </c>
      <c r="T116" s="147" t="str">
        <f t="shared" ca="1" si="13"/>
        <v/>
      </c>
      <c r="U116" s="147" t="str">
        <f t="shared" ca="1" si="14"/>
        <v/>
      </c>
    </row>
    <row r="117" spans="1:21" s="147" customFormat="1" ht="14.4" x14ac:dyDescent="0.3">
      <c r="A117" s="139" t="str">
        <f t="shared" si="8"/>
        <v/>
      </c>
      <c r="B117" s="984">
        <v>109</v>
      </c>
      <c r="C117" s="975"/>
      <c r="D117" s="1067"/>
      <c r="E117" s="976"/>
      <c r="F117" s="1035"/>
      <c r="G117" s="1087"/>
      <c r="H117" s="975"/>
      <c r="I117" s="978"/>
      <c r="J117" s="975" t="str">
        <f t="shared" si="9"/>
        <v/>
      </c>
      <c r="K117" s="979"/>
      <c r="L117" s="979"/>
      <c r="M117" s="980" t="str">
        <f t="shared" si="15"/>
        <v/>
      </c>
      <c r="N117" s="983"/>
      <c r="O117" s="982" t="str">
        <f t="shared" ca="1" si="10"/>
        <v/>
      </c>
      <c r="P117" s="991" t="str">
        <f t="shared" ca="1" si="11"/>
        <v/>
      </c>
      <c r="S117" s="147" t="str">
        <f t="shared" si="12"/>
        <v/>
      </c>
      <c r="T117" s="147" t="str">
        <f t="shared" ca="1" si="13"/>
        <v/>
      </c>
      <c r="U117" s="147" t="str">
        <f t="shared" ca="1" si="14"/>
        <v/>
      </c>
    </row>
    <row r="118" spans="1:21" s="147" customFormat="1" ht="14.4" x14ac:dyDescent="0.3">
      <c r="A118" s="139" t="str">
        <f t="shared" si="8"/>
        <v/>
      </c>
      <c r="B118" s="984">
        <v>110</v>
      </c>
      <c r="C118" s="975"/>
      <c r="D118" s="1067"/>
      <c r="E118" s="985"/>
      <c r="F118" s="1036"/>
      <c r="G118" s="1088"/>
      <c r="H118" s="975"/>
      <c r="I118" s="978"/>
      <c r="J118" s="975" t="str">
        <f t="shared" si="9"/>
        <v/>
      </c>
      <c r="K118" s="979"/>
      <c r="L118" s="979"/>
      <c r="M118" s="980" t="str">
        <f t="shared" si="15"/>
        <v/>
      </c>
      <c r="N118" s="983"/>
      <c r="O118" s="982" t="str">
        <f t="shared" ca="1" si="10"/>
        <v/>
      </c>
      <c r="P118" s="991" t="str">
        <f t="shared" ca="1" si="11"/>
        <v/>
      </c>
      <c r="S118" s="147" t="str">
        <f t="shared" si="12"/>
        <v/>
      </c>
      <c r="T118" s="147" t="str">
        <f t="shared" ca="1" si="13"/>
        <v/>
      </c>
      <c r="U118" s="147" t="str">
        <f t="shared" ca="1" si="14"/>
        <v/>
      </c>
    </row>
    <row r="119" spans="1:21" s="147" customFormat="1" ht="14.4" x14ac:dyDescent="0.3">
      <c r="A119" s="139" t="str">
        <f t="shared" si="8"/>
        <v/>
      </c>
      <c r="B119" s="984">
        <v>111</v>
      </c>
      <c r="C119" s="975"/>
      <c r="D119" s="1067"/>
      <c r="E119" s="976"/>
      <c r="F119" s="1035"/>
      <c r="G119" s="1087"/>
      <c r="H119" s="975"/>
      <c r="I119" s="978"/>
      <c r="J119" s="975" t="str">
        <f t="shared" si="9"/>
        <v/>
      </c>
      <c r="K119" s="979"/>
      <c r="L119" s="979"/>
      <c r="M119" s="980" t="str">
        <f t="shared" si="15"/>
        <v/>
      </c>
      <c r="N119" s="983"/>
      <c r="O119" s="982" t="str">
        <f t="shared" ca="1" si="10"/>
        <v/>
      </c>
      <c r="P119" s="991" t="str">
        <f t="shared" ca="1" si="11"/>
        <v/>
      </c>
      <c r="S119" s="147" t="str">
        <f t="shared" si="12"/>
        <v/>
      </c>
      <c r="T119" s="147" t="str">
        <f t="shared" ca="1" si="13"/>
        <v/>
      </c>
      <c r="U119" s="147" t="str">
        <f t="shared" ca="1" si="14"/>
        <v/>
      </c>
    </row>
    <row r="120" spans="1:21" s="147" customFormat="1" ht="14.4" x14ac:dyDescent="0.3">
      <c r="A120" s="139" t="str">
        <f t="shared" si="8"/>
        <v/>
      </c>
      <c r="B120" s="984">
        <v>112</v>
      </c>
      <c r="C120" s="975"/>
      <c r="D120" s="1067"/>
      <c r="E120" s="976"/>
      <c r="F120" s="1035"/>
      <c r="G120" s="1087"/>
      <c r="H120" s="975"/>
      <c r="I120" s="978"/>
      <c r="J120" s="975" t="str">
        <f t="shared" si="9"/>
        <v/>
      </c>
      <c r="K120" s="979"/>
      <c r="L120" s="979"/>
      <c r="M120" s="980" t="str">
        <f t="shared" si="15"/>
        <v/>
      </c>
      <c r="N120" s="983"/>
      <c r="O120" s="982" t="str">
        <f t="shared" ca="1" si="10"/>
        <v/>
      </c>
      <c r="P120" s="991" t="str">
        <f t="shared" ca="1" si="11"/>
        <v/>
      </c>
      <c r="S120" s="147" t="str">
        <f t="shared" si="12"/>
        <v/>
      </c>
      <c r="T120" s="147" t="str">
        <f t="shared" ca="1" si="13"/>
        <v/>
      </c>
      <c r="U120" s="147" t="str">
        <f t="shared" ca="1" si="14"/>
        <v/>
      </c>
    </row>
    <row r="121" spans="1:21" s="147" customFormat="1" ht="14.4" x14ac:dyDescent="0.3">
      <c r="A121" s="139" t="str">
        <f t="shared" si="8"/>
        <v/>
      </c>
      <c r="B121" s="984">
        <v>113</v>
      </c>
      <c r="C121" s="975"/>
      <c r="D121" s="1067"/>
      <c r="E121" s="976"/>
      <c r="F121" s="1035"/>
      <c r="G121" s="1087"/>
      <c r="H121" s="975"/>
      <c r="I121" s="978"/>
      <c r="J121" s="975" t="str">
        <f t="shared" si="9"/>
        <v/>
      </c>
      <c r="K121" s="979"/>
      <c r="L121" s="979"/>
      <c r="M121" s="980" t="str">
        <f t="shared" si="15"/>
        <v/>
      </c>
      <c r="N121" s="983"/>
      <c r="O121" s="982" t="str">
        <f t="shared" ca="1" si="10"/>
        <v/>
      </c>
      <c r="P121" s="991" t="str">
        <f t="shared" ca="1" si="11"/>
        <v/>
      </c>
      <c r="S121" s="147" t="str">
        <f t="shared" si="12"/>
        <v/>
      </c>
      <c r="T121" s="147" t="str">
        <f t="shared" ca="1" si="13"/>
        <v/>
      </c>
      <c r="U121" s="147" t="str">
        <f t="shared" ca="1" si="14"/>
        <v/>
      </c>
    </row>
    <row r="122" spans="1:21" s="147" customFormat="1" ht="14.4" x14ac:dyDescent="0.3">
      <c r="A122" s="139" t="str">
        <f t="shared" si="8"/>
        <v/>
      </c>
      <c r="B122" s="984">
        <v>114</v>
      </c>
      <c r="C122" s="975"/>
      <c r="D122" s="1067"/>
      <c r="E122" s="976"/>
      <c r="F122" s="1035"/>
      <c r="G122" s="1087"/>
      <c r="H122" s="975"/>
      <c r="I122" s="978"/>
      <c r="J122" s="975" t="str">
        <f t="shared" si="9"/>
        <v/>
      </c>
      <c r="K122" s="979"/>
      <c r="L122" s="979"/>
      <c r="M122" s="980" t="str">
        <f t="shared" si="15"/>
        <v/>
      </c>
      <c r="N122" s="983"/>
      <c r="O122" s="982" t="str">
        <f t="shared" ca="1" si="10"/>
        <v/>
      </c>
      <c r="P122" s="991" t="str">
        <f t="shared" ca="1" si="11"/>
        <v/>
      </c>
      <c r="S122" s="147" t="str">
        <f t="shared" si="12"/>
        <v/>
      </c>
      <c r="T122" s="147" t="str">
        <f t="shared" ca="1" si="13"/>
        <v/>
      </c>
      <c r="U122" s="147" t="str">
        <f t="shared" ca="1" si="14"/>
        <v/>
      </c>
    </row>
    <row r="123" spans="1:21" s="147" customFormat="1" ht="14.4" x14ac:dyDescent="0.3">
      <c r="A123" s="139" t="str">
        <f t="shared" si="8"/>
        <v/>
      </c>
      <c r="B123" s="984">
        <v>115</v>
      </c>
      <c r="C123" s="975"/>
      <c r="D123" s="1067"/>
      <c r="E123" s="976"/>
      <c r="F123" s="1035"/>
      <c r="G123" s="1087"/>
      <c r="H123" s="975"/>
      <c r="I123" s="978"/>
      <c r="J123" s="975" t="str">
        <f t="shared" si="9"/>
        <v/>
      </c>
      <c r="K123" s="979"/>
      <c r="L123" s="979"/>
      <c r="M123" s="980" t="str">
        <f t="shared" si="15"/>
        <v/>
      </c>
      <c r="N123" s="983"/>
      <c r="O123" s="982" t="str">
        <f t="shared" ca="1" si="10"/>
        <v/>
      </c>
      <c r="P123" s="991" t="str">
        <f t="shared" ca="1" si="11"/>
        <v/>
      </c>
      <c r="S123" s="147" t="str">
        <f t="shared" si="12"/>
        <v/>
      </c>
      <c r="T123" s="147" t="str">
        <f t="shared" ca="1" si="13"/>
        <v/>
      </c>
      <c r="U123" s="147" t="str">
        <f t="shared" ca="1" si="14"/>
        <v/>
      </c>
    </row>
    <row r="124" spans="1:21" s="147" customFormat="1" ht="14.4" x14ac:dyDescent="0.3">
      <c r="A124" s="139" t="str">
        <f t="shared" si="8"/>
        <v/>
      </c>
      <c r="B124" s="984">
        <v>116</v>
      </c>
      <c r="C124" s="975"/>
      <c r="D124" s="1067"/>
      <c r="E124" s="976"/>
      <c r="F124" s="1035"/>
      <c r="G124" s="1087"/>
      <c r="H124" s="975"/>
      <c r="I124" s="978"/>
      <c r="J124" s="975" t="str">
        <f t="shared" si="9"/>
        <v/>
      </c>
      <c r="K124" s="979"/>
      <c r="L124" s="979"/>
      <c r="M124" s="980" t="str">
        <f t="shared" si="15"/>
        <v/>
      </c>
      <c r="N124" s="983"/>
      <c r="O124" s="982" t="str">
        <f t="shared" ca="1" si="10"/>
        <v/>
      </c>
      <c r="P124" s="991" t="str">
        <f t="shared" ca="1" si="11"/>
        <v/>
      </c>
      <c r="S124" s="147" t="str">
        <f t="shared" si="12"/>
        <v/>
      </c>
      <c r="T124" s="147" t="str">
        <f t="shared" ca="1" si="13"/>
        <v/>
      </c>
      <c r="U124" s="147" t="str">
        <f t="shared" ca="1" si="14"/>
        <v/>
      </c>
    </row>
    <row r="125" spans="1:21" s="147" customFormat="1" ht="14.4" x14ac:dyDescent="0.3">
      <c r="A125" s="139" t="str">
        <f t="shared" si="8"/>
        <v/>
      </c>
      <c r="B125" s="984">
        <v>117</v>
      </c>
      <c r="C125" s="975"/>
      <c r="D125" s="1067"/>
      <c r="E125" s="976"/>
      <c r="F125" s="1035"/>
      <c r="G125" s="1087"/>
      <c r="H125" s="975"/>
      <c r="I125" s="978"/>
      <c r="J125" s="975" t="str">
        <f t="shared" si="9"/>
        <v/>
      </c>
      <c r="K125" s="979"/>
      <c r="L125" s="979"/>
      <c r="M125" s="980" t="str">
        <f t="shared" si="15"/>
        <v/>
      </c>
      <c r="N125" s="983"/>
      <c r="O125" s="982" t="str">
        <f t="shared" ca="1" si="10"/>
        <v/>
      </c>
      <c r="P125" s="991" t="str">
        <f t="shared" ca="1" si="11"/>
        <v/>
      </c>
      <c r="S125" s="147" t="str">
        <f t="shared" si="12"/>
        <v/>
      </c>
      <c r="T125" s="147" t="str">
        <f t="shared" ca="1" si="13"/>
        <v/>
      </c>
      <c r="U125" s="147" t="str">
        <f t="shared" ca="1" si="14"/>
        <v/>
      </c>
    </row>
    <row r="126" spans="1:21" s="147" customFormat="1" ht="14.4" x14ac:dyDescent="0.3">
      <c r="A126" s="139" t="str">
        <f t="shared" si="8"/>
        <v/>
      </c>
      <c r="B126" s="984">
        <v>118</v>
      </c>
      <c r="C126" s="975"/>
      <c r="D126" s="1067"/>
      <c r="E126" s="976"/>
      <c r="F126" s="1035"/>
      <c r="G126" s="1087"/>
      <c r="H126" s="975"/>
      <c r="I126" s="978"/>
      <c r="J126" s="975" t="str">
        <f t="shared" si="9"/>
        <v/>
      </c>
      <c r="K126" s="979"/>
      <c r="L126" s="979"/>
      <c r="M126" s="980" t="str">
        <f t="shared" si="15"/>
        <v/>
      </c>
      <c r="N126" s="983"/>
      <c r="O126" s="982" t="str">
        <f t="shared" ca="1" si="10"/>
        <v/>
      </c>
      <c r="P126" s="991" t="str">
        <f t="shared" ca="1" si="11"/>
        <v/>
      </c>
      <c r="S126" s="147" t="str">
        <f t="shared" si="12"/>
        <v/>
      </c>
      <c r="T126" s="147" t="str">
        <f t="shared" ca="1" si="13"/>
        <v/>
      </c>
      <c r="U126" s="147" t="str">
        <f t="shared" ca="1" si="14"/>
        <v/>
      </c>
    </row>
    <row r="127" spans="1:21" s="147" customFormat="1" ht="14.4" x14ac:dyDescent="0.3">
      <c r="A127" s="139" t="str">
        <f t="shared" si="8"/>
        <v/>
      </c>
      <c r="B127" s="984">
        <v>119</v>
      </c>
      <c r="C127" s="975"/>
      <c r="D127" s="1067"/>
      <c r="E127" s="976"/>
      <c r="F127" s="1035"/>
      <c r="G127" s="1087"/>
      <c r="H127" s="975"/>
      <c r="I127" s="978"/>
      <c r="J127" s="975" t="str">
        <f t="shared" si="9"/>
        <v/>
      </c>
      <c r="K127" s="979"/>
      <c r="L127" s="979"/>
      <c r="M127" s="980" t="str">
        <f t="shared" si="15"/>
        <v/>
      </c>
      <c r="N127" s="983"/>
      <c r="O127" s="982" t="str">
        <f t="shared" ca="1" si="10"/>
        <v/>
      </c>
      <c r="P127" s="991" t="str">
        <f t="shared" ca="1" si="11"/>
        <v/>
      </c>
      <c r="S127" s="147" t="str">
        <f t="shared" si="12"/>
        <v/>
      </c>
      <c r="T127" s="147" t="str">
        <f t="shared" ca="1" si="13"/>
        <v/>
      </c>
      <c r="U127" s="147" t="str">
        <f t="shared" ca="1" si="14"/>
        <v/>
      </c>
    </row>
    <row r="128" spans="1:21" s="147" customFormat="1" ht="14.4" x14ac:dyDescent="0.3">
      <c r="A128" s="139" t="str">
        <f t="shared" si="8"/>
        <v/>
      </c>
      <c r="B128" s="984">
        <v>120</v>
      </c>
      <c r="C128" s="975"/>
      <c r="D128" s="1067"/>
      <c r="E128" s="976"/>
      <c r="F128" s="1035"/>
      <c r="G128" s="1087"/>
      <c r="H128" s="975"/>
      <c r="I128" s="978"/>
      <c r="J128" s="975" t="str">
        <f t="shared" si="9"/>
        <v/>
      </c>
      <c r="K128" s="979"/>
      <c r="L128" s="979"/>
      <c r="M128" s="980" t="str">
        <f t="shared" si="15"/>
        <v/>
      </c>
      <c r="N128" s="983"/>
      <c r="O128" s="982" t="str">
        <f t="shared" ca="1" si="10"/>
        <v/>
      </c>
      <c r="P128" s="991" t="str">
        <f t="shared" ca="1" si="11"/>
        <v/>
      </c>
      <c r="S128" s="147" t="str">
        <f t="shared" si="12"/>
        <v/>
      </c>
      <c r="T128" s="147" t="str">
        <f t="shared" ca="1" si="13"/>
        <v/>
      </c>
      <c r="U128" s="147" t="str">
        <f t="shared" ca="1" si="14"/>
        <v/>
      </c>
    </row>
    <row r="129" spans="1:21" s="147" customFormat="1" ht="14.4" x14ac:dyDescent="0.3">
      <c r="A129" s="139" t="str">
        <f t="shared" si="8"/>
        <v/>
      </c>
      <c r="B129" s="984">
        <v>121</v>
      </c>
      <c r="C129" s="975"/>
      <c r="D129" s="1067"/>
      <c r="E129" s="976"/>
      <c r="F129" s="1035"/>
      <c r="G129" s="1087"/>
      <c r="H129" s="975"/>
      <c r="I129" s="978"/>
      <c r="J129" s="975" t="str">
        <f t="shared" si="9"/>
        <v/>
      </c>
      <c r="K129" s="979"/>
      <c r="L129" s="979"/>
      <c r="M129" s="980" t="str">
        <f t="shared" si="15"/>
        <v/>
      </c>
      <c r="N129" s="983"/>
      <c r="O129" s="982" t="str">
        <f t="shared" ca="1" si="10"/>
        <v/>
      </c>
      <c r="P129" s="991" t="str">
        <f t="shared" ca="1" si="11"/>
        <v/>
      </c>
      <c r="S129" s="147" t="str">
        <f t="shared" si="12"/>
        <v/>
      </c>
      <c r="T129" s="147" t="str">
        <f t="shared" ca="1" si="13"/>
        <v/>
      </c>
      <c r="U129" s="147" t="str">
        <f t="shared" ca="1" si="14"/>
        <v/>
      </c>
    </row>
    <row r="130" spans="1:21" s="147" customFormat="1" ht="14.4" x14ac:dyDescent="0.3">
      <c r="A130" s="139" t="str">
        <f t="shared" si="8"/>
        <v/>
      </c>
      <c r="B130" s="984">
        <v>122</v>
      </c>
      <c r="C130" s="975"/>
      <c r="D130" s="1067"/>
      <c r="E130" s="976"/>
      <c r="F130" s="1035"/>
      <c r="G130" s="1087"/>
      <c r="H130" s="975"/>
      <c r="I130" s="978"/>
      <c r="J130" s="975" t="str">
        <f t="shared" si="9"/>
        <v/>
      </c>
      <c r="K130" s="979"/>
      <c r="L130" s="979"/>
      <c r="M130" s="980" t="str">
        <f t="shared" si="15"/>
        <v/>
      </c>
      <c r="N130" s="983"/>
      <c r="O130" s="982" t="str">
        <f t="shared" ca="1" si="10"/>
        <v/>
      </c>
      <c r="P130" s="991" t="str">
        <f t="shared" ca="1" si="11"/>
        <v/>
      </c>
      <c r="S130" s="147" t="str">
        <f t="shared" si="12"/>
        <v/>
      </c>
      <c r="T130" s="147" t="str">
        <f t="shared" ca="1" si="13"/>
        <v/>
      </c>
      <c r="U130" s="147" t="str">
        <f t="shared" ca="1" si="14"/>
        <v/>
      </c>
    </row>
    <row r="131" spans="1:21" s="147" customFormat="1" ht="14.4" x14ac:dyDescent="0.3">
      <c r="A131" s="139" t="str">
        <f t="shared" si="8"/>
        <v/>
      </c>
      <c r="B131" s="984">
        <v>123</v>
      </c>
      <c r="C131" s="975"/>
      <c r="D131" s="1067"/>
      <c r="E131" s="976"/>
      <c r="F131" s="1035"/>
      <c r="G131" s="1087"/>
      <c r="H131" s="975"/>
      <c r="I131" s="978"/>
      <c r="J131" s="975" t="str">
        <f t="shared" si="9"/>
        <v/>
      </c>
      <c r="K131" s="979"/>
      <c r="L131" s="979"/>
      <c r="M131" s="980" t="str">
        <f t="shared" si="15"/>
        <v/>
      </c>
      <c r="N131" s="983"/>
      <c r="O131" s="982" t="str">
        <f t="shared" ca="1" si="10"/>
        <v/>
      </c>
      <c r="P131" s="991" t="str">
        <f t="shared" ca="1" si="11"/>
        <v/>
      </c>
      <c r="S131" s="147" t="str">
        <f t="shared" si="12"/>
        <v/>
      </c>
      <c r="T131" s="147" t="str">
        <f t="shared" ca="1" si="13"/>
        <v/>
      </c>
      <c r="U131" s="147" t="str">
        <f t="shared" ca="1" si="14"/>
        <v/>
      </c>
    </row>
    <row r="132" spans="1:21" s="147" customFormat="1" ht="14.4" x14ac:dyDescent="0.3">
      <c r="A132" s="139" t="str">
        <f t="shared" si="8"/>
        <v/>
      </c>
      <c r="B132" s="984">
        <v>124</v>
      </c>
      <c r="C132" s="975"/>
      <c r="D132" s="1067"/>
      <c r="E132" s="976"/>
      <c r="F132" s="1035"/>
      <c r="G132" s="1087"/>
      <c r="H132" s="975"/>
      <c r="I132" s="978"/>
      <c r="J132" s="975" t="str">
        <f t="shared" si="9"/>
        <v/>
      </c>
      <c r="K132" s="979"/>
      <c r="L132" s="979"/>
      <c r="M132" s="980" t="str">
        <f t="shared" si="15"/>
        <v/>
      </c>
      <c r="N132" s="983"/>
      <c r="O132" s="982" t="str">
        <f t="shared" ca="1" si="10"/>
        <v/>
      </c>
      <c r="P132" s="991" t="str">
        <f t="shared" ca="1" si="11"/>
        <v/>
      </c>
      <c r="S132" s="147" t="str">
        <f t="shared" si="12"/>
        <v/>
      </c>
      <c r="T132" s="147" t="str">
        <f t="shared" ca="1" si="13"/>
        <v/>
      </c>
      <c r="U132" s="147" t="str">
        <f t="shared" ca="1" si="14"/>
        <v/>
      </c>
    </row>
    <row r="133" spans="1:21" s="147" customFormat="1" ht="14.4" x14ac:dyDescent="0.3">
      <c r="A133" s="139" t="str">
        <f t="shared" si="8"/>
        <v/>
      </c>
      <c r="B133" s="984">
        <v>125</v>
      </c>
      <c r="C133" s="975"/>
      <c r="D133" s="1067"/>
      <c r="E133" s="976"/>
      <c r="F133" s="1035"/>
      <c r="G133" s="1087"/>
      <c r="H133" s="975"/>
      <c r="I133" s="978"/>
      <c r="J133" s="975" t="str">
        <f t="shared" si="9"/>
        <v/>
      </c>
      <c r="K133" s="979"/>
      <c r="L133" s="979"/>
      <c r="M133" s="980" t="str">
        <f t="shared" si="15"/>
        <v/>
      </c>
      <c r="N133" s="983"/>
      <c r="O133" s="982" t="str">
        <f t="shared" ca="1" si="10"/>
        <v/>
      </c>
      <c r="P133" s="991" t="str">
        <f t="shared" ca="1" si="11"/>
        <v/>
      </c>
      <c r="S133" s="147" t="str">
        <f t="shared" si="12"/>
        <v/>
      </c>
      <c r="T133" s="147" t="str">
        <f t="shared" ca="1" si="13"/>
        <v/>
      </c>
      <c r="U133" s="147" t="str">
        <f t="shared" ca="1" si="14"/>
        <v/>
      </c>
    </row>
    <row r="134" spans="1:21" s="147" customFormat="1" ht="14.4" x14ac:dyDescent="0.3">
      <c r="A134" s="139" t="str">
        <f t="shared" si="8"/>
        <v/>
      </c>
      <c r="B134" s="984">
        <v>126</v>
      </c>
      <c r="C134" s="975"/>
      <c r="D134" s="1067"/>
      <c r="E134" s="976"/>
      <c r="F134" s="1035"/>
      <c r="G134" s="1087"/>
      <c r="H134" s="975"/>
      <c r="I134" s="978"/>
      <c r="J134" s="975" t="str">
        <f t="shared" si="9"/>
        <v/>
      </c>
      <c r="K134" s="979"/>
      <c r="L134" s="979"/>
      <c r="M134" s="980" t="str">
        <f t="shared" si="15"/>
        <v/>
      </c>
      <c r="N134" s="983"/>
      <c r="O134" s="982" t="str">
        <f t="shared" ca="1" si="10"/>
        <v/>
      </c>
      <c r="P134" s="991" t="str">
        <f t="shared" ca="1" si="11"/>
        <v/>
      </c>
      <c r="S134" s="147" t="str">
        <f t="shared" si="12"/>
        <v/>
      </c>
      <c r="T134" s="147" t="str">
        <f t="shared" ca="1" si="13"/>
        <v/>
      </c>
      <c r="U134" s="147" t="str">
        <f t="shared" ca="1" si="14"/>
        <v/>
      </c>
    </row>
    <row r="135" spans="1:21" s="147" customFormat="1" ht="14.4" x14ac:dyDescent="0.3">
      <c r="A135" s="139" t="str">
        <f t="shared" si="8"/>
        <v/>
      </c>
      <c r="B135" s="984">
        <v>127</v>
      </c>
      <c r="C135" s="975"/>
      <c r="D135" s="1067"/>
      <c r="E135" s="976"/>
      <c r="F135" s="1035"/>
      <c r="G135" s="1087"/>
      <c r="H135" s="975"/>
      <c r="I135" s="978"/>
      <c r="J135" s="975" t="str">
        <f t="shared" si="9"/>
        <v/>
      </c>
      <c r="K135" s="979"/>
      <c r="L135" s="979"/>
      <c r="M135" s="980" t="str">
        <f t="shared" si="15"/>
        <v/>
      </c>
      <c r="N135" s="983"/>
      <c r="O135" s="982" t="str">
        <f t="shared" ca="1" si="10"/>
        <v/>
      </c>
      <c r="P135" s="991" t="str">
        <f t="shared" ca="1" si="11"/>
        <v/>
      </c>
      <c r="S135" s="147" t="str">
        <f t="shared" si="12"/>
        <v/>
      </c>
      <c r="T135" s="147" t="str">
        <f t="shared" ca="1" si="13"/>
        <v/>
      </c>
      <c r="U135" s="147" t="str">
        <f t="shared" ca="1" si="14"/>
        <v/>
      </c>
    </row>
    <row r="136" spans="1:21" s="147" customFormat="1" ht="14.4" x14ac:dyDescent="0.3">
      <c r="A136" s="139" t="str">
        <f t="shared" si="8"/>
        <v/>
      </c>
      <c r="B136" s="984">
        <v>128</v>
      </c>
      <c r="C136" s="975"/>
      <c r="D136" s="1067"/>
      <c r="E136" s="976"/>
      <c r="F136" s="1035"/>
      <c r="G136" s="1087"/>
      <c r="H136" s="975"/>
      <c r="I136" s="978"/>
      <c r="J136" s="975" t="str">
        <f t="shared" si="9"/>
        <v/>
      </c>
      <c r="K136" s="979"/>
      <c r="L136" s="979"/>
      <c r="M136" s="980" t="str">
        <f t="shared" si="15"/>
        <v/>
      </c>
      <c r="N136" s="983"/>
      <c r="O136" s="982" t="str">
        <f t="shared" ca="1" si="10"/>
        <v/>
      </c>
      <c r="P136" s="991" t="str">
        <f t="shared" ca="1" si="11"/>
        <v/>
      </c>
      <c r="S136" s="147" t="str">
        <f t="shared" si="12"/>
        <v/>
      </c>
      <c r="T136" s="147" t="str">
        <f t="shared" ca="1" si="13"/>
        <v/>
      </c>
      <c r="U136" s="147" t="str">
        <f t="shared" ca="1" si="14"/>
        <v/>
      </c>
    </row>
    <row r="137" spans="1:21" s="147" customFormat="1" ht="14.4" x14ac:dyDescent="0.3">
      <c r="A137" s="139" t="str">
        <f t="shared" ref="A137:A200" si="16">IF(M137=1,N137,"")</f>
        <v/>
      </c>
      <c r="B137" s="984">
        <v>129</v>
      </c>
      <c r="C137" s="975"/>
      <c r="D137" s="1067"/>
      <c r="E137" s="976"/>
      <c r="F137" s="1035"/>
      <c r="G137" s="1087"/>
      <c r="H137" s="975"/>
      <c r="I137" s="978"/>
      <c r="J137" s="975" t="str">
        <f t="shared" ref="J137:J200" si="17">IF(I137&lt;&gt;"",H137-1+INT(I137),"")</f>
        <v/>
      </c>
      <c r="K137" s="979"/>
      <c r="L137" s="979"/>
      <c r="M137" s="980" t="str">
        <f t="shared" si="15"/>
        <v/>
      </c>
      <c r="N137" s="983"/>
      <c r="O137" s="982" t="str">
        <f t="shared" ref="O137:O200" ca="1" si="18">IF(J137&lt;&gt;"",
IF(J137&gt;TODAY(),
IF((TODAY()-H137)/(J137-H137)&gt;0,(TODAY()-H137)/(J137-H137),0),100%),"")</f>
        <v/>
      </c>
      <c r="P137" s="991" t="str">
        <f t="shared" ref="P137:P200" ca="1" si="19">IF(T137&gt;0,U137,"0/"&amp;S137)</f>
        <v/>
      </c>
      <c r="S137" s="147" t="str">
        <f t="shared" si="12"/>
        <v/>
      </c>
      <c r="T137" s="147" t="str">
        <f t="shared" ca="1" si="13"/>
        <v/>
      </c>
      <c r="U137" s="147" t="str">
        <f t="shared" ca="1" si="14"/>
        <v/>
      </c>
    </row>
    <row r="138" spans="1:21" s="147" customFormat="1" ht="14.4" x14ac:dyDescent="0.3">
      <c r="A138" s="139" t="str">
        <f t="shared" si="16"/>
        <v/>
      </c>
      <c r="B138" s="984">
        <v>130</v>
      </c>
      <c r="C138" s="975"/>
      <c r="D138" s="1067"/>
      <c r="E138" s="976"/>
      <c r="F138" s="1035"/>
      <c r="G138" s="1087"/>
      <c r="H138" s="975"/>
      <c r="I138" s="978"/>
      <c r="J138" s="975" t="str">
        <f t="shared" si="17"/>
        <v/>
      </c>
      <c r="K138" s="979"/>
      <c r="L138" s="979"/>
      <c r="M138" s="980" t="str">
        <f t="shared" si="15"/>
        <v/>
      </c>
      <c r="N138" s="983"/>
      <c r="O138" s="982" t="str">
        <f t="shared" ca="1" si="18"/>
        <v/>
      </c>
      <c r="P138" s="991" t="str">
        <f t="shared" ca="1" si="19"/>
        <v/>
      </c>
      <c r="S138" s="147" t="str">
        <f t="shared" ref="S138:S201" si="20">IF(J138&lt;&gt;"",J138-H138+1,"")</f>
        <v/>
      </c>
      <c r="T138" s="147" t="str">
        <f t="shared" ref="T138:T201" ca="1" si="21">IF(H138&lt;&gt;"",(TODAY()-H138),"")</f>
        <v/>
      </c>
      <c r="U138" s="147" t="str">
        <f t="shared" ref="U138:U201" ca="1" si="22">IF(T138&lt;&gt;"",T138&amp;"/"&amp;S138,"")</f>
        <v/>
      </c>
    </row>
    <row r="139" spans="1:21" s="147" customFormat="1" ht="14.4" x14ac:dyDescent="0.3">
      <c r="A139" s="139" t="str">
        <f t="shared" si="16"/>
        <v/>
      </c>
      <c r="B139" s="984">
        <v>131</v>
      </c>
      <c r="C139" s="975"/>
      <c r="D139" s="1067"/>
      <c r="E139" s="976"/>
      <c r="F139" s="1035"/>
      <c r="G139" s="1087"/>
      <c r="H139" s="975"/>
      <c r="I139" s="978"/>
      <c r="J139" s="975" t="str">
        <f t="shared" si="17"/>
        <v/>
      </c>
      <c r="K139" s="979"/>
      <c r="L139" s="979"/>
      <c r="M139" s="980" t="str">
        <f t="shared" si="15"/>
        <v/>
      </c>
      <c r="N139" s="983"/>
      <c r="O139" s="982" t="str">
        <f t="shared" ca="1" si="18"/>
        <v/>
      </c>
      <c r="P139" s="991" t="str">
        <f t="shared" ca="1" si="19"/>
        <v/>
      </c>
      <c r="S139" s="147" t="str">
        <f t="shared" si="20"/>
        <v/>
      </c>
      <c r="T139" s="147" t="str">
        <f t="shared" ca="1" si="21"/>
        <v/>
      </c>
      <c r="U139" s="147" t="str">
        <f t="shared" ca="1" si="22"/>
        <v/>
      </c>
    </row>
    <row r="140" spans="1:21" s="147" customFormat="1" ht="14.4" x14ac:dyDescent="0.3">
      <c r="A140" s="139" t="str">
        <f t="shared" si="16"/>
        <v/>
      </c>
      <c r="B140" s="984">
        <v>132</v>
      </c>
      <c r="C140" s="975"/>
      <c r="D140" s="1067"/>
      <c r="E140" s="976"/>
      <c r="F140" s="1035"/>
      <c r="G140" s="1087"/>
      <c r="H140" s="975"/>
      <c r="I140" s="978"/>
      <c r="J140" s="975" t="str">
        <f t="shared" si="17"/>
        <v/>
      </c>
      <c r="K140" s="979"/>
      <c r="L140" s="979"/>
      <c r="M140" s="980" t="str">
        <f t="shared" ref="M140:M203" si="23">IF(N140&lt;&gt;0,3,"")</f>
        <v/>
      </c>
      <c r="N140" s="983"/>
      <c r="O140" s="982" t="str">
        <f t="shared" ca="1" si="18"/>
        <v/>
      </c>
      <c r="P140" s="991" t="str">
        <f t="shared" ca="1" si="19"/>
        <v/>
      </c>
      <c r="S140" s="147" t="str">
        <f t="shared" si="20"/>
        <v/>
      </c>
      <c r="T140" s="147" t="str">
        <f t="shared" ca="1" si="21"/>
        <v/>
      </c>
      <c r="U140" s="147" t="str">
        <f t="shared" ca="1" si="22"/>
        <v/>
      </c>
    </row>
    <row r="141" spans="1:21" s="147" customFormat="1" ht="14.4" x14ac:dyDescent="0.3">
      <c r="A141" s="139" t="str">
        <f t="shared" si="16"/>
        <v/>
      </c>
      <c r="B141" s="984">
        <v>133</v>
      </c>
      <c r="C141" s="975"/>
      <c r="D141" s="1067"/>
      <c r="E141" s="976"/>
      <c r="F141" s="1035"/>
      <c r="G141" s="1087"/>
      <c r="H141" s="975"/>
      <c r="I141" s="978"/>
      <c r="J141" s="975" t="str">
        <f t="shared" si="17"/>
        <v/>
      </c>
      <c r="K141" s="979"/>
      <c r="L141" s="979"/>
      <c r="M141" s="980" t="str">
        <f t="shared" si="23"/>
        <v/>
      </c>
      <c r="N141" s="983"/>
      <c r="O141" s="982" t="str">
        <f t="shared" ca="1" si="18"/>
        <v/>
      </c>
      <c r="P141" s="991" t="str">
        <f t="shared" ca="1" si="19"/>
        <v/>
      </c>
      <c r="S141" s="147" t="str">
        <f t="shared" si="20"/>
        <v/>
      </c>
      <c r="T141" s="147" t="str">
        <f t="shared" ca="1" si="21"/>
        <v/>
      </c>
      <c r="U141" s="147" t="str">
        <f t="shared" ca="1" si="22"/>
        <v/>
      </c>
    </row>
    <row r="142" spans="1:21" s="147" customFormat="1" ht="14.4" x14ac:dyDescent="0.3">
      <c r="A142" s="139" t="str">
        <f t="shared" si="16"/>
        <v/>
      </c>
      <c r="B142" s="984">
        <v>134</v>
      </c>
      <c r="C142" s="975"/>
      <c r="D142" s="1067"/>
      <c r="E142" s="976"/>
      <c r="F142" s="1035"/>
      <c r="G142" s="1087"/>
      <c r="H142" s="975"/>
      <c r="I142" s="978"/>
      <c r="J142" s="975" t="str">
        <f t="shared" si="17"/>
        <v/>
      </c>
      <c r="K142" s="979"/>
      <c r="L142" s="979"/>
      <c r="M142" s="980" t="str">
        <f t="shared" si="23"/>
        <v/>
      </c>
      <c r="N142" s="983"/>
      <c r="O142" s="982" t="str">
        <f t="shared" ca="1" si="18"/>
        <v/>
      </c>
      <c r="P142" s="991" t="str">
        <f t="shared" ca="1" si="19"/>
        <v/>
      </c>
      <c r="S142" s="147" t="str">
        <f t="shared" si="20"/>
        <v/>
      </c>
      <c r="T142" s="147" t="str">
        <f t="shared" ca="1" si="21"/>
        <v/>
      </c>
      <c r="U142" s="147" t="str">
        <f t="shared" ca="1" si="22"/>
        <v/>
      </c>
    </row>
    <row r="143" spans="1:21" s="147" customFormat="1" ht="14.4" x14ac:dyDescent="0.3">
      <c r="A143" s="139" t="str">
        <f t="shared" si="16"/>
        <v/>
      </c>
      <c r="B143" s="984">
        <v>135</v>
      </c>
      <c r="C143" s="975"/>
      <c r="D143" s="1067"/>
      <c r="E143" s="976"/>
      <c r="F143" s="1035"/>
      <c r="G143" s="1087"/>
      <c r="H143" s="975"/>
      <c r="I143" s="978"/>
      <c r="J143" s="975" t="str">
        <f t="shared" si="17"/>
        <v/>
      </c>
      <c r="K143" s="979"/>
      <c r="L143" s="979"/>
      <c r="M143" s="980" t="str">
        <f t="shared" si="23"/>
        <v/>
      </c>
      <c r="N143" s="983"/>
      <c r="O143" s="982" t="str">
        <f t="shared" ca="1" si="18"/>
        <v/>
      </c>
      <c r="P143" s="991" t="str">
        <f t="shared" ca="1" si="19"/>
        <v/>
      </c>
      <c r="S143" s="147" t="str">
        <f t="shared" si="20"/>
        <v/>
      </c>
      <c r="T143" s="147" t="str">
        <f t="shared" ca="1" si="21"/>
        <v/>
      </c>
      <c r="U143" s="147" t="str">
        <f t="shared" ca="1" si="22"/>
        <v/>
      </c>
    </row>
    <row r="144" spans="1:21" s="147" customFormat="1" ht="14.4" x14ac:dyDescent="0.3">
      <c r="A144" s="139" t="str">
        <f t="shared" si="16"/>
        <v/>
      </c>
      <c r="B144" s="984">
        <v>136</v>
      </c>
      <c r="C144" s="975"/>
      <c r="D144" s="1067"/>
      <c r="E144" s="976"/>
      <c r="F144" s="1035"/>
      <c r="G144" s="1087"/>
      <c r="H144" s="975"/>
      <c r="I144" s="978"/>
      <c r="J144" s="975" t="str">
        <f t="shared" si="17"/>
        <v/>
      </c>
      <c r="K144" s="979"/>
      <c r="L144" s="979"/>
      <c r="M144" s="980" t="str">
        <f t="shared" si="23"/>
        <v/>
      </c>
      <c r="N144" s="983"/>
      <c r="O144" s="982" t="str">
        <f t="shared" ca="1" si="18"/>
        <v/>
      </c>
      <c r="P144" s="991" t="str">
        <f t="shared" ca="1" si="19"/>
        <v/>
      </c>
      <c r="S144" s="147" t="str">
        <f t="shared" si="20"/>
        <v/>
      </c>
      <c r="T144" s="147" t="str">
        <f t="shared" ca="1" si="21"/>
        <v/>
      </c>
      <c r="U144" s="147" t="str">
        <f t="shared" ca="1" si="22"/>
        <v/>
      </c>
    </row>
    <row r="145" spans="1:21" s="147" customFormat="1" ht="14.4" x14ac:dyDescent="0.3">
      <c r="A145" s="139" t="str">
        <f t="shared" si="16"/>
        <v/>
      </c>
      <c r="B145" s="984">
        <v>137</v>
      </c>
      <c r="C145" s="975"/>
      <c r="D145" s="1067"/>
      <c r="E145" s="976"/>
      <c r="F145" s="1035"/>
      <c r="G145" s="1087"/>
      <c r="H145" s="975"/>
      <c r="I145" s="978"/>
      <c r="J145" s="975" t="str">
        <f t="shared" si="17"/>
        <v/>
      </c>
      <c r="K145" s="979"/>
      <c r="L145" s="979"/>
      <c r="M145" s="980" t="str">
        <f t="shared" si="23"/>
        <v/>
      </c>
      <c r="N145" s="983"/>
      <c r="O145" s="982" t="str">
        <f t="shared" ca="1" si="18"/>
        <v/>
      </c>
      <c r="P145" s="991" t="str">
        <f t="shared" ca="1" si="19"/>
        <v/>
      </c>
      <c r="S145" s="147" t="str">
        <f t="shared" si="20"/>
        <v/>
      </c>
      <c r="T145" s="147" t="str">
        <f t="shared" ca="1" si="21"/>
        <v/>
      </c>
      <c r="U145" s="147" t="str">
        <f t="shared" ca="1" si="22"/>
        <v/>
      </c>
    </row>
    <row r="146" spans="1:21" s="147" customFormat="1" ht="14.4" x14ac:dyDescent="0.3">
      <c r="A146" s="139" t="str">
        <f t="shared" si="16"/>
        <v/>
      </c>
      <c r="B146" s="984">
        <v>138</v>
      </c>
      <c r="C146" s="975"/>
      <c r="D146" s="1067"/>
      <c r="E146" s="976"/>
      <c r="F146" s="1035"/>
      <c r="G146" s="1087"/>
      <c r="H146" s="975"/>
      <c r="I146" s="978"/>
      <c r="J146" s="975" t="str">
        <f t="shared" si="17"/>
        <v/>
      </c>
      <c r="K146" s="979"/>
      <c r="L146" s="979"/>
      <c r="M146" s="980" t="str">
        <f t="shared" si="23"/>
        <v/>
      </c>
      <c r="N146" s="983"/>
      <c r="O146" s="982" t="str">
        <f t="shared" ca="1" si="18"/>
        <v/>
      </c>
      <c r="P146" s="991" t="str">
        <f t="shared" ca="1" si="19"/>
        <v/>
      </c>
      <c r="S146" s="147" t="str">
        <f t="shared" si="20"/>
        <v/>
      </c>
      <c r="T146" s="147" t="str">
        <f t="shared" ca="1" si="21"/>
        <v/>
      </c>
      <c r="U146" s="147" t="str">
        <f t="shared" ca="1" si="22"/>
        <v/>
      </c>
    </row>
    <row r="147" spans="1:21" s="147" customFormat="1" ht="14.4" x14ac:dyDescent="0.3">
      <c r="A147" s="139" t="str">
        <f t="shared" si="16"/>
        <v/>
      </c>
      <c r="B147" s="984">
        <v>139</v>
      </c>
      <c r="C147" s="975"/>
      <c r="D147" s="1067"/>
      <c r="E147" s="976"/>
      <c r="F147" s="1035"/>
      <c r="G147" s="1087"/>
      <c r="H147" s="975"/>
      <c r="I147" s="978"/>
      <c r="J147" s="975" t="str">
        <f t="shared" si="17"/>
        <v/>
      </c>
      <c r="K147" s="979"/>
      <c r="L147" s="979"/>
      <c r="M147" s="980" t="str">
        <f t="shared" si="23"/>
        <v/>
      </c>
      <c r="N147" s="983"/>
      <c r="O147" s="982" t="str">
        <f t="shared" ca="1" si="18"/>
        <v/>
      </c>
      <c r="P147" s="991" t="str">
        <f t="shared" ca="1" si="19"/>
        <v/>
      </c>
      <c r="S147" s="147" t="str">
        <f t="shared" si="20"/>
        <v/>
      </c>
      <c r="T147" s="147" t="str">
        <f t="shared" ca="1" si="21"/>
        <v/>
      </c>
      <c r="U147" s="147" t="str">
        <f t="shared" ca="1" si="22"/>
        <v/>
      </c>
    </row>
    <row r="148" spans="1:21" s="147" customFormat="1" ht="14.4" x14ac:dyDescent="0.3">
      <c r="A148" s="139" t="str">
        <f t="shared" si="16"/>
        <v/>
      </c>
      <c r="B148" s="984">
        <v>140</v>
      </c>
      <c r="C148" s="975"/>
      <c r="D148" s="1067"/>
      <c r="E148" s="976"/>
      <c r="F148" s="1035"/>
      <c r="G148" s="1087"/>
      <c r="H148" s="975"/>
      <c r="I148" s="978"/>
      <c r="J148" s="975" t="str">
        <f t="shared" si="17"/>
        <v/>
      </c>
      <c r="K148" s="979"/>
      <c r="L148" s="979"/>
      <c r="M148" s="980" t="str">
        <f t="shared" si="23"/>
        <v/>
      </c>
      <c r="N148" s="983"/>
      <c r="O148" s="982" t="str">
        <f t="shared" ca="1" si="18"/>
        <v/>
      </c>
      <c r="P148" s="991" t="str">
        <f t="shared" ca="1" si="19"/>
        <v/>
      </c>
      <c r="S148" s="147" t="str">
        <f t="shared" si="20"/>
        <v/>
      </c>
      <c r="T148" s="147" t="str">
        <f t="shared" ca="1" si="21"/>
        <v/>
      </c>
      <c r="U148" s="147" t="str">
        <f t="shared" ca="1" si="22"/>
        <v/>
      </c>
    </row>
    <row r="149" spans="1:21" s="147" customFormat="1" ht="14.4" x14ac:dyDescent="0.3">
      <c r="A149" s="139" t="str">
        <f t="shared" si="16"/>
        <v/>
      </c>
      <c r="B149" s="984">
        <v>141</v>
      </c>
      <c r="C149" s="975"/>
      <c r="D149" s="1067"/>
      <c r="E149" s="976"/>
      <c r="F149" s="1035"/>
      <c r="G149" s="1087"/>
      <c r="H149" s="975"/>
      <c r="I149" s="978"/>
      <c r="J149" s="975" t="str">
        <f t="shared" si="17"/>
        <v/>
      </c>
      <c r="K149" s="979"/>
      <c r="L149" s="979"/>
      <c r="M149" s="980" t="str">
        <f t="shared" si="23"/>
        <v/>
      </c>
      <c r="N149" s="983"/>
      <c r="O149" s="982" t="str">
        <f t="shared" ca="1" si="18"/>
        <v/>
      </c>
      <c r="P149" s="991" t="str">
        <f t="shared" ca="1" si="19"/>
        <v/>
      </c>
      <c r="S149" s="147" t="str">
        <f t="shared" si="20"/>
        <v/>
      </c>
      <c r="T149" s="147" t="str">
        <f t="shared" ca="1" si="21"/>
        <v/>
      </c>
      <c r="U149" s="147" t="str">
        <f t="shared" ca="1" si="22"/>
        <v/>
      </c>
    </row>
    <row r="150" spans="1:21" s="147" customFormat="1" ht="14.4" x14ac:dyDescent="0.3">
      <c r="A150" s="139" t="str">
        <f t="shared" si="16"/>
        <v/>
      </c>
      <c r="B150" s="984">
        <v>142</v>
      </c>
      <c r="C150" s="975"/>
      <c r="D150" s="1067"/>
      <c r="E150" s="976"/>
      <c r="F150" s="1035"/>
      <c r="G150" s="1087"/>
      <c r="H150" s="975"/>
      <c r="I150" s="978"/>
      <c r="J150" s="975" t="str">
        <f t="shared" si="17"/>
        <v/>
      </c>
      <c r="K150" s="979"/>
      <c r="L150" s="979"/>
      <c r="M150" s="980" t="str">
        <f t="shared" si="23"/>
        <v/>
      </c>
      <c r="N150" s="983"/>
      <c r="O150" s="982" t="str">
        <f t="shared" ca="1" si="18"/>
        <v/>
      </c>
      <c r="P150" s="991" t="str">
        <f t="shared" ca="1" si="19"/>
        <v/>
      </c>
      <c r="S150" s="147" t="str">
        <f t="shared" si="20"/>
        <v/>
      </c>
      <c r="T150" s="147" t="str">
        <f t="shared" ca="1" si="21"/>
        <v/>
      </c>
      <c r="U150" s="147" t="str">
        <f t="shared" ca="1" si="22"/>
        <v/>
      </c>
    </row>
    <row r="151" spans="1:21" s="147" customFormat="1" ht="14.4" x14ac:dyDescent="0.3">
      <c r="A151" s="139" t="str">
        <f t="shared" si="16"/>
        <v/>
      </c>
      <c r="B151" s="984">
        <v>143</v>
      </c>
      <c r="C151" s="975"/>
      <c r="D151" s="1067"/>
      <c r="E151" s="976"/>
      <c r="F151" s="1035"/>
      <c r="G151" s="1087"/>
      <c r="H151" s="975"/>
      <c r="I151" s="978"/>
      <c r="J151" s="975" t="str">
        <f t="shared" si="17"/>
        <v/>
      </c>
      <c r="K151" s="979"/>
      <c r="L151" s="979"/>
      <c r="M151" s="980" t="str">
        <f t="shared" si="23"/>
        <v/>
      </c>
      <c r="N151" s="983"/>
      <c r="O151" s="982" t="str">
        <f t="shared" ca="1" si="18"/>
        <v/>
      </c>
      <c r="P151" s="991" t="str">
        <f t="shared" ca="1" si="19"/>
        <v/>
      </c>
      <c r="S151" s="147" t="str">
        <f t="shared" si="20"/>
        <v/>
      </c>
      <c r="T151" s="147" t="str">
        <f t="shared" ca="1" si="21"/>
        <v/>
      </c>
      <c r="U151" s="147" t="str">
        <f t="shared" ca="1" si="22"/>
        <v/>
      </c>
    </row>
    <row r="152" spans="1:21" s="147" customFormat="1" ht="14.4" x14ac:dyDescent="0.3">
      <c r="A152" s="139" t="str">
        <f t="shared" si="16"/>
        <v/>
      </c>
      <c r="B152" s="984">
        <v>144</v>
      </c>
      <c r="C152" s="975"/>
      <c r="D152" s="1067"/>
      <c r="E152" s="976"/>
      <c r="F152" s="1035"/>
      <c r="G152" s="1087"/>
      <c r="H152" s="975"/>
      <c r="I152" s="978"/>
      <c r="J152" s="975" t="str">
        <f t="shared" si="17"/>
        <v/>
      </c>
      <c r="K152" s="979"/>
      <c r="L152" s="979"/>
      <c r="M152" s="980" t="str">
        <f t="shared" si="23"/>
        <v/>
      </c>
      <c r="N152" s="983"/>
      <c r="O152" s="982" t="str">
        <f t="shared" ca="1" si="18"/>
        <v/>
      </c>
      <c r="P152" s="991" t="str">
        <f t="shared" ca="1" si="19"/>
        <v/>
      </c>
      <c r="S152" s="147" t="str">
        <f t="shared" si="20"/>
        <v/>
      </c>
      <c r="T152" s="147" t="str">
        <f t="shared" ca="1" si="21"/>
        <v/>
      </c>
      <c r="U152" s="147" t="str">
        <f t="shared" ca="1" si="22"/>
        <v/>
      </c>
    </row>
    <row r="153" spans="1:21" s="147" customFormat="1" ht="14.4" x14ac:dyDescent="0.3">
      <c r="A153" s="139" t="str">
        <f t="shared" si="16"/>
        <v/>
      </c>
      <c r="B153" s="984">
        <v>145</v>
      </c>
      <c r="C153" s="975"/>
      <c r="D153" s="1067"/>
      <c r="E153" s="976"/>
      <c r="F153" s="1035"/>
      <c r="G153" s="1087"/>
      <c r="H153" s="975"/>
      <c r="I153" s="978"/>
      <c r="J153" s="975" t="str">
        <f t="shared" si="17"/>
        <v/>
      </c>
      <c r="K153" s="979"/>
      <c r="L153" s="979"/>
      <c r="M153" s="980" t="str">
        <f t="shared" si="23"/>
        <v/>
      </c>
      <c r="N153" s="983"/>
      <c r="O153" s="982" t="str">
        <f t="shared" ca="1" si="18"/>
        <v/>
      </c>
      <c r="P153" s="991" t="str">
        <f t="shared" ca="1" si="19"/>
        <v/>
      </c>
      <c r="S153" s="147" t="str">
        <f t="shared" si="20"/>
        <v/>
      </c>
      <c r="T153" s="147" t="str">
        <f t="shared" ca="1" si="21"/>
        <v/>
      </c>
      <c r="U153" s="147" t="str">
        <f t="shared" ca="1" si="22"/>
        <v/>
      </c>
    </row>
    <row r="154" spans="1:21" s="147" customFormat="1" ht="14.4" x14ac:dyDescent="0.3">
      <c r="A154" s="139" t="str">
        <f t="shared" si="16"/>
        <v/>
      </c>
      <c r="B154" s="984">
        <v>146</v>
      </c>
      <c r="C154" s="975"/>
      <c r="D154" s="1067"/>
      <c r="E154" s="976"/>
      <c r="F154" s="1035"/>
      <c r="G154" s="1087"/>
      <c r="H154" s="975"/>
      <c r="I154" s="978"/>
      <c r="J154" s="975" t="str">
        <f t="shared" si="17"/>
        <v/>
      </c>
      <c r="K154" s="979"/>
      <c r="L154" s="979"/>
      <c r="M154" s="980" t="str">
        <f t="shared" si="23"/>
        <v/>
      </c>
      <c r="N154" s="983"/>
      <c r="O154" s="982" t="str">
        <f t="shared" ca="1" si="18"/>
        <v/>
      </c>
      <c r="P154" s="991" t="str">
        <f t="shared" ca="1" si="19"/>
        <v/>
      </c>
      <c r="S154" s="147" t="str">
        <f t="shared" si="20"/>
        <v/>
      </c>
      <c r="T154" s="147" t="str">
        <f t="shared" ca="1" si="21"/>
        <v/>
      </c>
      <c r="U154" s="147" t="str">
        <f t="shared" ca="1" si="22"/>
        <v/>
      </c>
    </row>
    <row r="155" spans="1:21" s="147" customFormat="1" ht="14.4" x14ac:dyDescent="0.3">
      <c r="A155" s="139" t="str">
        <f t="shared" si="16"/>
        <v/>
      </c>
      <c r="B155" s="984">
        <v>147</v>
      </c>
      <c r="C155" s="975"/>
      <c r="D155" s="1067"/>
      <c r="E155" s="976"/>
      <c r="F155" s="1035"/>
      <c r="G155" s="1087"/>
      <c r="H155" s="975"/>
      <c r="I155" s="978"/>
      <c r="J155" s="975" t="str">
        <f t="shared" si="17"/>
        <v/>
      </c>
      <c r="K155" s="979"/>
      <c r="L155" s="979"/>
      <c r="M155" s="980" t="str">
        <f t="shared" si="23"/>
        <v/>
      </c>
      <c r="N155" s="983"/>
      <c r="O155" s="982" t="str">
        <f t="shared" ca="1" si="18"/>
        <v/>
      </c>
      <c r="P155" s="991" t="str">
        <f t="shared" ca="1" si="19"/>
        <v/>
      </c>
      <c r="S155" s="147" t="str">
        <f t="shared" si="20"/>
        <v/>
      </c>
      <c r="T155" s="147" t="str">
        <f t="shared" ca="1" si="21"/>
        <v/>
      </c>
      <c r="U155" s="147" t="str">
        <f t="shared" ca="1" si="22"/>
        <v/>
      </c>
    </row>
    <row r="156" spans="1:21" s="147" customFormat="1" ht="14.4" x14ac:dyDescent="0.3">
      <c r="A156" s="139" t="str">
        <f t="shared" si="16"/>
        <v/>
      </c>
      <c r="B156" s="984">
        <v>148</v>
      </c>
      <c r="C156" s="975"/>
      <c r="D156" s="1067"/>
      <c r="E156" s="976"/>
      <c r="F156" s="1035"/>
      <c r="G156" s="1087"/>
      <c r="H156" s="975"/>
      <c r="I156" s="978"/>
      <c r="J156" s="975" t="str">
        <f t="shared" si="17"/>
        <v/>
      </c>
      <c r="K156" s="979"/>
      <c r="L156" s="979"/>
      <c r="M156" s="980" t="str">
        <f t="shared" si="23"/>
        <v/>
      </c>
      <c r="N156" s="983"/>
      <c r="O156" s="982" t="str">
        <f t="shared" ca="1" si="18"/>
        <v/>
      </c>
      <c r="P156" s="991" t="str">
        <f t="shared" ca="1" si="19"/>
        <v/>
      </c>
      <c r="S156" s="147" t="str">
        <f t="shared" si="20"/>
        <v/>
      </c>
      <c r="T156" s="147" t="str">
        <f t="shared" ca="1" si="21"/>
        <v/>
      </c>
      <c r="U156" s="147" t="str">
        <f t="shared" ca="1" si="22"/>
        <v/>
      </c>
    </row>
    <row r="157" spans="1:21" s="147" customFormat="1" ht="14.4" x14ac:dyDescent="0.3">
      <c r="A157" s="139" t="str">
        <f t="shared" si="16"/>
        <v/>
      </c>
      <c r="B157" s="984">
        <v>149</v>
      </c>
      <c r="C157" s="975"/>
      <c r="D157" s="1067"/>
      <c r="E157" s="976"/>
      <c r="F157" s="1035"/>
      <c r="G157" s="1087"/>
      <c r="H157" s="975"/>
      <c r="I157" s="978"/>
      <c r="J157" s="975" t="str">
        <f t="shared" si="17"/>
        <v/>
      </c>
      <c r="K157" s="979"/>
      <c r="L157" s="979"/>
      <c r="M157" s="980" t="str">
        <f t="shared" si="23"/>
        <v/>
      </c>
      <c r="N157" s="983"/>
      <c r="O157" s="982" t="str">
        <f t="shared" ca="1" si="18"/>
        <v/>
      </c>
      <c r="P157" s="991" t="str">
        <f t="shared" ca="1" si="19"/>
        <v/>
      </c>
      <c r="S157" s="147" t="str">
        <f t="shared" si="20"/>
        <v/>
      </c>
      <c r="T157" s="147" t="str">
        <f t="shared" ca="1" si="21"/>
        <v/>
      </c>
      <c r="U157" s="147" t="str">
        <f t="shared" ca="1" si="22"/>
        <v/>
      </c>
    </row>
    <row r="158" spans="1:21" s="147" customFormat="1" ht="14.4" x14ac:dyDescent="0.3">
      <c r="A158" s="139" t="str">
        <f t="shared" si="16"/>
        <v/>
      </c>
      <c r="B158" s="984">
        <v>150</v>
      </c>
      <c r="C158" s="975"/>
      <c r="D158" s="1067"/>
      <c r="E158" s="976"/>
      <c r="F158" s="1035"/>
      <c r="G158" s="1087"/>
      <c r="H158" s="975"/>
      <c r="I158" s="978"/>
      <c r="J158" s="975" t="str">
        <f t="shared" si="17"/>
        <v/>
      </c>
      <c r="K158" s="979"/>
      <c r="L158" s="979"/>
      <c r="M158" s="980" t="str">
        <f t="shared" si="23"/>
        <v/>
      </c>
      <c r="N158" s="983"/>
      <c r="O158" s="982" t="str">
        <f t="shared" ca="1" si="18"/>
        <v/>
      </c>
      <c r="P158" s="991" t="str">
        <f t="shared" ca="1" si="19"/>
        <v/>
      </c>
      <c r="S158" s="147" t="str">
        <f t="shared" si="20"/>
        <v/>
      </c>
      <c r="T158" s="147" t="str">
        <f t="shared" ca="1" si="21"/>
        <v/>
      </c>
      <c r="U158" s="147" t="str">
        <f t="shared" ca="1" si="22"/>
        <v/>
      </c>
    </row>
    <row r="159" spans="1:21" s="147" customFormat="1" ht="14.4" x14ac:dyDescent="0.3">
      <c r="A159" s="139" t="str">
        <f t="shared" si="16"/>
        <v/>
      </c>
      <c r="B159" s="984">
        <v>151</v>
      </c>
      <c r="C159" s="975"/>
      <c r="D159" s="1067"/>
      <c r="E159" s="976"/>
      <c r="F159" s="1035"/>
      <c r="G159" s="1087"/>
      <c r="H159" s="975"/>
      <c r="I159" s="978"/>
      <c r="J159" s="975" t="str">
        <f t="shared" si="17"/>
        <v/>
      </c>
      <c r="K159" s="979"/>
      <c r="L159" s="979"/>
      <c r="M159" s="980" t="str">
        <f t="shared" si="23"/>
        <v/>
      </c>
      <c r="N159" s="983"/>
      <c r="O159" s="982" t="str">
        <f t="shared" ca="1" si="18"/>
        <v/>
      </c>
      <c r="P159" s="991" t="str">
        <f t="shared" ca="1" si="19"/>
        <v/>
      </c>
      <c r="S159" s="147" t="str">
        <f t="shared" si="20"/>
        <v/>
      </c>
      <c r="T159" s="147" t="str">
        <f t="shared" ca="1" si="21"/>
        <v/>
      </c>
      <c r="U159" s="147" t="str">
        <f t="shared" ca="1" si="22"/>
        <v/>
      </c>
    </row>
    <row r="160" spans="1:21" s="147" customFormat="1" ht="14.4" x14ac:dyDescent="0.3">
      <c r="A160" s="139" t="str">
        <f t="shared" si="16"/>
        <v/>
      </c>
      <c r="B160" s="984">
        <v>152</v>
      </c>
      <c r="C160" s="975"/>
      <c r="D160" s="1067"/>
      <c r="E160" s="976"/>
      <c r="F160" s="1035"/>
      <c r="G160" s="1087"/>
      <c r="H160" s="975"/>
      <c r="I160" s="978"/>
      <c r="J160" s="975" t="str">
        <f t="shared" si="17"/>
        <v/>
      </c>
      <c r="K160" s="979"/>
      <c r="L160" s="979"/>
      <c r="M160" s="980" t="str">
        <f t="shared" si="23"/>
        <v/>
      </c>
      <c r="N160" s="983"/>
      <c r="O160" s="982" t="str">
        <f t="shared" ca="1" si="18"/>
        <v/>
      </c>
      <c r="P160" s="991" t="str">
        <f t="shared" ca="1" si="19"/>
        <v/>
      </c>
      <c r="S160" s="147" t="str">
        <f t="shared" si="20"/>
        <v/>
      </c>
      <c r="T160" s="147" t="str">
        <f t="shared" ca="1" si="21"/>
        <v/>
      </c>
      <c r="U160" s="147" t="str">
        <f t="shared" ca="1" si="22"/>
        <v/>
      </c>
    </row>
    <row r="161" spans="1:21" s="147" customFormat="1" ht="14.4" x14ac:dyDescent="0.3">
      <c r="A161" s="139" t="str">
        <f t="shared" si="16"/>
        <v/>
      </c>
      <c r="B161" s="984">
        <v>153</v>
      </c>
      <c r="C161" s="975"/>
      <c r="D161" s="1067"/>
      <c r="E161" s="976"/>
      <c r="F161" s="1035"/>
      <c r="G161" s="1087"/>
      <c r="H161" s="975"/>
      <c r="I161" s="978"/>
      <c r="J161" s="975" t="str">
        <f t="shared" si="17"/>
        <v/>
      </c>
      <c r="K161" s="979"/>
      <c r="L161" s="979"/>
      <c r="M161" s="980" t="str">
        <f t="shared" si="23"/>
        <v/>
      </c>
      <c r="N161" s="983"/>
      <c r="O161" s="982" t="str">
        <f t="shared" ca="1" si="18"/>
        <v/>
      </c>
      <c r="P161" s="991" t="str">
        <f t="shared" ca="1" si="19"/>
        <v/>
      </c>
      <c r="S161" s="147" t="str">
        <f t="shared" si="20"/>
        <v/>
      </c>
      <c r="T161" s="147" t="str">
        <f t="shared" ca="1" si="21"/>
        <v/>
      </c>
      <c r="U161" s="147" t="str">
        <f t="shared" ca="1" si="22"/>
        <v/>
      </c>
    </row>
    <row r="162" spans="1:21" s="147" customFormat="1" ht="14.4" x14ac:dyDescent="0.3">
      <c r="A162" s="139" t="str">
        <f t="shared" si="16"/>
        <v/>
      </c>
      <c r="B162" s="984">
        <v>154</v>
      </c>
      <c r="C162" s="975"/>
      <c r="D162" s="1067"/>
      <c r="E162" s="976"/>
      <c r="F162" s="1035"/>
      <c r="G162" s="1087"/>
      <c r="H162" s="975"/>
      <c r="I162" s="978"/>
      <c r="J162" s="975" t="str">
        <f t="shared" si="17"/>
        <v/>
      </c>
      <c r="K162" s="979"/>
      <c r="L162" s="979"/>
      <c r="M162" s="980" t="str">
        <f t="shared" si="23"/>
        <v/>
      </c>
      <c r="N162" s="983"/>
      <c r="O162" s="982" t="str">
        <f t="shared" ca="1" si="18"/>
        <v/>
      </c>
      <c r="P162" s="991" t="str">
        <f t="shared" ca="1" si="19"/>
        <v/>
      </c>
      <c r="S162" s="147" t="str">
        <f t="shared" si="20"/>
        <v/>
      </c>
      <c r="T162" s="147" t="str">
        <f t="shared" ca="1" si="21"/>
        <v/>
      </c>
      <c r="U162" s="147" t="str">
        <f t="shared" ca="1" si="22"/>
        <v/>
      </c>
    </row>
    <row r="163" spans="1:21" s="147" customFormat="1" ht="14.4" x14ac:dyDescent="0.3">
      <c r="A163" s="139" t="str">
        <f t="shared" si="16"/>
        <v/>
      </c>
      <c r="B163" s="984">
        <v>155</v>
      </c>
      <c r="C163" s="975"/>
      <c r="D163" s="1067"/>
      <c r="E163" s="976"/>
      <c r="F163" s="1035"/>
      <c r="G163" s="1087"/>
      <c r="H163" s="975"/>
      <c r="I163" s="978"/>
      <c r="J163" s="975" t="str">
        <f t="shared" si="17"/>
        <v/>
      </c>
      <c r="K163" s="979"/>
      <c r="L163" s="979"/>
      <c r="M163" s="980" t="str">
        <f t="shared" si="23"/>
        <v/>
      </c>
      <c r="N163" s="983"/>
      <c r="O163" s="982" t="str">
        <f t="shared" ca="1" si="18"/>
        <v/>
      </c>
      <c r="P163" s="991" t="str">
        <f t="shared" ca="1" si="19"/>
        <v/>
      </c>
      <c r="S163" s="147" t="str">
        <f t="shared" si="20"/>
        <v/>
      </c>
      <c r="T163" s="147" t="str">
        <f t="shared" ca="1" si="21"/>
        <v/>
      </c>
      <c r="U163" s="147" t="str">
        <f t="shared" ca="1" si="22"/>
        <v/>
      </c>
    </row>
    <row r="164" spans="1:21" s="147" customFormat="1" ht="14.4" x14ac:dyDescent="0.3">
      <c r="A164" s="139" t="str">
        <f t="shared" si="16"/>
        <v/>
      </c>
      <c r="B164" s="984">
        <v>156</v>
      </c>
      <c r="C164" s="975"/>
      <c r="D164" s="1067"/>
      <c r="E164" s="976"/>
      <c r="F164" s="1035"/>
      <c r="G164" s="1087"/>
      <c r="H164" s="975"/>
      <c r="I164" s="978"/>
      <c r="J164" s="975" t="str">
        <f t="shared" si="17"/>
        <v/>
      </c>
      <c r="K164" s="979"/>
      <c r="L164" s="979"/>
      <c r="M164" s="980" t="str">
        <f t="shared" si="23"/>
        <v/>
      </c>
      <c r="N164" s="983"/>
      <c r="O164" s="982" t="str">
        <f t="shared" ca="1" si="18"/>
        <v/>
      </c>
      <c r="P164" s="991" t="str">
        <f t="shared" ca="1" si="19"/>
        <v/>
      </c>
      <c r="S164" s="147" t="str">
        <f t="shared" si="20"/>
        <v/>
      </c>
      <c r="T164" s="147" t="str">
        <f t="shared" ca="1" si="21"/>
        <v/>
      </c>
      <c r="U164" s="147" t="str">
        <f t="shared" ca="1" si="22"/>
        <v/>
      </c>
    </row>
    <row r="165" spans="1:21" s="147" customFormat="1" ht="14.4" x14ac:dyDescent="0.3">
      <c r="A165" s="139" t="str">
        <f t="shared" si="16"/>
        <v/>
      </c>
      <c r="B165" s="984">
        <v>157</v>
      </c>
      <c r="C165" s="975"/>
      <c r="D165" s="1067"/>
      <c r="E165" s="976"/>
      <c r="F165" s="1035"/>
      <c r="G165" s="1087"/>
      <c r="H165" s="975"/>
      <c r="I165" s="978"/>
      <c r="J165" s="975" t="str">
        <f t="shared" si="17"/>
        <v/>
      </c>
      <c r="K165" s="979"/>
      <c r="L165" s="979"/>
      <c r="M165" s="980" t="str">
        <f t="shared" si="23"/>
        <v/>
      </c>
      <c r="N165" s="983"/>
      <c r="O165" s="982" t="str">
        <f t="shared" ca="1" si="18"/>
        <v/>
      </c>
      <c r="P165" s="991" t="str">
        <f t="shared" ca="1" si="19"/>
        <v/>
      </c>
      <c r="S165" s="147" t="str">
        <f t="shared" si="20"/>
        <v/>
      </c>
      <c r="T165" s="147" t="str">
        <f t="shared" ca="1" si="21"/>
        <v/>
      </c>
      <c r="U165" s="147" t="str">
        <f t="shared" ca="1" si="22"/>
        <v/>
      </c>
    </row>
    <row r="166" spans="1:21" s="147" customFormat="1" ht="14.4" x14ac:dyDescent="0.3">
      <c r="A166" s="139" t="str">
        <f t="shared" si="16"/>
        <v/>
      </c>
      <c r="B166" s="984">
        <v>158</v>
      </c>
      <c r="C166" s="975"/>
      <c r="D166" s="1067"/>
      <c r="E166" s="976"/>
      <c r="F166" s="1035"/>
      <c r="G166" s="1087"/>
      <c r="H166" s="975"/>
      <c r="I166" s="978"/>
      <c r="J166" s="975" t="str">
        <f t="shared" si="17"/>
        <v/>
      </c>
      <c r="K166" s="979"/>
      <c r="L166" s="979"/>
      <c r="M166" s="980" t="str">
        <f t="shared" si="23"/>
        <v/>
      </c>
      <c r="N166" s="983"/>
      <c r="O166" s="982" t="str">
        <f t="shared" ca="1" si="18"/>
        <v/>
      </c>
      <c r="P166" s="991" t="str">
        <f t="shared" ca="1" si="19"/>
        <v/>
      </c>
      <c r="S166" s="147" t="str">
        <f t="shared" si="20"/>
        <v/>
      </c>
      <c r="T166" s="147" t="str">
        <f t="shared" ca="1" si="21"/>
        <v/>
      </c>
      <c r="U166" s="147" t="str">
        <f t="shared" ca="1" si="22"/>
        <v/>
      </c>
    </row>
    <row r="167" spans="1:21" s="147" customFormat="1" ht="14.4" x14ac:dyDescent="0.3">
      <c r="A167" s="139" t="str">
        <f t="shared" si="16"/>
        <v/>
      </c>
      <c r="B167" s="984">
        <v>159</v>
      </c>
      <c r="C167" s="975"/>
      <c r="D167" s="1067"/>
      <c r="E167" s="976"/>
      <c r="F167" s="1035"/>
      <c r="G167" s="1087"/>
      <c r="H167" s="975"/>
      <c r="I167" s="978"/>
      <c r="J167" s="975" t="str">
        <f t="shared" si="17"/>
        <v/>
      </c>
      <c r="K167" s="979"/>
      <c r="L167" s="979"/>
      <c r="M167" s="980" t="str">
        <f t="shared" si="23"/>
        <v/>
      </c>
      <c r="N167" s="983"/>
      <c r="O167" s="982" t="str">
        <f t="shared" ca="1" si="18"/>
        <v/>
      </c>
      <c r="P167" s="991" t="str">
        <f t="shared" ca="1" si="19"/>
        <v/>
      </c>
      <c r="S167" s="147" t="str">
        <f t="shared" si="20"/>
        <v/>
      </c>
      <c r="T167" s="147" t="str">
        <f t="shared" ca="1" si="21"/>
        <v/>
      </c>
      <c r="U167" s="147" t="str">
        <f t="shared" ca="1" si="22"/>
        <v/>
      </c>
    </row>
    <row r="168" spans="1:21" s="147" customFormat="1" ht="14.4" x14ac:dyDescent="0.3">
      <c r="A168" s="139" t="str">
        <f t="shared" si="16"/>
        <v/>
      </c>
      <c r="B168" s="984">
        <v>160</v>
      </c>
      <c r="C168" s="975"/>
      <c r="D168" s="1067"/>
      <c r="E168" s="976"/>
      <c r="F168" s="1035"/>
      <c r="G168" s="1087"/>
      <c r="H168" s="975"/>
      <c r="I168" s="978"/>
      <c r="J168" s="975" t="str">
        <f t="shared" si="17"/>
        <v/>
      </c>
      <c r="K168" s="979"/>
      <c r="L168" s="979"/>
      <c r="M168" s="980" t="str">
        <f t="shared" si="23"/>
        <v/>
      </c>
      <c r="N168" s="983"/>
      <c r="O168" s="982" t="str">
        <f t="shared" ca="1" si="18"/>
        <v/>
      </c>
      <c r="P168" s="991" t="str">
        <f t="shared" ca="1" si="19"/>
        <v/>
      </c>
      <c r="S168" s="147" t="str">
        <f t="shared" si="20"/>
        <v/>
      </c>
      <c r="T168" s="147" t="str">
        <f t="shared" ca="1" si="21"/>
        <v/>
      </c>
      <c r="U168" s="147" t="str">
        <f t="shared" ca="1" si="22"/>
        <v/>
      </c>
    </row>
    <row r="169" spans="1:21" s="147" customFormat="1" ht="14.4" x14ac:dyDescent="0.3">
      <c r="A169" s="139" t="str">
        <f t="shared" si="16"/>
        <v/>
      </c>
      <c r="B169" s="984">
        <v>161</v>
      </c>
      <c r="C169" s="975"/>
      <c r="D169" s="1067"/>
      <c r="E169" s="976"/>
      <c r="F169" s="1035"/>
      <c r="G169" s="1087"/>
      <c r="H169" s="975"/>
      <c r="I169" s="978"/>
      <c r="J169" s="975" t="str">
        <f t="shared" si="17"/>
        <v/>
      </c>
      <c r="K169" s="979"/>
      <c r="L169" s="979"/>
      <c r="M169" s="980" t="str">
        <f t="shared" si="23"/>
        <v/>
      </c>
      <c r="N169" s="983"/>
      <c r="O169" s="982" t="str">
        <f t="shared" ca="1" si="18"/>
        <v/>
      </c>
      <c r="P169" s="991" t="str">
        <f t="shared" ca="1" si="19"/>
        <v/>
      </c>
      <c r="S169" s="147" t="str">
        <f t="shared" si="20"/>
        <v/>
      </c>
      <c r="T169" s="147" t="str">
        <f t="shared" ca="1" si="21"/>
        <v/>
      </c>
      <c r="U169" s="147" t="str">
        <f t="shared" ca="1" si="22"/>
        <v/>
      </c>
    </row>
    <row r="170" spans="1:21" s="147" customFormat="1" ht="14.4" x14ac:dyDescent="0.3">
      <c r="A170" s="139" t="str">
        <f t="shared" si="16"/>
        <v/>
      </c>
      <c r="B170" s="984">
        <v>162</v>
      </c>
      <c r="C170" s="975"/>
      <c r="D170" s="1067"/>
      <c r="E170" s="976"/>
      <c r="F170" s="1035"/>
      <c r="G170" s="1087"/>
      <c r="H170" s="975"/>
      <c r="I170" s="978"/>
      <c r="J170" s="975" t="str">
        <f t="shared" si="17"/>
        <v/>
      </c>
      <c r="K170" s="979"/>
      <c r="L170" s="979"/>
      <c r="M170" s="980" t="str">
        <f t="shared" si="23"/>
        <v/>
      </c>
      <c r="N170" s="983"/>
      <c r="O170" s="982" t="str">
        <f t="shared" ca="1" si="18"/>
        <v/>
      </c>
      <c r="P170" s="991" t="str">
        <f t="shared" ca="1" si="19"/>
        <v/>
      </c>
      <c r="S170" s="147" t="str">
        <f t="shared" si="20"/>
        <v/>
      </c>
      <c r="T170" s="147" t="str">
        <f t="shared" ca="1" si="21"/>
        <v/>
      </c>
      <c r="U170" s="147" t="str">
        <f t="shared" ca="1" si="22"/>
        <v/>
      </c>
    </row>
    <row r="171" spans="1:21" s="147" customFormat="1" ht="14.4" x14ac:dyDescent="0.3">
      <c r="A171" s="139" t="str">
        <f t="shared" si="16"/>
        <v/>
      </c>
      <c r="B171" s="984">
        <v>163</v>
      </c>
      <c r="C171" s="975"/>
      <c r="D171" s="1067"/>
      <c r="E171" s="976"/>
      <c r="F171" s="1035"/>
      <c r="G171" s="1087"/>
      <c r="H171" s="975"/>
      <c r="I171" s="978"/>
      <c r="J171" s="975" t="str">
        <f t="shared" si="17"/>
        <v/>
      </c>
      <c r="K171" s="979"/>
      <c r="L171" s="979"/>
      <c r="M171" s="980" t="str">
        <f t="shared" si="23"/>
        <v/>
      </c>
      <c r="N171" s="983"/>
      <c r="O171" s="982" t="str">
        <f t="shared" ca="1" si="18"/>
        <v/>
      </c>
      <c r="P171" s="991" t="str">
        <f t="shared" ca="1" si="19"/>
        <v/>
      </c>
      <c r="S171" s="147" t="str">
        <f t="shared" si="20"/>
        <v/>
      </c>
      <c r="T171" s="147" t="str">
        <f t="shared" ca="1" si="21"/>
        <v/>
      </c>
      <c r="U171" s="147" t="str">
        <f t="shared" ca="1" si="22"/>
        <v/>
      </c>
    </row>
    <row r="172" spans="1:21" s="147" customFormat="1" ht="14.4" x14ac:dyDescent="0.3">
      <c r="A172" s="139" t="str">
        <f t="shared" si="16"/>
        <v/>
      </c>
      <c r="B172" s="984">
        <v>164</v>
      </c>
      <c r="C172" s="975"/>
      <c r="D172" s="1067"/>
      <c r="E172" s="976"/>
      <c r="F172" s="1035"/>
      <c r="G172" s="1087"/>
      <c r="H172" s="975"/>
      <c r="I172" s="978"/>
      <c r="J172" s="975" t="str">
        <f t="shared" si="17"/>
        <v/>
      </c>
      <c r="K172" s="979"/>
      <c r="L172" s="979"/>
      <c r="M172" s="980" t="str">
        <f t="shared" si="23"/>
        <v/>
      </c>
      <c r="N172" s="983"/>
      <c r="O172" s="982" t="str">
        <f t="shared" ca="1" si="18"/>
        <v/>
      </c>
      <c r="P172" s="991" t="str">
        <f t="shared" ca="1" si="19"/>
        <v/>
      </c>
      <c r="S172" s="147" t="str">
        <f t="shared" si="20"/>
        <v/>
      </c>
      <c r="T172" s="147" t="str">
        <f t="shared" ca="1" si="21"/>
        <v/>
      </c>
      <c r="U172" s="147" t="str">
        <f t="shared" ca="1" si="22"/>
        <v/>
      </c>
    </row>
    <row r="173" spans="1:21" s="147" customFormat="1" ht="14.4" x14ac:dyDescent="0.3">
      <c r="A173" s="139" t="str">
        <f t="shared" si="16"/>
        <v/>
      </c>
      <c r="B173" s="984">
        <v>165</v>
      </c>
      <c r="C173" s="975"/>
      <c r="D173" s="1067"/>
      <c r="E173" s="976"/>
      <c r="F173" s="1035"/>
      <c r="G173" s="1087"/>
      <c r="H173" s="975"/>
      <c r="I173" s="978"/>
      <c r="J173" s="975" t="str">
        <f t="shared" si="17"/>
        <v/>
      </c>
      <c r="K173" s="979"/>
      <c r="L173" s="979"/>
      <c r="M173" s="980" t="str">
        <f t="shared" si="23"/>
        <v/>
      </c>
      <c r="N173" s="983"/>
      <c r="O173" s="982" t="str">
        <f t="shared" ca="1" si="18"/>
        <v/>
      </c>
      <c r="P173" s="991" t="str">
        <f t="shared" ca="1" si="19"/>
        <v/>
      </c>
      <c r="S173" s="147" t="str">
        <f t="shared" si="20"/>
        <v/>
      </c>
      <c r="T173" s="147" t="str">
        <f t="shared" ca="1" si="21"/>
        <v/>
      </c>
      <c r="U173" s="147" t="str">
        <f t="shared" ca="1" si="22"/>
        <v/>
      </c>
    </row>
    <row r="174" spans="1:21" s="147" customFormat="1" ht="14.4" x14ac:dyDescent="0.3">
      <c r="A174" s="139" t="str">
        <f t="shared" si="16"/>
        <v/>
      </c>
      <c r="B174" s="984">
        <v>166</v>
      </c>
      <c r="C174" s="975"/>
      <c r="D174" s="1067"/>
      <c r="E174" s="976"/>
      <c r="F174" s="1035"/>
      <c r="G174" s="1087"/>
      <c r="H174" s="975"/>
      <c r="I174" s="978"/>
      <c r="J174" s="975" t="str">
        <f t="shared" si="17"/>
        <v/>
      </c>
      <c r="K174" s="979"/>
      <c r="L174" s="979"/>
      <c r="M174" s="980" t="str">
        <f t="shared" si="23"/>
        <v/>
      </c>
      <c r="N174" s="983"/>
      <c r="O174" s="982" t="str">
        <f t="shared" ca="1" si="18"/>
        <v/>
      </c>
      <c r="P174" s="991" t="str">
        <f t="shared" ca="1" si="19"/>
        <v/>
      </c>
      <c r="S174" s="147" t="str">
        <f t="shared" si="20"/>
        <v/>
      </c>
      <c r="T174" s="147" t="str">
        <f t="shared" ca="1" si="21"/>
        <v/>
      </c>
      <c r="U174" s="147" t="str">
        <f t="shared" ca="1" si="22"/>
        <v/>
      </c>
    </row>
    <row r="175" spans="1:21" s="147" customFormat="1" ht="14.4" x14ac:dyDescent="0.3">
      <c r="A175" s="139" t="str">
        <f t="shared" si="16"/>
        <v/>
      </c>
      <c r="B175" s="984">
        <v>167</v>
      </c>
      <c r="C175" s="975"/>
      <c r="D175" s="1067"/>
      <c r="E175" s="976"/>
      <c r="F175" s="1035"/>
      <c r="G175" s="1087"/>
      <c r="H175" s="975"/>
      <c r="I175" s="978"/>
      <c r="J175" s="975" t="str">
        <f t="shared" si="17"/>
        <v/>
      </c>
      <c r="K175" s="979"/>
      <c r="L175" s="979"/>
      <c r="M175" s="980" t="str">
        <f t="shared" si="23"/>
        <v/>
      </c>
      <c r="N175" s="983"/>
      <c r="O175" s="982" t="str">
        <f t="shared" ca="1" si="18"/>
        <v/>
      </c>
      <c r="P175" s="991" t="str">
        <f t="shared" ca="1" si="19"/>
        <v/>
      </c>
      <c r="S175" s="147" t="str">
        <f t="shared" si="20"/>
        <v/>
      </c>
      <c r="T175" s="147" t="str">
        <f t="shared" ca="1" si="21"/>
        <v/>
      </c>
      <c r="U175" s="147" t="str">
        <f t="shared" ca="1" si="22"/>
        <v/>
      </c>
    </row>
    <row r="176" spans="1:21" s="147" customFormat="1" ht="14.4" x14ac:dyDescent="0.3">
      <c r="A176" s="139" t="str">
        <f t="shared" si="16"/>
        <v/>
      </c>
      <c r="B176" s="984">
        <v>168</v>
      </c>
      <c r="C176" s="975"/>
      <c r="D176" s="1067"/>
      <c r="E176" s="976"/>
      <c r="F176" s="1035"/>
      <c r="G176" s="1087"/>
      <c r="H176" s="975"/>
      <c r="I176" s="978"/>
      <c r="J176" s="975" t="str">
        <f t="shared" si="17"/>
        <v/>
      </c>
      <c r="K176" s="979"/>
      <c r="L176" s="979"/>
      <c r="M176" s="980" t="str">
        <f t="shared" si="23"/>
        <v/>
      </c>
      <c r="N176" s="983"/>
      <c r="O176" s="982" t="str">
        <f t="shared" ca="1" si="18"/>
        <v/>
      </c>
      <c r="P176" s="991" t="str">
        <f t="shared" ca="1" si="19"/>
        <v/>
      </c>
      <c r="S176" s="147" t="str">
        <f t="shared" si="20"/>
        <v/>
      </c>
      <c r="T176" s="147" t="str">
        <f t="shared" ca="1" si="21"/>
        <v/>
      </c>
      <c r="U176" s="147" t="str">
        <f t="shared" ca="1" si="22"/>
        <v/>
      </c>
    </row>
    <row r="177" spans="1:21" s="147" customFormat="1" ht="14.4" x14ac:dyDescent="0.3">
      <c r="A177" s="139" t="str">
        <f t="shared" si="16"/>
        <v/>
      </c>
      <c r="B177" s="984">
        <v>169</v>
      </c>
      <c r="C177" s="975"/>
      <c r="D177" s="1067"/>
      <c r="E177" s="976"/>
      <c r="F177" s="1035"/>
      <c r="G177" s="1087"/>
      <c r="H177" s="975"/>
      <c r="I177" s="978"/>
      <c r="J177" s="975" t="str">
        <f t="shared" si="17"/>
        <v/>
      </c>
      <c r="K177" s="979"/>
      <c r="L177" s="979"/>
      <c r="M177" s="980" t="str">
        <f t="shared" si="23"/>
        <v/>
      </c>
      <c r="N177" s="983"/>
      <c r="O177" s="982" t="str">
        <f t="shared" ca="1" si="18"/>
        <v/>
      </c>
      <c r="P177" s="991" t="str">
        <f t="shared" ca="1" si="19"/>
        <v/>
      </c>
      <c r="S177" s="147" t="str">
        <f t="shared" si="20"/>
        <v/>
      </c>
      <c r="T177" s="147" t="str">
        <f t="shared" ca="1" si="21"/>
        <v/>
      </c>
      <c r="U177" s="147" t="str">
        <f t="shared" ca="1" si="22"/>
        <v/>
      </c>
    </row>
    <row r="178" spans="1:21" s="147" customFormat="1" ht="14.4" x14ac:dyDescent="0.3">
      <c r="A178" s="139" t="str">
        <f t="shared" si="16"/>
        <v/>
      </c>
      <c r="B178" s="984">
        <v>170</v>
      </c>
      <c r="C178" s="975"/>
      <c r="D178" s="1067"/>
      <c r="E178" s="976"/>
      <c r="F178" s="1035"/>
      <c r="G178" s="1087"/>
      <c r="H178" s="975"/>
      <c r="I178" s="978"/>
      <c r="J178" s="975" t="str">
        <f t="shared" si="17"/>
        <v/>
      </c>
      <c r="K178" s="979"/>
      <c r="L178" s="979"/>
      <c r="M178" s="980" t="str">
        <f t="shared" si="23"/>
        <v/>
      </c>
      <c r="N178" s="983"/>
      <c r="O178" s="982" t="str">
        <f t="shared" ca="1" si="18"/>
        <v/>
      </c>
      <c r="P178" s="991" t="str">
        <f t="shared" ca="1" si="19"/>
        <v/>
      </c>
      <c r="S178" s="147" t="str">
        <f t="shared" si="20"/>
        <v/>
      </c>
      <c r="T178" s="147" t="str">
        <f t="shared" ca="1" si="21"/>
        <v/>
      </c>
      <c r="U178" s="147" t="str">
        <f t="shared" ca="1" si="22"/>
        <v/>
      </c>
    </row>
    <row r="179" spans="1:21" s="147" customFormat="1" ht="14.4" x14ac:dyDescent="0.3">
      <c r="A179" s="139" t="str">
        <f t="shared" si="16"/>
        <v/>
      </c>
      <c r="B179" s="984">
        <v>171</v>
      </c>
      <c r="C179" s="975"/>
      <c r="D179" s="1067"/>
      <c r="E179" s="976"/>
      <c r="F179" s="1035"/>
      <c r="G179" s="1087"/>
      <c r="H179" s="975"/>
      <c r="I179" s="978"/>
      <c r="J179" s="975" t="str">
        <f t="shared" si="17"/>
        <v/>
      </c>
      <c r="K179" s="979"/>
      <c r="L179" s="979"/>
      <c r="M179" s="980" t="str">
        <f t="shared" si="23"/>
        <v/>
      </c>
      <c r="N179" s="983"/>
      <c r="O179" s="982" t="str">
        <f t="shared" ca="1" si="18"/>
        <v/>
      </c>
      <c r="P179" s="991" t="str">
        <f t="shared" ca="1" si="19"/>
        <v/>
      </c>
      <c r="S179" s="147" t="str">
        <f t="shared" si="20"/>
        <v/>
      </c>
      <c r="T179" s="147" t="str">
        <f t="shared" ca="1" si="21"/>
        <v/>
      </c>
      <c r="U179" s="147" t="str">
        <f t="shared" ca="1" si="22"/>
        <v/>
      </c>
    </row>
    <row r="180" spans="1:21" s="147" customFormat="1" ht="14.4" x14ac:dyDescent="0.3">
      <c r="A180" s="139" t="str">
        <f t="shared" si="16"/>
        <v/>
      </c>
      <c r="B180" s="984">
        <v>172</v>
      </c>
      <c r="C180" s="975"/>
      <c r="D180" s="1067"/>
      <c r="E180" s="976"/>
      <c r="F180" s="1035"/>
      <c r="G180" s="1087"/>
      <c r="H180" s="975"/>
      <c r="I180" s="978"/>
      <c r="J180" s="975" t="str">
        <f t="shared" si="17"/>
        <v/>
      </c>
      <c r="K180" s="979"/>
      <c r="L180" s="979"/>
      <c r="M180" s="980" t="str">
        <f t="shared" si="23"/>
        <v/>
      </c>
      <c r="N180" s="983"/>
      <c r="O180" s="982" t="str">
        <f t="shared" ca="1" si="18"/>
        <v/>
      </c>
      <c r="P180" s="991" t="str">
        <f t="shared" ca="1" si="19"/>
        <v/>
      </c>
      <c r="S180" s="147" t="str">
        <f t="shared" si="20"/>
        <v/>
      </c>
      <c r="T180" s="147" t="str">
        <f t="shared" ca="1" si="21"/>
        <v/>
      </c>
      <c r="U180" s="147" t="str">
        <f t="shared" ca="1" si="22"/>
        <v/>
      </c>
    </row>
    <row r="181" spans="1:21" s="147" customFormat="1" ht="14.4" x14ac:dyDescent="0.3">
      <c r="A181" s="139" t="str">
        <f t="shared" si="16"/>
        <v/>
      </c>
      <c r="B181" s="984">
        <v>173</v>
      </c>
      <c r="C181" s="975"/>
      <c r="D181" s="1067"/>
      <c r="E181" s="976"/>
      <c r="F181" s="1035"/>
      <c r="G181" s="1087"/>
      <c r="H181" s="975"/>
      <c r="I181" s="978"/>
      <c r="J181" s="975" t="str">
        <f t="shared" si="17"/>
        <v/>
      </c>
      <c r="K181" s="979"/>
      <c r="L181" s="979"/>
      <c r="M181" s="980" t="str">
        <f t="shared" si="23"/>
        <v/>
      </c>
      <c r="N181" s="983"/>
      <c r="O181" s="982" t="str">
        <f t="shared" ca="1" si="18"/>
        <v/>
      </c>
      <c r="P181" s="991" t="str">
        <f t="shared" ca="1" si="19"/>
        <v/>
      </c>
      <c r="S181" s="147" t="str">
        <f t="shared" si="20"/>
        <v/>
      </c>
      <c r="T181" s="147" t="str">
        <f t="shared" ca="1" si="21"/>
        <v/>
      </c>
      <c r="U181" s="147" t="str">
        <f t="shared" ca="1" si="22"/>
        <v/>
      </c>
    </row>
    <row r="182" spans="1:21" s="147" customFormat="1" ht="14.4" x14ac:dyDescent="0.3">
      <c r="A182" s="139" t="str">
        <f t="shared" si="16"/>
        <v/>
      </c>
      <c r="B182" s="984">
        <v>174</v>
      </c>
      <c r="C182" s="975"/>
      <c r="D182" s="1067"/>
      <c r="E182" s="976"/>
      <c r="F182" s="1035"/>
      <c r="G182" s="1087"/>
      <c r="H182" s="975"/>
      <c r="I182" s="978"/>
      <c r="J182" s="975" t="str">
        <f t="shared" si="17"/>
        <v/>
      </c>
      <c r="K182" s="979"/>
      <c r="L182" s="979"/>
      <c r="M182" s="980" t="str">
        <f t="shared" si="23"/>
        <v/>
      </c>
      <c r="N182" s="983"/>
      <c r="O182" s="982" t="str">
        <f t="shared" ca="1" si="18"/>
        <v/>
      </c>
      <c r="P182" s="991" t="str">
        <f t="shared" ca="1" si="19"/>
        <v/>
      </c>
      <c r="S182" s="147" t="str">
        <f t="shared" si="20"/>
        <v/>
      </c>
      <c r="T182" s="147" t="str">
        <f t="shared" ca="1" si="21"/>
        <v/>
      </c>
      <c r="U182" s="147" t="str">
        <f t="shared" ca="1" si="22"/>
        <v/>
      </c>
    </row>
    <row r="183" spans="1:21" s="147" customFormat="1" ht="14.4" x14ac:dyDescent="0.3">
      <c r="A183" s="139" t="str">
        <f t="shared" si="16"/>
        <v/>
      </c>
      <c r="B183" s="984">
        <v>175</v>
      </c>
      <c r="C183" s="975"/>
      <c r="D183" s="1067"/>
      <c r="E183" s="976"/>
      <c r="F183" s="1035"/>
      <c r="G183" s="1087"/>
      <c r="H183" s="975"/>
      <c r="I183" s="978"/>
      <c r="J183" s="975" t="str">
        <f t="shared" si="17"/>
        <v/>
      </c>
      <c r="K183" s="979"/>
      <c r="L183" s="979"/>
      <c r="M183" s="980" t="str">
        <f t="shared" si="23"/>
        <v/>
      </c>
      <c r="N183" s="983"/>
      <c r="O183" s="982" t="str">
        <f t="shared" ca="1" si="18"/>
        <v/>
      </c>
      <c r="P183" s="991" t="str">
        <f t="shared" ca="1" si="19"/>
        <v/>
      </c>
      <c r="S183" s="147" t="str">
        <f t="shared" si="20"/>
        <v/>
      </c>
      <c r="T183" s="147" t="str">
        <f t="shared" ca="1" si="21"/>
        <v/>
      </c>
      <c r="U183" s="147" t="str">
        <f t="shared" ca="1" si="22"/>
        <v/>
      </c>
    </row>
    <row r="184" spans="1:21" s="147" customFormat="1" ht="14.4" x14ac:dyDescent="0.3">
      <c r="A184" s="139" t="str">
        <f t="shared" si="16"/>
        <v/>
      </c>
      <c r="B184" s="984">
        <v>176</v>
      </c>
      <c r="C184" s="975"/>
      <c r="D184" s="1067"/>
      <c r="E184" s="976"/>
      <c r="F184" s="1035"/>
      <c r="G184" s="1087"/>
      <c r="H184" s="975"/>
      <c r="I184" s="978"/>
      <c r="J184" s="975" t="str">
        <f t="shared" si="17"/>
        <v/>
      </c>
      <c r="K184" s="979"/>
      <c r="L184" s="979"/>
      <c r="M184" s="980" t="str">
        <f t="shared" si="23"/>
        <v/>
      </c>
      <c r="N184" s="983"/>
      <c r="O184" s="982" t="str">
        <f t="shared" ca="1" si="18"/>
        <v/>
      </c>
      <c r="P184" s="991" t="str">
        <f t="shared" ca="1" si="19"/>
        <v/>
      </c>
      <c r="S184" s="147" t="str">
        <f t="shared" si="20"/>
        <v/>
      </c>
      <c r="T184" s="147" t="str">
        <f t="shared" ca="1" si="21"/>
        <v/>
      </c>
      <c r="U184" s="147" t="str">
        <f t="shared" ca="1" si="22"/>
        <v/>
      </c>
    </row>
    <row r="185" spans="1:21" s="147" customFormat="1" ht="14.4" x14ac:dyDescent="0.3">
      <c r="A185" s="139" t="str">
        <f t="shared" si="16"/>
        <v/>
      </c>
      <c r="B185" s="984">
        <v>177</v>
      </c>
      <c r="C185" s="975"/>
      <c r="D185" s="1067"/>
      <c r="E185" s="976"/>
      <c r="F185" s="1035"/>
      <c r="G185" s="1087"/>
      <c r="H185" s="975"/>
      <c r="I185" s="978"/>
      <c r="J185" s="975" t="str">
        <f t="shared" si="17"/>
        <v/>
      </c>
      <c r="K185" s="979"/>
      <c r="L185" s="979"/>
      <c r="M185" s="980" t="str">
        <f t="shared" si="23"/>
        <v/>
      </c>
      <c r="N185" s="983"/>
      <c r="O185" s="982" t="str">
        <f t="shared" ca="1" si="18"/>
        <v/>
      </c>
      <c r="P185" s="991" t="str">
        <f t="shared" ca="1" si="19"/>
        <v/>
      </c>
      <c r="S185" s="147" t="str">
        <f t="shared" si="20"/>
        <v/>
      </c>
      <c r="T185" s="147" t="str">
        <f t="shared" ca="1" si="21"/>
        <v/>
      </c>
      <c r="U185" s="147" t="str">
        <f t="shared" ca="1" si="22"/>
        <v/>
      </c>
    </row>
    <row r="186" spans="1:21" s="147" customFormat="1" ht="14.4" x14ac:dyDescent="0.3">
      <c r="A186" s="139" t="str">
        <f t="shared" si="16"/>
        <v/>
      </c>
      <c r="B186" s="984">
        <v>178</v>
      </c>
      <c r="C186" s="975"/>
      <c r="D186" s="1067"/>
      <c r="E186" s="976"/>
      <c r="F186" s="1035"/>
      <c r="G186" s="1087"/>
      <c r="H186" s="975"/>
      <c r="I186" s="978"/>
      <c r="J186" s="975" t="str">
        <f t="shared" si="17"/>
        <v/>
      </c>
      <c r="K186" s="979"/>
      <c r="L186" s="979"/>
      <c r="M186" s="980" t="str">
        <f t="shared" si="23"/>
        <v/>
      </c>
      <c r="N186" s="983"/>
      <c r="O186" s="982" t="str">
        <f t="shared" ca="1" si="18"/>
        <v/>
      </c>
      <c r="P186" s="991" t="str">
        <f t="shared" ca="1" si="19"/>
        <v/>
      </c>
      <c r="S186" s="147" t="str">
        <f t="shared" si="20"/>
        <v/>
      </c>
      <c r="T186" s="147" t="str">
        <f t="shared" ca="1" si="21"/>
        <v/>
      </c>
      <c r="U186" s="147" t="str">
        <f t="shared" ca="1" si="22"/>
        <v/>
      </c>
    </row>
    <row r="187" spans="1:21" s="147" customFormat="1" ht="14.4" x14ac:dyDescent="0.3">
      <c r="A187" s="139" t="str">
        <f t="shared" si="16"/>
        <v/>
      </c>
      <c r="B187" s="984">
        <v>179</v>
      </c>
      <c r="C187" s="975"/>
      <c r="D187" s="1067"/>
      <c r="E187" s="976"/>
      <c r="F187" s="1035"/>
      <c r="G187" s="1087"/>
      <c r="H187" s="975"/>
      <c r="I187" s="978"/>
      <c r="J187" s="975" t="str">
        <f t="shared" si="17"/>
        <v/>
      </c>
      <c r="K187" s="979"/>
      <c r="L187" s="979"/>
      <c r="M187" s="980" t="str">
        <f t="shared" si="23"/>
        <v/>
      </c>
      <c r="N187" s="983"/>
      <c r="O187" s="982" t="str">
        <f t="shared" ca="1" si="18"/>
        <v/>
      </c>
      <c r="P187" s="991" t="str">
        <f t="shared" ca="1" si="19"/>
        <v/>
      </c>
      <c r="S187" s="147" t="str">
        <f t="shared" si="20"/>
        <v/>
      </c>
      <c r="T187" s="147" t="str">
        <f t="shared" ca="1" si="21"/>
        <v/>
      </c>
      <c r="U187" s="147" t="str">
        <f t="shared" ca="1" si="22"/>
        <v/>
      </c>
    </row>
    <row r="188" spans="1:21" s="147" customFormat="1" ht="14.4" x14ac:dyDescent="0.3">
      <c r="A188" s="139" t="str">
        <f t="shared" si="16"/>
        <v/>
      </c>
      <c r="B188" s="984">
        <v>180</v>
      </c>
      <c r="C188" s="975"/>
      <c r="D188" s="1067"/>
      <c r="E188" s="976"/>
      <c r="F188" s="1035"/>
      <c r="G188" s="1087"/>
      <c r="H188" s="975"/>
      <c r="I188" s="978"/>
      <c r="J188" s="975" t="str">
        <f t="shared" si="17"/>
        <v/>
      </c>
      <c r="K188" s="979"/>
      <c r="L188" s="979"/>
      <c r="M188" s="980" t="str">
        <f t="shared" si="23"/>
        <v/>
      </c>
      <c r="N188" s="983"/>
      <c r="O188" s="982" t="str">
        <f t="shared" ca="1" si="18"/>
        <v/>
      </c>
      <c r="P188" s="991" t="str">
        <f t="shared" ca="1" si="19"/>
        <v/>
      </c>
      <c r="S188" s="147" t="str">
        <f t="shared" si="20"/>
        <v/>
      </c>
      <c r="T188" s="147" t="str">
        <f t="shared" ca="1" si="21"/>
        <v/>
      </c>
      <c r="U188" s="147" t="str">
        <f t="shared" ca="1" si="22"/>
        <v/>
      </c>
    </row>
    <row r="189" spans="1:21" s="147" customFormat="1" ht="14.4" x14ac:dyDescent="0.3">
      <c r="A189" s="139" t="str">
        <f t="shared" si="16"/>
        <v/>
      </c>
      <c r="B189" s="984">
        <v>181</v>
      </c>
      <c r="C189" s="975"/>
      <c r="D189" s="1067"/>
      <c r="E189" s="976"/>
      <c r="F189" s="1035"/>
      <c r="G189" s="1087"/>
      <c r="H189" s="975"/>
      <c r="I189" s="978"/>
      <c r="J189" s="975" t="str">
        <f t="shared" si="17"/>
        <v/>
      </c>
      <c r="K189" s="979"/>
      <c r="L189" s="979"/>
      <c r="M189" s="980" t="str">
        <f t="shared" si="23"/>
        <v/>
      </c>
      <c r="N189" s="983"/>
      <c r="O189" s="982" t="str">
        <f t="shared" ca="1" si="18"/>
        <v/>
      </c>
      <c r="P189" s="991" t="str">
        <f t="shared" ca="1" si="19"/>
        <v/>
      </c>
      <c r="S189" s="147" t="str">
        <f t="shared" si="20"/>
        <v/>
      </c>
      <c r="T189" s="147" t="str">
        <f t="shared" ca="1" si="21"/>
        <v/>
      </c>
      <c r="U189" s="147" t="str">
        <f t="shared" ca="1" si="22"/>
        <v/>
      </c>
    </row>
    <row r="190" spans="1:21" s="147" customFormat="1" ht="14.4" x14ac:dyDescent="0.3">
      <c r="A190" s="139" t="str">
        <f t="shared" si="16"/>
        <v/>
      </c>
      <c r="B190" s="984">
        <v>182</v>
      </c>
      <c r="C190" s="975"/>
      <c r="D190" s="1067"/>
      <c r="E190" s="976"/>
      <c r="F190" s="1035"/>
      <c r="G190" s="1087"/>
      <c r="H190" s="975"/>
      <c r="I190" s="978"/>
      <c r="J190" s="975" t="str">
        <f t="shared" si="17"/>
        <v/>
      </c>
      <c r="K190" s="979"/>
      <c r="L190" s="979"/>
      <c r="M190" s="980" t="str">
        <f t="shared" si="23"/>
        <v/>
      </c>
      <c r="N190" s="983"/>
      <c r="O190" s="982" t="str">
        <f t="shared" ca="1" si="18"/>
        <v/>
      </c>
      <c r="P190" s="991" t="str">
        <f t="shared" ca="1" si="19"/>
        <v/>
      </c>
      <c r="S190" s="147" t="str">
        <f t="shared" si="20"/>
        <v/>
      </c>
      <c r="T190" s="147" t="str">
        <f t="shared" ca="1" si="21"/>
        <v/>
      </c>
      <c r="U190" s="147" t="str">
        <f t="shared" ca="1" si="22"/>
        <v/>
      </c>
    </row>
    <row r="191" spans="1:21" s="147" customFormat="1" ht="14.4" x14ac:dyDescent="0.3">
      <c r="A191" s="139" t="str">
        <f t="shared" si="16"/>
        <v/>
      </c>
      <c r="B191" s="984">
        <v>183</v>
      </c>
      <c r="C191" s="975"/>
      <c r="D191" s="1067"/>
      <c r="E191" s="976"/>
      <c r="F191" s="1035"/>
      <c r="G191" s="1087"/>
      <c r="H191" s="975"/>
      <c r="I191" s="978"/>
      <c r="J191" s="975" t="str">
        <f t="shared" si="17"/>
        <v/>
      </c>
      <c r="K191" s="979"/>
      <c r="L191" s="979"/>
      <c r="M191" s="980" t="str">
        <f t="shared" si="23"/>
        <v/>
      </c>
      <c r="N191" s="983"/>
      <c r="O191" s="982" t="str">
        <f t="shared" ca="1" si="18"/>
        <v/>
      </c>
      <c r="P191" s="991" t="str">
        <f t="shared" ca="1" si="19"/>
        <v/>
      </c>
      <c r="S191" s="147" t="str">
        <f t="shared" si="20"/>
        <v/>
      </c>
      <c r="T191" s="147" t="str">
        <f t="shared" ca="1" si="21"/>
        <v/>
      </c>
      <c r="U191" s="147" t="str">
        <f t="shared" ca="1" si="22"/>
        <v/>
      </c>
    </row>
    <row r="192" spans="1:21" s="147" customFormat="1" ht="14.4" x14ac:dyDescent="0.3">
      <c r="A192" s="139" t="str">
        <f t="shared" si="16"/>
        <v/>
      </c>
      <c r="B192" s="984">
        <v>184</v>
      </c>
      <c r="C192" s="975"/>
      <c r="D192" s="1067"/>
      <c r="E192" s="976"/>
      <c r="F192" s="1035"/>
      <c r="G192" s="1087"/>
      <c r="H192" s="975"/>
      <c r="I192" s="978"/>
      <c r="J192" s="975" t="str">
        <f t="shared" si="17"/>
        <v/>
      </c>
      <c r="K192" s="979"/>
      <c r="L192" s="979"/>
      <c r="M192" s="980" t="str">
        <f t="shared" si="23"/>
        <v/>
      </c>
      <c r="N192" s="983"/>
      <c r="O192" s="982" t="str">
        <f t="shared" ca="1" si="18"/>
        <v/>
      </c>
      <c r="P192" s="991" t="str">
        <f t="shared" ca="1" si="19"/>
        <v/>
      </c>
      <c r="S192" s="147" t="str">
        <f t="shared" si="20"/>
        <v/>
      </c>
      <c r="T192" s="147" t="str">
        <f t="shared" ca="1" si="21"/>
        <v/>
      </c>
      <c r="U192" s="147" t="str">
        <f t="shared" ca="1" si="22"/>
        <v/>
      </c>
    </row>
    <row r="193" spans="1:21" s="147" customFormat="1" ht="14.4" x14ac:dyDescent="0.3">
      <c r="A193" s="139" t="str">
        <f t="shared" si="16"/>
        <v/>
      </c>
      <c r="B193" s="984">
        <v>185</v>
      </c>
      <c r="C193" s="975"/>
      <c r="D193" s="1067"/>
      <c r="E193" s="976"/>
      <c r="F193" s="1035"/>
      <c r="G193" s="1087"/>
      <c r="H193" s="975"/>
      <c r="I193" s="978"/>
      <c r="J193" s="975" t="str">
        <f t="shared" si="17"/>
        <v/>
      </c>
      <c r="K193" s="979"/>
      <c r="L193" s="979"/>
      <c r="M193" s="980" t="str">
        <f t="shared" si="23"/>
        <v/>
      </c>
      <c r="N193" s="983"/>
      <c r="O193" s="982" t="str">
        <f t="shared" ca="1" si="18"/>
        <v/>
      </c>
      <c r="P193" s="991" t="str">
        <f t="shared" ca="1" si="19"/>
        <v/>
      </c>
      <c r="S193" s="147" t="str">
        <f t="shared" si="20"/>
        <v/>
      </c>
      <c r="T193" s="147" t="str">
        <f t="shared" ca="1" si="21"/>
        <v/>
      </c>
      <c r="U193" s="147" t="str">
        <f t="shared" ca="1" si="22"/>
        <v/>
      </c>
    </row>
    <row r="194" spans="1:21" s="147" customFormat="1" ht="14.4" x14ac:dyDescent="0.3">
      <c r="A194" s="139" t="str">
        <f t="shared" si="16"/>
        <v/>
      </c>
      <c r="B194" s="984">
        <v>186</v>
      </c>
      <c r="C194" s="975"/>
      <c r="D194" s="1067"/>
      <c r="E194" s="976"/>
      <c r="F194" s="1035"/>
      <c r="G194" s="1087"/>
      <c r="H194" s="975"/>
      <c r="I194" s="978"/>
      <c r="J194" s="975" t="str">
        <f t="shared" si="17"/>
        <v/>
      </c>
      <c r="K194" s="979"/>
      <c r="L194" s="979"/>
      <c r="M194" s="980" t="str">
        <f t="shared" si="23"/>
        <v/>
      </c>
      <c r="N194" s="983"/>
      <c r="O194" s="982" t="str">
        <f t="shared" ca="1" si="18"/>
        <v/>
      </c>
      <c r="P194" s="991" t="str">
        <f t="shared" ca="1" si="19"/>
        <v/>
      </c>
      <c r="S194" s="147" t="str">
        <f t="shared" si="20"/>
        <v/>
      </c>
      <c r="T194" s="147" t="str">
        <f t="shared" ca="1" si="21"/>
        <v/>
      </c>
      <c r="U194" s="147" t="str">
        <f t="shared" ca="1" si="22"/>
        <v/>
      </c>
    </row>
    <row r="195" spans="1:21" s="147" customFormat="1" ht="14.4" x14ac:dyDescent="0.3">
      <c r="A195" s="139" t="str">
        <f t="shared" si="16"/>
        <v/>
      </c>
      <c r="B195" s="984">
        <v>187</v>
      </c>
      <c r="C195" s="975"/>
      <c r="D195" s="1067"/>
      <c r="E195" s="976"/>
      <c r="F195" s="1035"/>
      <c r="G195" s="1087"/>
      <c r="H195" s="975"/>
      <c r="I195" s="978"/>
      <c r="J195" s="975" t="str">
        <f t="shared" si="17"/>
        <v/>
      </c>
      <c r="K195" s="979"/>
      <c r="L195" s="979"/>
      <c r="M195" s="980" t="str">
        <f t="shared" si="23"/>
        <v/>
      </c>
      <c r="N195" s="983"/>
      <c r="O195" s="982" t="str">
        <f t="shared" ca="1" si="18"/>
        <v/>
      </c>
      <c r="P195" s="991" t="str">
        <f t="shared" ca="1" si="19"/>
        <v/>
      </c>
      <c r="S195" s="147" t="str">
        <f t="shared" si="20"/>
        <v/>
      </c>
      <c r="T195" s="147" t="str">
        <f t="shared" ca="1" si="21"/>
        <v/>
      </c>
      <c r="U195" s="147" t="str">
        <f t="shared" ca="1" si="22"/>
        <v/>
      </c>
    </row>
    <row r="196" spans="1:21" s="147" customFormat="1" ht="14.4" x14ac:dyDescent="0.3">
      <c r="A196" s="139" t="str">
        <f t="shared" si="16"/>
        <v/>
      </c>
      <c r="B196" s="984">
        <v>188</v>
      </c>
      <c r="C196" s="975"/>
      <c r="D196" s="1067"/>
      <c r="E196" s="976"/>
      <c r="F196" s="1035"/>
      <c r="G196" s="1087"/>
      <c r="H196" s="975"/>
      <c r="I196" s="978"/>
      <c r="J196" s="975" t="str">
        <f t="shared" si="17"/>
        <v/>
      </c>
      <c r="K196" s="979"/>
      <c r="L196" s="979"/>
      <c r="M196" s="980" t="str">
        <f t="shared" si="23"/>
        <v/>
      </c>
      <c r="N196" s="983"/>
      <c r="O196" s="982" t="str">
        <f t="shared" ca="1" si="18"/>
        <v/>
      </c>
      <c r="P196" s="991" t="str">
        <f t="shared" ca="1" si="19"/>
        <v/>
      </c>
      <c r="S196" s="147" t="str">
        <f t="shared" si="20"/>
        <v/>
      </c>
      <c r="T196" s="147" t="str">
        <f t="shared" ca="1" si="21"/>
        <v/>
      </c>
      <c r="U196" s="147" t="str">
        <f t="shared" ca="1" si="22"/>
        <v/>
      </c>
    </row>
    <row r="197" spans="1:21" s="147" customFormat="1" ht="14.4" x14ac:dyDescent="0.3">
      <c r="A197" s="139" t="str">
        <f t="shared" si="16"/>
        <v/>
      </c>
      <c r="B197" s="984">
        <v>189</v>
      </c>
      <c r="C197" s="975"/>
      <c r="D197" s="1067"/>
      <c r="E197" s="976"/>
      <c r="F197" s="1035"/>
      <c r="G197" s="1087"/>
      <c r="H197" s="975"/>
      <c r="I197" s="978"/>
      <c r="J197" s="975" t="str">
        <f t="shared" si="17"/>
        <v/>
      </c>
      <c r="K197" s="979"/>
      <c r="L197" s="979"/>
      <c r="M197" s="980" t="str">
        <f t="shared" si="23"/>
        <v/>
      </c>
      <c r="N197" s="983"/>
      <c r="O197" s="982" t="str">
        <f t="shared" ca="1" si="18"/>
        <v/>
      </c>
      <c r="P197" s="991" t="str">
        <f t="shared" ca="1" si="19"/>
        <v/>
      </c>
      <c r="S197" s="147" t="str">
        <f t="shared" si="20"/>
        <v/>
      </c>
      <c r="T197" s="147" t="str">
        <f t="shared" ca="1" si="21"/>
        <v/>
      </c>
      <c r="U197" s="147" t="str">
        <f t="shared" ca="1" si="22"/>
        <v/>
      </c>
    </row>
    <row r="198" spans="1:21" s="147" customFormat="1" ht="14.4" x14ac:dyDescent="0.3">
      <c r="A198" s="139" t="str">
        <f t="shared" si="16"/>
        <v/>
      </c>
      <c r="B198" s="984">
        <v>190</v>
      </c>
      <c r="C198" s="975"/>
      <c r="D198" s="1067"/>
      <c r="E198" s="976"/>
      <c r="F198" s="1035"/>
      <c r="G198" s="1087"/>
      <c r="H198" s="975"/>
      <c r="I198" s="978"/>
      <c r="J198" s="975" t="str">
        <f t="shared" si="17"/>
        <v/>
      </c>
      <c r="K198" s="979"/>
      <c r="L198" s="979"/>
      <c r="M198" s="980" t="str">
        <f t="shared" si="23"/>
        <v/>
      </c>
      <c r="N198" s="983"/>
      <c r="O198" s="982" t="str">
        <f t="shared" ca="1" si="18"/>
        <v/>
      </c>
      <c r="P198" s="991" t="str">
        <f t="shared" ca="1" si="19"/>
        <v/>
      </c>
      <c r="S198" s="147" t="str">
        <f t="shared" si="20"/>
        <v/>
      </c>
      <c r="T198" s="147" t="str">
        <f t="shared" ca="1" si="21"/>
        <v/>
      </c>
      <c r="U198" s="147" t="str">
        <f t="shared" ca="1" si="22"/>
        <v/>
      </c>
    </row>
    <row r="199" spans="1:21" s="147" customFormat="1" ht="14.4" x14ac:dyDescent="0.3">
      <c r="A199" s="139" t="str">
        <f t="shared" si="16"/>
        <v/>
      </c>
      <c r="B199" s="984">
        <v>191</v>
      </c>
      <c r="C199" s="975"/>
      <c r="D199" s="1067"/>
      <c r="E199" s="976"/>
      <c r="F199" s="1035"/>
      <c r="G199" s="1087"/>
      <c r="H199" s="975"/>
      <c r="I199" s="978"/>
      <c r="J199" s="975" t="str">
        <f t="shared" si="17"/>
        <v/>
      </c>
      <c r="K199" s="979"/>
      <c r="L199" s="979"/>
      <c r="M199" s="980" t="str">
        <f t="shared" si="23"/>
        <v/>
      </c>
      <c r="N199" s="983"/>
      <c r="O199" s="982" t="str">
        <f t="shared" ca="1" si="18"/>
        <v/>
      </c>
      <c r="P199" s="991" t="str">
        <f t="shared" ca="1" si="19"/>
        <v/>
      </c>
      <c r="S199" s="147" t="str">
        <f t="shared" si="20"/>
        <v/>
      </c>
      <c r="T199" s="147" t="str">
        <f t="shared" ca="1" si="21"/>
        <v/>
      </c>
      <c r="U199" s="147" t="str">
        <f t="shared" ca="1" si="22"/>
        <v/>
      </c>
    </row>
    <row r="200" spans="1:21" s="147" customFormat="1" ht="14.4" x14ac:dyDescent="0.3">
      <c r="A200" s="139" t="str">
        <f t="shared" si="16"/>
        <v/>
      </c>
      <c r="B200" s="984">
        <v>192</v>
      </c>
      <c r="C200" s="975"/>
      <c r="D200" s="1067"/>
      <c r="E200" s="976"/>
      <c r="F200" s="1035"/>
      <c r="G200" s="1087"/>
      <c r="H200" s="975"/>
      <c r="I200" s="978"/>
      <c r="J200" s="975" t="str">
        <f t="shared" si="17"/>
        <v/>
      </c>
      <c r="K200" s="979"/>
      <c r="L200" s="979"/>
      <c r="M200" s="980" t="str">
        <f t="shared" si="23"/>
        <v/>
      </c>
      <c r="N200" s="983"/>
      <c r="O200" s="982" t="str">
        <f t="shared" ca="1" si="18"/>
        <v/>
      </c>
      <c r="P200" s="991" t="str">
        <f t="shared" ca="1" si="19"/>
        <v/>
      </c>
      <c r="S200" s="147" t="str">
        <f t="shared" si="20"/>
        <v/>
      </c>
      <c r="T200" s="147" t="str">
        <f t="shared" ca="1" si="21"/>
        <v/>
      </c>
      <c r="U200" s="147" t="str">
        <f t="shared" ca="1" si="22"/>
        <v/>
      </c>
    </row>
    <row r="201" spans="1:21" s="147" customFormat="1" ht="14.4" x14ac:dyDescent="0.3">
      <c r="A201" s="139" t="str">
        <f t="shared" ref="A201:A221" si="24">IF(M201=1,N201,"")</f>
        <v/>
      </c>
      <c r="B201" s="984">
        <v>193</v>
      </c>
      <c r="C201" s="975"/>
      <c r="D201" s="1067"/>
      <c r="E201" s="976"/>
      <c r="F201" s="1035"/>
      <c r="G201" s="1087"/>
      <c r="H201" s="975"/>
      <c r="I201" s="978"/>
      <c r="J201" s="975" t="str">
        <f t="shared" ref="J201:J222" si="25">IF(I201&lt;&gt;"",H201-1+INT(I201),"")</f>
        <v/>
      </c>
      <c r="K201" s="979"/>
      <c r="L201" s="979"/>
      <c r="M201" s="980" t="str">
        <f t="shared" si="23"/>
        <v/>
      </c>
      <c r="N201" s="983"/>
      <c r="O201" s="982" t="str">
        <f t="shared" ref="O201:O223" ca="1" si="26">IF(J201&lt;&gt;"",
IF(J201&gt;TODAY(),
IF((TODAY()-H201)/(J201-H201)&gt;0,(TODAY()-H201)/(J201-H201),0),100%),"")</f>
        <v/>
      </c>
      <c r="P201" s="991" t="str">
        <f t="shared" ref="P201:P223" ca="1" si="27">IF(T201&gt;0,U201,"0/"&amp;S201)</f>
        <v/>
      </c>
      <c r="S201" s="147" t="str">
        <f t="shared" si="20"/>
        <v/>
      </c>
      <c r="T201" s="147" t="str">
        <f t="shared" ca="1" si="21"/>
        <v/>
      </c>
      <c r="U201" s="147" t="str">
        <f t="shared" ca="1" si="22"/>
        <v/>
      </c>
    </row>
    <row r="202" spans="1:21" s="147" customFormat="1" ht="14.4" x14ac:dyDescent="0.3">
      <c r="A202" s="139" t="str">
        <f t="shared" si="24"/>
        <v/>
      </c>
      <c r="B202" s="984">
        <v>194</v>
      </c>
      <c r="C202" s="975"/>
      <c r="D202" s="1067"/>
      <c r="E202" s="976"/>
      <c r="F202" s="1035"/>
      <c r="G202" s="1087"/>
      <c r="H202" s="975"/>
      <c r="I202" s="978"/>
      <c r="J202" s="975" t="str">
        <f t="shared" si="25"/>
        <v/>
      </c>
      <c r="K202" s="979"/>
      <c r="L202" s="979"/>
      <c r="M202" s="980" t="str">
        <f t="shared" si="23"/>
        <v/>
      </c>
      <c r="N202" s="983"/>
      <c r="O202" s="982" t="str">
        <f t="shared" ca="1" si="26"/>
        <v/>
      </c>
      <c r="P202" s="991" t="str">
        <f t="shared" ca="1" si="27"/>
        <v/>
      </c>
      <c r="S202" s="147" t="str">
        <f t="shared" ref="S202:S223" si="28">IF(J202&lt;&gt;"",J202-H202+1,"")</f>
        <v/>
      </c>
      <c r="T202" s="147" t="str">
        <f t="shared" ref="T202:T223" ca="1" si="29">IF(H202&lt;&gt;"",(TODAY()-H202),"")</f>
        <v/>
      </c>
      <c r="U202" s="147" t="str">
        <f t="shared" ref="U202:U223" ca="1" si="30">IF(T202&lt;&gt;"",T202&amp;"/"&amp;S202,"")</f>
        <v/>
      </c>
    </row>
    <row r="203" spans="1:21" s="147" customFormat="1" ht="14.4" x14ac:dyDescent="0.3">
      <c r="A203" s="139" t="str">
        <f t="shared" si="24"/>
        <v/>
      </c>
      <c r="B203" s="984">
        <v>195</v>
      </c>
      <c r="C203" s="975"/>
      <c r="D203" s="1067"/>
      <c r="E203" s="976"/>
      <c r="F203" s="1035"/>
      <c r="G203" s="1087"/>
      <c r="H203" s="975"/>
      <c r="I203" s="978"/>
      <c r="J203" s="975" t="str">
        <f t="shared" si="25"/>
        <v/>
      </c>
      <c r="K203" s="979"/>
      <c r="L203" s="979"/>
      <c r="M203" s="980" t="str">
        <f t="shared" si="23"/>
        <v/>
      </c>
      <c r="N203" s="983"/>
      <c r="O203" s="982" t="str">
        <f t="shared" ca="1" si="26"/>
        <v/>
      </c>
      <c r="P203" s="991" t="str">
        <f t="shared" ca="1" si="27"/>
        <v/>
      </c>
      <c r="S203" s="147" t="str">
        <f t="shared" si="28"/>
        <v/>
      </c>
      <c r="T203" s="147" t="str">
        <f t="shared" ca="1" si="29"/>
        <v/>
      </c>
      <c r="U203" s="147" t="str">
        <f t="shared" ca="1" si="30"/>
        <v/>
      </c>
    </row>
    <row r="204" spans="1:21" s="147" customFormat="1" ht="14.4" x14ac:dyDescent="0.3">
      <c r="A204" s="139" t="str">
        <f t="shared" si="24"/>
        <v/>
      </c>
      <c r="B204" s="984">
        <v>196</v>
      </c>
      <c r="C204" s="975"/>
      <c r="D204" s="1067"/>
      <c r="E204" s="976"/>
      <c r="F204" s="1035"/>
      <c r="G204" s="1087"/>
      <c r="H204" s="975"/>
      <c r="I204" s="978"/>
      <c r="J204" s="975" t="str">
        <f t="shared" si="25"/>
        <v/>
      </c>
      <c r="K204" s="979"/>
      <c r="L204" s="979"/>
      <c r="M204" s="980" t="str">
        <f t="shared" ref="M204:M222" si="31">IF(N204&lt;&gt;0,3,"")</f>
        <v/>
      </c>
      <c r="N204" s="983"/>
      <c r="O204" s="982" t="str">
        <f t="shared" ca="1" si="26"/>
        <v/>
      </c>
      <c r="P204" s="991" t="str">
        <f t="shared" ca="1" si="27"/>
        <v/>
      </c>
      <c r="S204" s="147" t="str">
        <f t="shared" si="28"/>
        <v/>
      </c>
      <c r="T204" s="147" t="str">
        <f t="shared" ca="1" si="29"/>
        <v/>
      </c>
      <c r="U204" s="147" t="str">
        <f t="shared" ca="1" si="30"/>
        <v/>
      </c>
    </row>
    <row r="205" spans="1:21" s="147" customFormat="1" ht="14.4" x14ac:dyDescent="0.3">
      <c r="A205" s="139" t="str">
        <f t="shared" si="24"/>
        <v/>
      </c>
      <c r="B205" s="984">
        <v>197</v>
      </c>
      <c r="C205" s="975"/>
      <c r="D205" s="1067"/>
      <c r="E205" s="976"/>
      <c r="F205" s="1035"/>
      <c r="G205" s="1087"/>
      <c r="H205" s="975"/>
      <c r="I205" s="978"/>
      <c r="J205" s="975" t="str">
        <f t="shared" si="25"/>
        <v/>
      </c>
      <c r="K205" s="979"/>
      <c r="L205" s="979"/>
      <c r="M205" s="980" t="str">
        <f t="shared" si="31"/>
        <v/>
      </c>
      <c r="N205" s="983"/>
      <c r="O205" s="982" t="str">
        <f t="shared" ca="1" si="26"/>
        <v/>
      </c>
      <c r="P205" s="991" t="str">
        <f t="shared" ca="1" si="27"/>
        <v/>
      </c>
      <c r="S205" s="147" t="str">
        <f t="shared" si="28"/>
        <v/>
      </c>
      <c r="T205" s="147" t="str">
        <f t="shared" ca="1" si="29"/>
        <v/>
      </c>
      <c r="U205" s="147" t="str">
        <f t="shared" ca="1" si="30"/>
        <v/>
      </c>
    </row>
    <row r="206" spans="1:21" s="147" customFormat="1" ht="14.4" x14ac:dyDescent="0.3">
      <c r="A206" s="139" t="str">
        <f t="shared" si="24"/>
        <v/>
      </c>
      <c r="B206" s="984">
        <v>198</v>
      </c>
      <c r="C206" s="975"/>
      <c r="D206" s="1067"/>
      <c r="E206" s="976"/>
      <c r="F206" s="1035"/>
      <c r="G206" s="1087"/>
      <c r="H206" s="975"/>
      <c r="I206" s="978"/>
      <c r="J206" s="975" t="str">
        <f t="shared" si="25"/>
        <v/>
      </c>
      <c r="K206" s="979"/>
      <c r="L206" s="979"/>
      <c r="M206" s="980" t="str">
        <f t="shared" si="31"/>
        <v/>
      </c>
      <c r="N206" s="983"/>
      <c r="O206" s="982" t="str">
        <f t="shared" ca="1" si="26"/>
        <v/>
      </c>
      <c r="P206" s="991" t="str">
        <f t="shared" ca="1" si="27"/>
        <v/>
      </c>
      <c r="S206" s="147" t="str">
        <f t="shared" si="28"/>
        <v/>
      </c>
      <c r="T206" s="147" t="str">
        <f t="shared" ca="1" si="29"/>
        <v/>
      </c>
      <c r="U206" s="147" t="str">
        <f t="shared" ca="1" si="30"/>
        <v/>
      </c>
    </row>
    <row r="207" spans="1:21" s="147" customFormat="1" ht="14.4" x14ac:dyDescent="0.3">
      <c r="A207" s="139" t="str">
        <f t="shared" si="24"/>
        <v/>
      </c>
      <c r="B207" s="984">
        <v>199</v>
      </c>
      <c r="C207" s="975"/>
      <c r="D207" s="1067"/>
      <c r="E207" s="976"/>
      <c r="F207" s="1035"/>
      <c r="G207" s="1087"/>
      <c r="H207" s="975"/>
      <c r="I207" s="978"/>
      <c r="J207" s="975" t="str">
        <f t="shared" si="25"/>
        <v/>
      </c>
      <c r="K207" s="979"/>
      <c r="L207" s="979"/>
      <c r="M207" s="980" t="str">
        <f t="shared" si="31"/>
        <v/>
      </c>
      <c r="N207" s="983"/>
      <c r="O207" s="982" t="str">
        <f t="shared" ca="1" si="26"/>
        <v/>
      </c>
      <c r="P207" s="991" t="str">
        <f t="shared" ca="1" si="27"/>
        <v/>
      </c>
      <c r="S207" s="147" t="str">
        <f t="shared" si="28"/>
        <v/>
      </c>
      <c r="T207" s="147" t="str">
        <f t="shared" ca="1" si="29"/>
        <v/>
      </c>
      <c r="U207" s="147" t="str">
        <f t="shared" ca="1" si="30"/>
        <v/>
      </c>
    </row>
    <row r="208" spans="1:21" s="147" customFormat="1" ht="14.4" x14ac:dyDescent="0.3">
      <c r="A208" s="139" t="str">
        <f t="shared" si="24"/>
        <v/>
      </c>
      <c r="B208" s="984">
        <v>200</v>
      </c>
      <c r="C208" s="975"/>
      <c r="D208" s="1067"/>
      <c r="E208" s="976"/>
      <c r="F208" s="1035"/>
      <c r="G208" s="1087"/>
      <c r="H208" s="975"/>
      <c r="I208" s="978"/>
      <c r="J208" s="975" t="str">
        <f t="shared" si="25"/>
        <v/>
      </c>
      <c r="K208" s="979"/>
      <c r="L208" s="979"/>
      <c r="M208" s="980" t="str">
        <f t="shared" si="31"/>
        <v/>
      </c>
      <c r="N208" s="983"/>
      <c r="O208" s="982" t="str">
        <f t="shared" ca="1" si="26"/>
        <v/>
      </c>
      <c r="P208" s="991" t="str">
        <f t="shared" ca="1" si="27"/>
        <v/>
      </c>
      <c r="S208" s="147" t="str">
        <f t="shared" si="28"/>
        <v/>
      </c>
      <c r="T208" s="147" t="str">
        <f t="shared" ca="1" si="29"/>
        <v/>
      </c>
      <c r="U208" s="147" t="str">
        <f t="shared" ca="1" si="30"/>
        <v/>
      </c>
    </row>
    <row r="209" spans="1:21" s="147" customFormat="1" ht="14.4" x14ac:dyDescent="0.3">
      <c r="A209" s="139" t="str">
        <f t="shared" si="24"/>
        <v/>
      </c>
      <c r="B209" s="984">
        <v>201</v>
      </c>
      <c r="C209" s="975"/>
      <c r="D209" s="1067"/>
      <c r="E209" s="976"/>
      <c r="F209" s="1035"/>
      <c r="G209" s="1087"/>
      <c r="H209" s="975"/>
      <c r="I209" s="978"/>
      <c r="J209" s="975" t="str">
        <f t="shared" si="25"/>
        <v/>
      </c>
      <c r="K209" s="979"/>
      <c r="L209" s="979"/>
      <c r="M209" s="980" t="str">
        <f t="shared" si="31"/>
        <v/>
      </c>
      <c r="N209" s="983"/>
      <c r="O209" s="982" t="str">
        <f t="shared" ca="1" si="26"/>
        <v/>
      </c>
      <c r="P209" s="991" t="str">
        <f t="shared" ca="1" si="27"/>
        <v/>
      </c>
      <c r="S209" s="147" t="str">
        <f t="shared" si="28"/>
        <v/>
      </c>
      <c r="T209" s="147" t="str">
        <f t="shared" ca="1" si="29"/>
        <v/>
      </c>
      <c r="U209" s="147" t="str">
        <f t="shared" ca="1" si="30"/>
        <v/>
      </c>
    </row>
    <row r="210" spans="1:21" s="147" customFormat="1" ht="14.4" x14ac:dyDescent="0.3">
      <c r="A210" s="139" t="str">
        <f t="shared" si="24"/>
        <v/>
      </c>
      <c r="B210" s="984">
        <v>202</v>
      </c>
      <c r="C210" s="975"/>
      <c r="D210" s="1067"/>
      <c r="E210" s="976"/>
      <c r="F210" s="1035"/>
      <c r="G210" s="1087"/>
      <c r="H210" s="975"/>
      <c r="I210" s="978"/>
      <c r="J210" s="975" t="str">
        <f t="shared" si="25"/>
        <v/>
      </c>
      <c r="K210" s="979"/>
      <c r="L210" s="979"/>
      <c r="M210" s="980" t="str">
        <f t="shared" si="31"/>
        <v/>
      </c>
      <c r="N210" s="983"/>
      <c r="O210" s="982" t="str">
        <f t="shared" ca="1" si="26"/>
        <v/>
      </c>
      <c r="P210" s="991" t="str">
        <f t="shared" ca="1" si="27"/>
        <v/>
      </c>
      <c r="S210" s="147" t="str">
        <f t="shared" si="28"/>
        <v/>
      </c>
      <c r="T210" s="147" t="str">
        <f t="shared" ca="1" si="29"/>
        <v/>
      </c>
      <c r="U210" s="147" t="str">
        <f t="shared" ca="1" si="30"/>
        <v/>
      </c>
    </row>
    <row r="211" spans="1:21" s="147" customFormat="1" ht="14.4" x14ac:dyDescent="0.3">
      <c r="A211" s="139" t="str">
        <f t="shared" si="24"/>
        <v/>
      </c>
      <c r="B211" s="984">
        <v>203</v>
      </c>
      <c r="C211" s="975"/>
      <c r="D211" s="1067"/>
      <c r="E211" s="976"/>
      <c r="F211" s="1035"/>
      <c r="G211" s="1087"/>
      <c r="H211" s="975"/>
      <c r="I211" s="978"/>
      <c r="J211" s="975" t="str">
        <f t="shared" si="25"/>
        <v/>
      </c>
      <c r="K211" s="979"/>
      <c r="L211" s="979"/>
      <c r="M211" s="980" t="str">
        <f t="shared" si="31"/>
        <v/>
      </c>
      <c r="N211" s="983"/>
      <c r="O211" s="982" t="str">
        <f t="shared" ca="1" si="26"/>
        <v/>
      </c>
      <c r="P211" s="991" t="str">
        <f t="shared" ca="1" si="27"/>
        <v/>
      </c>
      <c r="S211" s="147" t="str">
        <f t="shared" si="28"/>
        <v/>
      </c>
      <c r="T211" s="147" t="str">
        <f t="shared" ca="1" si="29"/>
        <v/>
      </c>
      <c r="U211" s="147" t="str">
        <f t="shared" ca="1" si="30"/>
        <v/>
      </c>
    </row>
    <row r="212" spans="1:21" s="147" customFormat="1" ht="14.4" x14ac:dyDescent="0.3">
      <c r="A212" s="139" t="str">
        <f t="shared" si="24"/>
        <v/>
      </c>
      <c r="B212" s="984">
        <v>204</v>
      </c>
      <c r="C212" s="975"/>
      <c r="D212" s="1067"/>
      <c r="E212" s="976"/>
      <c r="F212" s="1035"/>
      <c r="G212" s="1087"/>
      <c r="H212" s="975"/>
      <c r="I212" s="978"/>
      <c r="J212" s="975" t="str">
        <f t="shared" si="25"/>
        <v/>
      </c>
      <c r="K212" s="979"/>
      <c r="L212" s="979"/>
      <c r="M212" s="980" t="str">
        <f t="shared" si="31"/>
        <v/>
      </c>
      <c r="N212" s="983"/>
      <c r="O212" s="982" t="str">
        <f t="shared" ca="1" si="26"/>
        <v/>
      </c>
      <c r="P212" s="991" t="str">
        <f t="shared" ca="1" si="27"/>
        <v/>
      </c>
      <c r="S212" s="147" t="str">
        <f t="shared" si="28"/>
        <v/>
      </c>
      <c r="T212" s="147" t="str">
        <f t="shared" ca="1" si="29"/>
        <v/>
      </c>
      <c r="U212" s="147" t="str">
        <f t="shared" ca="1" si="30"/>
        <v/>
      </c>
    </row>
    <row r="213" spans="1:21" s="147" customFormat="1" ht="14.4" x14ac:dyDescent="0.3">
      <c r="A213" s="139" t="str">
        <f t="shared" si="24"/>
        <v/>
      </c>
      <c r="B213" s="984">
        <v>205</v>
      </c>
      <c r="C213" s="975"/>
      <c r="D213" s="1067"/>
      <c r="E213" s="976"/>
      <c r="F213" s="1035"/>
      <c r="G213" s="1087"/>
      <c r="H213" s="975"/>
      <c r="I213" s="978"/>
      <c r="J213" s="975" t="str">
        <f t="shared" si="25"/>
        <v/>
      </c>
      <c r="K213" s="979"/>
      <c r="L213" s="979"/>
      <c r="M213" s="980" t="str">
        <f t="shared" si="31"/>
        <v/>
      </c>
      <c r="N213" s="983"/>
      <c r="O213" s="982" t="str">
        <f t="shared" ca="1" si="26"/>
        <v/>
      </c>
      <c r="P213" s="991" t="str">
        <f t="shared" ca="1" si="27"/>
        <v/>
      </c>
      <c r="S213" s="147" t="str">
        <f t="shared" si="28"/>
        <v/>
      </c>
      <c r="T213" s="147" t="str">
        <f t="shared" ca="1" si="29"/>
        <v/>
      </c>
      <c r="U213" s="147" t="str">
        <f t="shared" ca="1" si="30"/>
        <v/>
      </c>
    </row>
    <row r="214" spans="1:21" s="147" customFormat="1" ht="14.4" x14ac:dyDescent="0.3">
      <c r="A214" s="139" t="str">
        <f t="shared" si="24"/>
        <v/>
      </c>
      <c r="B214" s="984">
        <v>206</v>
      </c>
      <c r="C214" s="975"/>
      <c r="D214" s="1067"/>
      <c r="E214" s="976"/>
      <c r="F214" s="1035"/>
      <c r="G214" s="1087"/>
      <c r="H214" s="975"/>
      <c r="I214" s="978"/>
      <c r="J214" s="975" t="str">
        <f t="shared" si="25"/>
        <v/>
      </c>
      <c r="K214" s="979"/>
      <c r="L214" s="979"/>
      <c r="M214" s="980" t="str">
        <f t="shared" si="31"/>
        <v/>
      </c>
      <c r="N214" s="983"/>
      <c r="O214" s="982" t="str">
        <f t="shared" ca="1" si="26"/>
        <v/>
      </c>
      <c r="P214" s="991" t="str">
        <f t="shared" ca="1" si="27"/>
        <v/>
      </c>
      <c r="S214" s="147" t="str">
        <f t="shared" si="28"/>
        <v/>
      </c>
      <c r="T214" s="147" t="str">
        <f t="shared" ca="1" si="29"/>
        <v/>
      </c>
      <c r="U214" s="147" t="str">
        <f t="shared" ca="1" si="30"/>
        <v/>
      </c>
    </row>
    <row r="215" spans="1:21" s="147" customFormat="1" ht="14.4" x14ac:dyDescent="0.3">
      <c r="A215" s="139" t="str">
        <f t="shared" si="24"/>
        <v/>
      </c>
      <c r="B215" s="984">
        <v>207</v>
      </c>
      <c r="C215" s="975"/>
      <c r="D215" s="1067"/>
      <c r="E215" s="976"/>
      <c r="F215" s="1035"/>
      <c r="G215" s="1087"/>
      <c r="H215" s="975"/>
      <c r="I215" s="978"/>
      <c r="J215" s="975" t="str">
        <f t="shared" si="25"/>
        <v/>
      </c>
      <c r="K215" s="979"/>
      <c r="L215" s="979"/>
      <c r="M215" s="980" t="str">
        <f t="shared" si="31"/>
        <v/>
      </c>
      <c r="N215" s="983"/>
      <c r="O215" s="982" t="str">
        <f t="shared" ca="1" si="26"/>
        <v/>
      </c>
      <c r="P215" s="991" t="str">
        <f t="shared" ca="1" si="27"/>
        <v/>
      </c>
      <c r="S215" s="147" t="str">
        <f t="shared" si="28"/>
        <v/>
      </c>
      <c r="T215" s="147" t="str">
        <f t="shared" ca="1" si="29"/>
        <v/>
      </c>
      <c r="U215" s="147" t="str">
        <f t="shared" ca="1" si="30"/>
        <v/>
      </c>
    </row>
    <row r="216" spans="1:21" s="147" customFormat="1" ht="14.4" x14ac:dyDescent="0.3">
      <c r="A216" s="139" t="str">
        <f t="shared" si="24"/>
        <v/>
      </c>
      <c r="B216" s="984">
        <v>208</v>
      </c>
      <c r="C216" s="975"/>
      <c r="D216" s="1067"/>
      <c r="E216" s="976"/>
      <c r="F216" s="1035"/>
      <c r="G216" s="1087"/>
      <c r="H216" s="975"/>
      <c r="I216" s="978"/>
      <c r="J216" s="975" t="str">
        <f t="shared" si="25"/>
        <v/>
      </c>
      <c r="K216" s="979"/>
      <c r="L216" s="979"/>
      <c r="M216" s="980" t="str">
        <f t="shared" si="31"/>
        <v/>
      </c>
      <c r="N216" s="983"/>
      <c r="O216" s="982" t="str">
        <f t="shared" ca="1" si="26"/>
        <v/>
      </c>
      <c r="P216" s="991" t="str">
        <f t="shared" ca="1" si="27"/>
        <v/>
      </c>
      <c r="S216" s="147" t="str">
        <f t="shared" si="28"/>
        <v/>
      </c>
      <c r="T216" s="147" t="str">
        <f t="shared" ca="1" si="29"/>
        <v/>
      </c>
      <c r="U216" s="147" t="str">
        <f t="shared" ca="1" si="30"/>
        <v/>
      </c>
    </row>
    <row r="217" spans="1:21" s="147" customFormat="1" ht="14.4" x14ac:dyDescent="0.3">
      <c r="A217" s="139" t="str">
        <f t="shared" si="24"/>
        <v/>
      </c>
      <c r="B217" s="984">
        <v>209</v>
      </c>
      <c r="C217" s="975"/>
      <c r="D217" s="1067"/>
      <c r="E217" s="976"/>
      <c r="F217" s="1035"/>
      <c r="G217" s="1087"/>
      <c r="H217" s="975"/>
      <c r="I217" s="978"/>
      <c r="J217" s="975" t="str">
        <f t="shared" si="25"/>
        <v/>
      </c>
      <c r="K217" s="979"/>
      <c r="L217" s="979"/>
      <c r="M217" s="980" t="str">
        <f t="shared" si="31"/>
        <v/>
      </c>
      <c r="N217" s="983"/>
      <c r="O217" s="982" t="str">
        <f t="shared" ca="1" si="26"/>
        <v/>
      </c>
      <c r="P217" s="991" t="str">
        <f t="shared" ca="1" si="27"/>
        <v/>
      </c>
      <c r="S217" s="147" t="str">
        <f t="shared" si="28"/>
        <v/>
      </c>
      <c r="T217" s="147" t="str">
        <f t="shared" ca="1" si="29"/>
        <v/>
      </c>
      <c r="U217" s="147" t="str">
        <f t="shared" ca="1" si="30"/>
        <v/>
      </c>
    </row>
    <row r="218" spans="1:21" s="147" customFormat="1" ht="14.4" x14ac:dyDescent="0.3">
      <c r="A218" s="139" t="str">
        <f t="shared" si="24"/>
        <v/>
      </c>
      <c r="B218" s="984">
        <v>210</v>
      </c>
      <c r="C218" s="975"/>
      <c r="D218" s="1067"/>
      <c r="E218" s="976"/>
      <c r="F218" s="1035"/>
      <c r="G218" s="1087"/>
      <c r="H218" s="975"/>
      <c r="I218" s="978"/>
      <c r="J218" s="975" t="str">
        <f t="shared" si="25"/>
        <v/>
      </c>
      <c r="K218" s="979"/>
      <c r="L218" s="979"/>
      <c r="M218" s="980" t="str">
        <f t="shared" si="31"/>
        <v/>
      </c>
      <c r="N218" s="983"/>
      <c r="O218" s="982" t="str">
        <f t="shared" ca="1" si="26"/>
        <v/>
      </c>
      <c r="P218" s="991" t="str">
        <f t="shared" ca="1" si="27"/>
        <v/>
      </c>
      <c r="S218" s="147" t="str">
        <f t="shared" si="28"/>
        <v/>
      </c>
      <c r="T218" s="147" t="str">
        <f t="shared" ca="1" si="29"/>
        <v/>
      </c>
      <c r="U218" s="147" t="str">
        <f t="shared" ca="1" si="30"/>
        <v/>
      </c>
    </row>
    <row r="219" spans="1:21" s="147" customFormat="1" ht="14.4" x14ac:dyDescent="0.3">
      <c r="A219" s="139" t="str">
        <f t="shared" si="24"/>
        <v/>
      </c>
      <c r="B219" s="984">
        <v>211</v>
      </c>
      <c r="C219" s="975"/>
      <c r="D219" s="1067"/>
      <c r="E219" s="976"/>
      <c r="F219" s="1035"/>
      <c r="G219" s="1087"/>
      <c r="H219" s="975"/>
      <c r="I219" s="978"/>
      <c r="J219" s="975" t="str">
        <f t="shared" si="25"/>
        <v/>
      </c>
      <c r="K219" s="979"/>
      <c r="L219" s="979"/>
      <c r="M219" s="980" t="str">
        <f t="shared" si="31"/>
        <v/>
      </c>
      <c r="N219" s="983"/>
      <c r="O219" s="982" t="str">
        <f t="shared" ca="1" si="26"/>
        <v/>
      </c>
      <c r="P219" s="991" t="str">
        <f t="shared" ca="1" si="27"/>
        <v/>
      </c>
      <c r="S219" s="147" t="str">
        <f t="shared" si="28"/>
        <v/>
      </c>
      <c r="T219" s="147" t="str">
        <f t="shared" ca="1" si="29"/>
        <v/>
      </c>
      <c r="U219" s="147" t="str">
        <f t="shared" ca="1" si="30"/>
        <v/>
      </c>
    </row>
    <row r="220" spans="1:21" s="147" customFormat="1" ht="14.4" x14ac:dyDescent="0.3">
      <c r="A220" s="139" t="str">
        <f t="shared" si="24"/>
        <v/>
      </c>
      <c r="B220" s="984">
        <v>212</v>
      </c>
      <c r="C220" s="975"/>
      <c r="D220" s="1067"/>
      <c r="E220" s="987"/>
      <c r="F220" s="1037"/>
      <c r="G220" s="1089"/>
      <c r="H220" s="975"/>
      <c r="I220" s="978"/>
      <c r="J220" s="975" t="str">
        <f t="shared" si="25"/>
        <v/>
      </c>
      <c r="K220" s="979"/>
      <c r="L220" s="979"/>
      <c r="M220" s="980" t="str">
        <f t="shared" si="31"/>
        <v/>
      </c>
      <c r="N220" s="983"/>
      <c r="O220" s="982" t="str">
        <f t="shared" ca="1" si="26"/>
        <v/>
      </c>
      <c r="P220" s="991" t="str">
        <f t="shared" ca="1" si="27"/>
        <v/>
      </c>
      <c r="S220" s="147" t="str">
        <f t="shared" si="28"/>
        <v/>
      </c>
      <c r="T220" s="147" t="str">
        <f t="shared" ca="1" si="29"/>
        <v/>
      </c>
      <c r="U220" s="147" t="str">
        <f t="shared" ca="1" si="30"/>
        <v/>
      </c>
    </row>
    <row r="221" spans="1:21" s="147" customFormat="1" ht="14.4" x14ac:dyDescent="0.3">
      <c r="A221" s="139" t="str">
        <f t="shared" si="24"/>
        <v/>
      </c>
      <c r="B221" s="984">
        <v>213</v>
      </c>
      <c r="C221" s="975"/>
      <c r="D221" s="1067"/>
      <c r="E221" s="976"/>
      <c r="F221" s="1035"/>
      <c r="G221" s="1087"/>
      <c r="H221" s="975"/>
      <c r="I221" s="978"/>
      <c r="J221" s="975" t="str">
        <f t="shared" si="25"/>
        <v/>
      </c>
      <c r="K221" s="979"/>
      <c r="L221" s="979"/>
      <c r="M221" s="980" t="str">
        <f t="shared" si="31"/>
        <v/>
      </c>
      <c r="N221" s="983"/>
      <c r="O221" s="982" t="str">
        <f t="shared" ca="1" si="26"/>
        <v/>
      </c>
      <c r="P221" s="991" t="str">
        <f t="shared" ca="1" si="27"/>
        <v/>
      </c>
      <c r="S221" s="147" t="str">
        <f t="shared" si="28"/>
        <v/>
      </c>
      <c r="T221" s="147" t="str">
        <f t="shared" ca="1" si="29"/>
        <v/>
      </c>
      <c r="U221" s="147" t="str">
        <f t="shared" ca="1" si="30"/>
        <v/>
      </c>
    </row>
    <row r="222" spans="1:21" s="147" customFormat="1" ht="14.4" x14ac:dyDescent="0.3">
      <c r="A222" s="139"/>
      <c r="B222" s="984">
        <v>214</v>
      </c>
      <c r="C222" s="975"/>
      <c r="D222" s="1067"/>
      <c r="E222" s="987"/>
      <c r="F222" s="1037"/>
      <c r="G222" s="1089"/>
      <c r="H222" s="975"/>
      <c r="I222" s="978"/>
      <c r="J222" s="975" t="str">
        <f t="shared" si="25"/>
        <v/>
      </c>
      <c r="K222" s="979"/>
      <c r="L222" s="979"/>
      <c r="M222" s="980" t="str">
        <f t="shared" si="31"/>
        <v/>
      </c>
      <c r="N222" s="983"/>
      <c r="O222" s="982" t="str">
        <f t="shared" ca="1" si="26"/>
        <v/>
      </c>
      <c r="P222" s="991" t="str">
        <f t="shared" ca="1" si="27"/>
        <v/>
      </c>
      <c r="S222" s="147" t="str">
        <f t="shared" si="28"/>
        <v/>
      </c>
      <c r="T222" s="147" t="str">
        <f t="shared" ca="1" si="29"/>
        <v/>
      </c>
      <c r="U222" s="147" t="str">
        <f t="shared" ca="1" si="30"/>
        <v/>
      </c>
    </row>
    <row r="223" spans="1:21" s="147" customFormat="1" ht="14.4" x14ac:dyDescent="0.3">
      <c r="A223" s="139" t="str">
        <f>IF(M223=1,N223,"")</f>
        <v/>
      </c>
      <c r="B223" s="984">
        <v>215</v>
      </c>
      <c r="C223" s="975"/>
      <c r="D223" s="1067"/>
      <c r="E223" s="976"/>
      <c r="F223" s="1035"/>
      <c r="G223" s="1087"/>
      <c r="H223" s="975"/>
      <c r="I223" s="978"/>
      <c r="J223" s="975"/>
      <c r="K223" s="979"/>
      <c r="L223" s="979"/>
      <c r="M223" s="980"/>
      <c r="N223" s="983"/>
      <c r="O223" s="982" t="str">
        <f t="shared" ca="1" si="26"/>
        <v/>
      </c>
      <c r="P223" s="991" t="str">
        <f t="shared" ca="1" si="27"/>
        <v/>
      </c>
      <c r="S223" s="147" t="str">
        <f t="shared" si="28"/>
        <v/>
      </c>
      <c r="T223" s="147" t="str">
        <f t="shared" ca="1" si="29"/>
        <v/>
      </c>
      <c r="U223" s="147" t="str">
        <f t="shared" ca="1" si="30"/>
        <v/>
      </c>
    </row>
    <row r="224" spans="1:21" x14ac:dyDescent="0.3">
      <c r="B224" s="129" t="s">
        <v>1136</v>
      </c>
      <c r="C224" s="129"/>
      <c r="D224" s="129"/>
      <c r="M224" s="149"/>
    </row>
  </sheetData>
  <sheetProtection sheet="1" objects="1" scenarios="1" formatCells="0" formatColumns="0" formatRows="0" insertHyperlinks="0" sort="0" autoFilter="0"/>
  <autoFilter ref="B8:P224" xr:uid="{00000000-0009-0000-0000-000005000000}"/>
  <sortState xmlns:xlrd2="http://schemas.microsoft.com/office/spreadsheetml/2017/richdata2" ref="B9:P223">
    <sortCondition ref="B9:B223"/>
    <sortCondition ref="H9:H223"/>
    <sortCondition ref="J9:J223"/>
  </sortState>
  <mergeCells count="1">
    <mergeCell ref="J4:P4"/>
  </mergeCells>
  <conditionalFormatting sqref="O9:O223 T8">
    <cfRule type="dataBar" priority="8">
      <dataBar>
        <cfvo type="min"/>
        <cfvo type="max"/>
        <color rgb="FF90C3D8"/>
      </dataBar>
      <extLst>
        <ext xmlns:x14="http://schemas.microsoft.com/office/spreadsheetml/2009/9/main" uri="{B025F937-C7B1-47D3-B67F-A62EFF666E3E}">
          <x14:id>{430DF0DD-7DCE-40C7-A691-7980BA270F65}</x14:id>
        </ext>
      </extLst>
    </cfRule>
  </conditionalFormatting>
  <conditionalFormatting sqref="J10">
    <cfRule type="expression" dxfId="168" priority="3">
      <formula>AND(J10&lt;&gt;"",H16&lt;&gt;1,J16&lt;TODAY())</formula>
    </cfRule>
  </conditionalFormatting>
  <conditionalFormatting sqref="J9:J223">
    <cfRule type="expression" dxfId="167" priority="1">
      <formula>AND(H9&lt;&gt;"",M9&lt;&gt;1,J9&lt;TODAY())</formula>
    </cfRule>
    <cfRule type="expression" dxfId="166" priority="2">
      <formula>AND(H9&lt;&gt;"",M9&lt;&gt;1,$J9&lt;(TODAY()+7))</formula>
    </cfRule>
  </conditionalFormatting>
  <dataValidations count="5">
    <dataValidation showInputMessage="1" promptTitle="Liste Projektteam" sqref="B6:D6" xr:uid="{00000000-0002-0000-0500-000000000000}"/>
    <dataValidation type="list" allowBlank="1" showInputMessage="1" showErrorMessage="1" errorTitle="Sorry" error="Please choose 1,2 or 3" sqref="M9:M223" xr:uid="{00000000-0002-0000-0500-000002000000}">
      <formula1>"1,2,3"</formula1>
    </dataValidation>
    <dataValidation type="date" allowBlank="1" showInputMessage="1" showErrorMessage="1" errorTitle="Date formatting" error="Pleas check the date formatting" sqref="H113:H223 J9:J223 H9:H111" xr:uid="{00000000-0002-0000-0500-000004000000}">
      <formula1>40179</formula1>
      <formula2>402133</formula2>
    </dataValidation>
    <dataValidation errorStyle="warning" allowBlank="1" showInputMessage="1" showErrorMessage="1" sqref="E5:G5" xr:uid="{A79C7096-0385-446F-824C-C64153CBE9DE}"/>
    <dataValidation allowBlank="1" showInputMessage="1" showErrorMessage="1" errorTitle="Please choose from the list" sqref="T8 O9:O223" xr:uid="{8243108D-F771-4614-A77E-CF64069564D1}"/>
  </dataValidations>
  <pageMargins left="0.78740157480314965" right="0.19685039370078741" top="0.51181102362204722" bottom="0.82677165354330717" header="0" footer="0.19685039370078741"/>
  <pageSetup paperSize="8" orientation="landscape" r:id="rId1"/>
  <headerFooter scaleWithDoc="0">
    <oddFooter>&amp;L&amp;8&amp;K01+049(c) s. imboden&amp;C&amp;8&amp;K01+049printed &amp;D&amp;R&amp;8&amp;K03+000&amp;P/&amp;N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430DF0DD-7DCE-40C7-A691-7980BA270F65}">
            <x14:dataBar minLength="0" maxLength="100" direction="leftToRight">
              <x14:cfvo type="autoMin"/>
              <x14:cfvo type="autoMax"/>
              <x14:negativeFillColor rgb="FFFF0000"/>
              <x14:axisColor rgb="FF000000"/>
            </x14:dataBar>
          </x14:cfRule>
          <xm:sqref>O9:O223 T8</xm:sqref>
        </x14:conditionalFormatting>
        <x14:conditionalFormatting xmlns:xm="http://schemas.microsoft.com/office/excel/2006/main">
          <x14:cfRule type="iconSet" priority="17475" id="{7795AEEB-D800-4852-A125-493496FA5850}">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M9:M223</xm:sqref>
        </x14:conditionalFormatting>
        <x14:conditionalFormatting xmlns:xm="http://schemas.microsoft.com/office/excel/2006/main">
          <x14:cfRule type="iconSet" priority="19881" id="{46053A01-5BD8-46BF-8495-F764FE5EF8F9}">
            <x14:iconSet iconSet="3Symbols" showValue="0" custom="1">
              <x14:cfvo type="percent">
                <xm:f>0</xm:f>
              </x14:cfvo>
              <x14:cfvo type="num">
                <xm:f>0</xm:f>
              </x14:cfvo>
              <x14:cfvo type="num">
                <xm:f>0</xm:f>
              </x14:cfvo>
              <x14:cfIcon iconSet="3Symbols" iconId="2"/>
              <x14:cfIcon iconSet="3Symbols" iconId="2"/>
              <x14:cfIcon iconSet="3Symbols" iconId="2"/>
            </x14:iconSet>
          </x14:cfRule>
          <xm:sqref>M7</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errorTitle="Name is not in the list!" error="Um einen Namen in der Liste hinzuzufügen vervollstgändigen Sie die Liste mit dem Projektteam._x000a__x000a_Pour ajouter un nom dans la liste, veuillez ajouter cette personne dans la liste de l'équipe de projet." xr:uid="{00000000-0002-0000-0500-000006000000}">
          <x14:formula1>
            <xm:f>Projektteam!$AO$1:$AO$26</xm:f>
          </x14:formula1>
          <xm:sqref>K9:K223</xm:sqref>
        </x14:dataValidation>
        <x14:dataValidation type="list" errorStyle="warning" allowBlank="1" showInputMessage="1" showErrorMessage="1" xr:uid="{00000000-0002-0000-0500-000007000000}">
          <x14:formula1>
            <xm:f>Projektteam!$BB$1:$BB$31</xm:f>
          </x14:formula1>
          <xm:sqref>K5</xm:sqref>
        </x14:dataValidation>
        <x14:dataValidation type="list" allowBlank="1" showInputMessage="1" showErrorMessage="1" xr:uid="{18257101-22AE-4F9B-AA0C-0723EB827CF2}">
          <x14:formula1>
            <xm:f>Logo!$B$21:$B$29</xm:f>
          </x14:formula1>
          <xm:sqref>L9:L223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D9FAB-6EED-4BD2-990D-E2C2DF04D39B}">
  <sheetPr codeName="Detailplan1">
    <tabColor theme="3" tint="0.59999389629810485"/>
  </sheetPr>
  <dimension ref="A1:ABT224"/>
  <sheetViews>
    <sheetView showGridLines="0" zoomScaleNormal="100" workbookViewId="0">
      <pane xSplit="16" ySplit="8" topLeftCell="Q9" activePane="bottomRight" state="frozen"/>
      <selection activeCell="C28" sqref="C28"/>
      <selection pane="topRight" activeCell="C28" sqref="C28"/>
      <selection pane="bottomLeft" activeCell="C28" sqref="C28"/>
      <selection pane="bottomRight"/>
    </sheetView>
  </sheetViews>
  <sheetFormatPr baseColWidth="10" defaultColWidth="3.88671875" defaultRowHeight="15.6" x14ac:dyDescent="0.3"/>
  <cols>
    <col min="1" max="1" width="7.88671875" style="139" customWidth="1"/>
    <col min="2" max="2" width="5.6640625" style="141" customWidth="1"/>
    <col min="3" max="3" width="6.21875" style="141" bestFit="1" customWidth="1"/>
    <col min="4" max="4" width="25.5546875" style="141" customWidth="1"/>
    <col min="5" max="5" width="54" style="142" customWidth="1"/>
    <col min="6" max="6" width="8" style="142" customWidth="1"/>
    <col min="7" max="7" width="10.6640625" style="142" bestFit="1" customWidth="1"/>
    <col min="8" max="8" width="12" style="142" bestFit="1" customWidth="1"/>
    <col min="9" max="9" width="5.88671875" style="142" customWidth="1"/>
    <col min="10" max="10" width="12" style="142" bestFit="1" customWidth="1"/>
    <col min="11" max="11" width="6.5546875" style="142" customWidth="1"/>
    <col min="12" max="12" width="14.5546875" style="148" customWidth="1"/>
    <col min="13" max="13" width="5.44140625" style="142" customWidth="1"/>
    <col min="14" max="14" width="7.33203125" style="142" bestFit="1" customWidth="1"/>
    <col min="15" max="15" width="11.109375" style="968" bestFit="1" customWidth="1"/>
    <col min="16" max="16" width="6.33203125" style="968" bestFit="1" customWidth="1"/>
    <col min="17" max="17" width="7.109375" style="142" customWidth="1"/>
    <col min="18" max="18" width="7.109375" style="1054" customWidth="1"/>
    <col min="19" max="21" width="7.109375" style="1054" hidden="1" customWidth="1"/>
    <col min="22" max="22" width="7.109375" style="1054" customWidth="1"/>
    <col min="23" max="23" width="7.109375" style="1054" hidden="1" customWidth="1"/>
    <col min="24" max="24" width="21.44140625" style="1054" customWidth="1"/>
    <col min="25" max="26" width="3.88671875" style="142" customWidth="1"/>
    <col min="27" max="27" width="6.6640625" style="142" customWidth="1"/>
    <col min="28" max="28" width="3.88671875" style="142" customWidth="1"/>
    <col min="29" max="29" width="6.44140625" style="142" customWidth="1"/>
    <col min="30" max="31" width="3.88671875" style="142" customWidth="1"/>
    <col min="32" max="32" width="7" style="142" bestFit="1" customWidth="1"/>
    <col min="33" max="33" width="6.44140625" style="142" customWidth="1"/>
    <col min="34" max="47" width="3.88671875" style="142"/>
    <col min="48" max="48" width="13.5546875" style="142" customWidth="1"/>
    <col min="49" max="49" width="9.5546875" style="142" customWidth="1"/>
    <col min="50" max="303" width="3.88671875" style="142"/>
    <col min="304" max="304" width="13.5546875" style="142" customWidth="1"/>
    <col min="305" max="305" width="9.5546875" style="142" customWidth="1"/>
    <col min="306" max="559" width="3.88671875" style="142"/>
    <col min="560" max="560" width="13.5546875" style="142" customWidth="1"/>
    <col min="561" max="561" width="9.5546875" style="142" customWidth="1"/>
    <col min="562" max="815" width="3.88671875" style="142"/>
    <col min="816" max="816" width="13.5546875" style="142" customWidth="1"/>
    <col min="817" max="817" width="9.5546875" style="142" customWidth="1"/>
    <col min="818" max="1071" width="3.88671875" style="142"/>
    <col min="1072" max="1072" width="13.5546875" style="142" customWidth="1"/>
    <col min="1073" max="1073" width="9.5546875" style="142" customWidth="1"/>
    <col min="1074" max="1327" width="3.88671875" style="142"/>
    <col min="1328" max="1328" width="13.5546875" style="142" customWidth="1"/>
    <col min="1329" max="1329" width="9.5546875" style="142" customWidth="1"/>
    <col min="1330" max="1583" width="3.88671875" style="142"/>
    <col min="1584" max="1584" width="13.5546875" style="142" customWidth="1"/>
    <col min="1585" max="1585" width="9.5546875" style="142" customWidth="1"/>
    <col min="1586" max="1839" width="3.88671875" style="142"/>
    <col min="1840" max="1840" width="13.5546875" style="142" customWidth="1"/>
    <col min="1841" max="1841" width="9.5546875" style="142" customWidth="1"/>
    <col min="1842" max="2095" width="3.88671875" style="142"/>
    <col min="2096" max="2096" width="13.5546875" style="142" customWidth="1"/>
    <col min="2097" max="2097" width="9.5546875" style="142" customWidth="1"/>
    <col min="2098" max="2351" width="3.88671875" style="142"/>
    <col min="2352" max="2352" width="13.5546875" style="142" customWidth="1"/>
    <col min="2353" max="2353" width="9.5546875" style="142" customWidth="1"/>
    <col min="2354" max="2607" width="3.88671875" style="142"/>
    <col min="2608" max="2608" width="13.5546875" style="142" customWidth="1"/>
    <col min="2609" max="2609" width="9.5546875" style="142" customWidth="1"/>
    <col min="2610" max="2863" width="3.88671875" style="142"/>
    <col min="2864" max="2864" width="13.5546875" style="142" customWidth="1"/>
    <col min="2865" max="2865" width="9.5546875" style="142" customWidth="1"/>
    <col min="2866" max="3119" width="3.88671875" style="142"/>
    <col min="3120" max="3120" width="13.5546875" style="142" customWidth="1"/>
    <col min="3121" max="3121" width="9.5546875" style="142" customWidth="1"/>
    <col min="3122" max="3375" width="3.88671875" style="142"/>
    <col min="3376" max="3376" width="13.5546875" style="142" customWidth="1"/>
    <col min="3377" max="3377" width="9.5546875" style="142" customWidth="1"/>
    <col min="3378" max="3631" width="3.88671875" style="142"/>
    <col min="3632" max="3632" width="13.5546875" style="142" customWidth="1"/>
    <col min="3633" max="3633" width="9.5546875" style="142" customWidth="1"/>
    <col min="3634" max="3887" width="3.88671875" style="142"/>
    <col min="3888" max="3888" width="13.5546875" style="142" customWidth="1"/>
    <col min="3889" max="3889" width="9.5546875" style="142" customWidth="1"/>
    <col min="3890" max="4143" width="3.88671875" style="142"/>
    <col min="4144" max="4144" width="13.5546875" style="142" customWidth="1"/>
    <col min="4145" max="4145" width="9.5546875" style="142" customWidth="1"/>
    <col min="4146" max="4399" width="3.88671875" style="142"/>
    <col min="4400" max="4400" width="13.5546875" style="142" customWidth="1"/>
    <col min="4401" max="4401" width="9.5546875" style="142" customWidth="1"/>
    <col min="4402" max="4655" width="3.88671875" style="142"/>
    <col min="4656" max="4656" width="13.5546875" style="142" customWidth="1"/>
    <col min="4657" max="4657" width="9.5546875" style="142" customWidth="1"/>
    <col min="4658" max="4911" width="3.88671875" style="142"/>
    <col min="4912" max="4912" width="13.5546875" style="142" customWidth="1"/>
    <col min="4913" max="4913" width="9.5546875" style="142" customWidth="1"/>
    <col min="4914" max="5167" width="3.88671875" style="142"/>
    <col min="5168" max="5168" width="13.5546875" style="142" customWidth="1"/>
    <col min="5169" max="5169" width="9.5546875" style="142" customWidth="1"/>
    <col min="5170" max="5423" width="3.88671875" style="142"/>
    <col min="5424" max="5424" width="13.5546875" style="142" customWidth="1"/>
    <col min="5425" max="5425" width="9.5546875" style="142" customWidth="1"/>
    <col min="5426" max="5679" width="3.88671875" style="142"/>
    <col min="5680" max="5680" width="13.5546875" style="142" customWidth="1"/>
    <col min="5681" max="5681" width="9.5546875" style="142" customWidth="1"/>
    <col min="5682" max="5935" width="3.88671875" style="142"/>
    <col min="5936" max="5936" width="13.5546875" style="142" customWidth="1"/>
    <col min="5937" max="5937" width="9.5546875" style="142" customWidth="1"/>
    <col min="5938" max="6191" width="3.88671875" style="142"/>
    <col min="6192" max="6192" width="13.5546875" style="142" customWidth="1"/>
    <col min="6193" max="6193" width="9.5546875" style="142" customWidth="1"/>
    <col min="6194" max="6447" width="3.88671875" style="142"/>
    <col min="6448" max="6448" width="13.5546875" style="142" customWidth="1"/>
    <col min="6449" max="6449" width="9.5546875" style="142" customWidth="1"/>
    <col min="6450" max="6703" width="3.88671875" style="142"/>
    <col min="6704" max="6704" width="13.5546875" style="142" customWidth="1"/>
    <col min="6705" max="6705" width="9.5546875" style="142" customWidth="1"/>
    <col min="6706" max="6959" width="3.88671875" style="142"/>
    <col min="6960" max="6960" width="13.5546875" style="142" customWidth="1"/>
    <col min="6961" max="6961" width="9.5546875" style="142" customWidth="1"/>
    <col min="6962" max="7215" width="3.88671875" style="142"/>
    <col min="7216" max="7216" width="13.5546875" style="142" customWidth="1"/>
    <col min="7217" max="7217" width="9.5546875" style="142" customWidth="1"/>
    <col min="7218" max="7471" width="3.88671875" style="142"/>
    <col min="7472" max="7472" width="13.5546875" style="142" customWidth="1"/>
    <col min="7473" max="7473" width="9.5546875" style="142" customWidth="1"/>
    <col min="7474" max="7727" width="3.88671875" style="142"/>
    <col min="7728" max="7728" width="13.5546875" style="142" customWidth="1"/>
    <col min="7729" max="7729" width="9.5546875" style="142" customWidth="1"/>
    <col min="7730" max="7983" width="3.88671875" style="142"/>
    <col min="7984" max="7984" width="13.5546875" style="142" customWidth="1"/>
    <col min="7985" max="7985" width="9.5546875" style="142" customWidth="1"/>
    <col min="7986" max="8239" width="3.88671875" style="142"/>
    <col min="8240" max="8240" width="13.5546875" style="142" customWidth="1"/>
    <col min="8241" max="8241" width="9.5546875" style="142" customWidth="1"/>
    <col min="8242" max="8495" width="3.88671875" style="142"/>
    <col min="8496" max="8496" width="13.5546875" style="142" customWidth="1"/>
    <col min="8497" max="8497" width="9.5546875" style="142" customWidth="1"/>
    <col min="8498" max="8751" width="3.88671875" style="142"/>
    <col min="8752" max="8752" width="13.5546875" style="142" customWidth="1"/>
    <col min="8753" max="8753" width="9.5546875" style="142" customWidth="1"/>
    <col min="8754" max="9007" width="3.88671875" style="142"/>
    <col min="9008" max="9008" width="13.5546875" style="142" customWidth="1"/>
    <col min="9009" max="9009" width="9.5546875" style="142" customWidth="1"/>
    <col min="9010" max="9263" width="3.88671875" style="142"/>
    <col min="9264" max="9264" width="13.5546875" style="142" customWidth="1"/>
    <col min="9265" max="9265" width="9.5546875" style="142" customWidth="1"/>
    <col min="9266" max="9519" width="3.88671875" style="142"/>
    <col min="9520" max="9520" width="13.5546875" style="142" customWidth="1"/>
    <col min="9521" max="9521" width="9.5546875" style="142" customWidth="1"/>
    <col min="9522" max="9775" width="3.88671875" style="142"/>
    <col min="9776" max="9776" width="13.5546875" style="142" customWidth="1"/>
    <col min="9777" max="9777" width="9.5546875" style="142" customWidth="1"/>
    <col min="9778" max="10031" width="3.88671875" style="142"/>
    <col min="10032" max="10032" width="13.5546875" style="142" customWidth="1"/>
    <col min="10033" max="10033" width="9.5546875" style="142" customWidth="1"/>
    <col min="10034" max="10287" width="3.88671875" style="142"/>
    <col min="10288" max="10288" width="13.5546875" style="142" customWidth="1"/>
    <col min="10289" max="10289" width="9.5546875" style="142" customWidth="1"/>
    <col min="10290" max="10543" width="3.88671875" style="142"/>
    <col min="10544" max="10544" width="13.5546875" style="142" customWidth="1"/>
    <col min="10545" max="10545" width="9.5546875" style="142" customWidth="1"/>
    <col min="10546" max="10799" width="3.88671875" style="142"/>
    <col min="10800" max="10800" width="13.5546875" style="142" customWidth="1"/>
    <col min="10801" max="10801" width="9.5546875" style="142" customWidth="1"/>
    <col min="10802" max="11055" width="3.88671875" style="142"/>
    <col min="11056" max="11056" width="13.5546875" style="142" customWidth="1"/>
    <col min="11057" max="11057" width="9.5546875" style="142" customWidth="1"/>
    <col min="11058" max="11311" width="3.88671875" style="142"/>
    <col min="11312" max="11312" width="13.5546875" style="142" customWidth="1"/>
    <col min="11313" max="11313" width="9.5546875" style="142" customWidth="1"/>
    <col min="11314" max="11567" width="3.88671875" style="142"/>
    <col min="11568" max="11568" width="13.5546875" style="142" customWidth="1"/>
    <col min="11569" max="11569" width="9.5546875" style="142" customWidth="1"/>
    <col min="11570" max="11823" width="3.88671875" style="142"/>
    <col min="11824" max="11824" width="13.5546875" style="142" customWidth="1"/>
    <col min="11825" max="11825" width="9.5546875" style="142" customWidth="1"/>
    <col min="11826" max="12079" width="3.88671875" style="142"/>
    <col min="12080" max="12080" width="13.5546875" style="142" customWidth="1"/>
    <col min="12081" max="12081" width="9.5546875" style="142" customWidth="1"/>
    <col min="12082" max="12335" width="3.88671875" style="142"/>
    <col min="12336" max="12336" width="13.5546875" style="142" customWidth="1"/>
    <col min="12337" max="12337" width="9.5546875" style="142" customWidth="1"/>
    <col min="12338" max="12591" width="3.88671875" style="142"/>
    <col min="12592" max="12592" width="13.5546875" style="142" customWidth="1"/>
    <col min="12593" max="12593" width="9.5546875" style="142" customWidth="1"/>
    <col min="12594" max="12847" width="3.88671875" style="142"/>
    <col min="12848" max="12848" width="13.5546875" style="142" customWidth="1"/>
    <col min="12849" max="12849" width="9.5546875" style="142" customWidth="1"/>
    <col min="12850" max="13103" width="3.88671875" style="142"/>
    <col min="13104" max="13104" width="13.5546875" style="142" customWidth="1"/>
    <col min="13105" max="13105" width="9.5546875" style="142" customWidth="1"/>
    <col min="13106" max="13359" width="3.88671875" style="142"/>
    <col min="13360" max="13360" width="13.5546875" style="142" customWidth="1"/>
    <col min="13361" max="13361" width="9.5546875" style="142" customWidth="1"/>
    <col min="13362" max="13615" width="3.88671875" style="142"/>
    <col min="13616" max="13616" width="13.5546875" style="142" customWidth="1"/>
    <col min="13617" max="13617" width="9.5546875" style="142" customWidth="1"/>
    <col min="13618" max="13871" width="3.88671875" style="142"/>
    <col min="13872" max="13872" width="13.5546875" style="142" customWidth="1"/>
    <col min="13873" max="13873" width="9.5546875" style="142" customWidth="1"/>
    <col min="13874" max="14127" width="3.88671875" style="142"/>
    <col min="14128" max="14128" width="13.5546875" style="142" customWidth="1"/>
    <col min="14129" max="14129" width="9.5546875" style="142" customWidth="1"/>
    <col min="14130" max="14383" width="3.88671875" style="142"/>
    <col min="14384" max="14384" width="13.5546875" style="142" customWidth="1"/>
    <col min="14385" max="14385" width="9.5546875" style="142" customWidth="1"/>
    <col min="14386" max="14639" width="3.88671875" style="142"/>
    <col min="14640" max="14640" width="13.5546875" style="142" customWidth="1"/>
    <col min="14641" max="14641" width="9.5546875" style="142" customWidth="1"/>
    <col min="14642" max="14895" width="3.88671875" style="142"/>
    <col min="14896" max="14896" width="13.5546875" style="142" customWidth="1"/>
    <col min="14897" max="14897" width="9.5546875" style="142" customWidth="1"/>
    <col min="14898" max="16384" width="3.88671875" style="142"/>
  </cols>
  <sheetData>
    <row r="1" spans="1:748" s="131" customFormat="1" ht="45" customHeight="1" x14ac:dyDescent="0.3">
      <c r="A1" s="130"/>
      <c r="B1" s="990" t="str">
        <f ca="1">' '!A151</f>
        <v>Sprint Backlog</v>
      </c>
      <c r="C1" s="950"/>
      <c r="D1" s="950"/>
      <c r="E1" s="950"/>
      <c r="F1" s="950"/>
      <c r="G1" s="950"/>
      <c r="H1" s="950"/>
      <c r="I1" s="950"/>
      <c r="J1" s="950"/>
      <c r="K1" s="950"/>
      <c r="L1" s="952"/>
      <c r="M1" s="950"/>
      <c r="N1" s="951"/>
      <c r="O1" s="964"/>
      <c r="P1" s="964"/>
      <c r="R1" s="773"/>
      <c r="S1" s="773"/>
      <c r="T1" s="773"/>
      <c r="U1" s="773"/>
      <c r="V1" s="773"/>
      <c r="W1" s="773"/>
      <c r="X1" s="773"/>
    </row>
    <row r="2" spans="1:748" s="136" customFormat="1" ht="7.5" customHeight="1" x14ac:dyDescent="0.3">
      <c r="A2" s="133"/>
      <c r="B2" s="134"/>
      <c r="C2" s="134"/>
      <c r="D2" s="134"/>
      <c r="E2" s="135"/>
      <c r="F2" s="135"/>
      <c r="G2" s="135"/>
      <c r="L2" s="137"/>
      <c r="O2" s="965"/>
      <c r="P2" s="965"/>
      <c r="R2" s="1048"/>
      <c r="S2" s="1048"/>
      <c r="T2" s="1048"/>
      <c r="U2" s="1048"/>
      <c r="V2" s="1048"/>
      <c r="W2" s="1048"/>
      <c r="X2" s="1048"/>
    </row>
    <row r="3" spans="1:748" s="112" customFormat="1" ht="18" customHeight="1" x14ac:dyDescent="0.3">
      <c r="A3" s="138"/>
      <c r="B3" s="1012" t="str">
        <f>Projektauftrag!D4</f>
        <v>P1</v>
      </c>
      <c r="C3" s="1013"/>
      <c r="D3" s="1013"/>
      <c r="E3" s="1014" t="str">
        <f ca="1">Projektauftrag!E5&amp;"  "&amp;Projektauftrag!G5</f>
        <v>Procuct Owner:  xyz xxx</v>
      </c>
      <c r="F3" s="1013"/>
      <c r="G3" s="1013"/>
      <c r="H3" s="1015"/>
      <c r="I3" s="1016"/>
      <c r="J3" s="1015"/>
      <c r="K3" s="1017"/>
      <c r="L3" s="1017"/>
      <c r="M3" s="1017"/>
      <c r="N3" s="1017"/>
      <c r="O3" s="1018"/>
      <c r="P3" s="1018"/>
      <c r="R3" s="662"/>
      <c r="S3" s="662"/>
      <c r="T3" s="662"/>
      <c r="U3" s="662"/>
      <c r="V3" s="662"/>
      <c r="W3" s="662"/>
      <c r="X3" s="662"/>
    </row>
    <row r="4" spans="1:748" s="140" customFormat="1" ht="24" customHeight="1" x14ac:dyDescent="0.3">
      <c r="A4" s="139"/>
      <c r="B4" s="1019" t="str">
        <f>Projektauftrag!D5</f>
        <v>Projet Agile 1</v>
      </c>
      <c r="C4" s="1020"/>
      <c r="D4" s="1020"/>
      <c r="E4" s="1021" t="str">
        <f ca="1">Projektauftrag!H5&amp;"  "&amp;Projektauftrag!J5</f>
        <v>Scrum Master:  abc def (abc)</v>
      </c>
      <c r="F4" s="1022" t="str">
        <f>CONCATENATE(Projektteam!AK34,"/",Projektteam!AD34)</f>
        <v>0/0</v>
      </c>
      <c r="G4" s="1020"/>
      <c r="H4" s="1023"/>
      <c r="I4" s="1024"/>
      <c r="J4" s="1147"/>
      <c r="K4" s="1147"/>
      <c r="L4" s="1147"/>
      <c r="M4" s="1147"/>
      <c r="N4" s="1147"/>
      <c r="O4" s="1147"/>
      <c r="P4" s="1147"/>
      <c r="R4" s="1049"/>
      <c r="S4" s="1049"/>
      <c r="T4" s="1049"/>
      <c r="U4" s="1049"/>
      <c r="V4" s="1049"/>
      <c r="W4" s="1049"/>
      <c r="X4" s="1049"/>
    </row>
    <row r="5" spans="1:748" s="140" customFormat="1" ht="24" customHeight="1" x14ac:dyDescent="0.3">
      <c r="A5" s="139"/>
      <c r="B5" s="1025"/>
      <c r="C5" s="1025"/>
      <c r="D5" s="1025"/>
      <c r="E5" s="1025"/>
      <c r="F5" s="1022" t="e">
        <f>Projektteam!AK34/Projektteam!AD34</f>
        <v>#DIV/0!</v>
      </c>
      <c r="G5" s="1025"/>
      <c r="H5" s="1025"/>
      <c r="I5" s="1025"/>
      <c r="J5" s="1025"/>
      <c r="K5" s="1025"/>
      <c r="L5" s="1025"/>
      <c r="M5" s="1025"/>
      <c r="N5" s="1025"/>
      <c r="O5" s="1026"/>
      <c r="P5" s="1026"/>
      <c r="R5" s="1049"/>
      <c r="S5" s="1049"/>
      <c r="T5" s="1049"/>
      <c r="U5" s="1049"/>
      <c r="V5" s="1049"/>
      <c r="W5" s="1049"/>
      <c r="X5" s="1049"/>
    </row>
    <row r="6" spans="1:748" s="693" customFormat="1" ht="30.75" customHeight="1" x14ac:dyDescent="0.2">
      <c r="A6" s="692"/>
      <c r="E6" s="694"/>
      <c r="F6" s="694"/>
      <c r="G6" s="694"/>
      <c r="H6" s="695"/>
      <c r="I6" s="695"/>
      <c r="J6" s="695"/>
      <c r="K6" s="695"/>
      <c r="L6" s="695"/>
      <c r="M6" s="695"/>
      <c r="N6" s="695"/>
      <c r="O6" s="967"/>
      <c r="P6" s="967"/>
      <c r="R6" s="1050"/>
      <c r="S6" s="1050"/>
      <c r="T6" s="1050"/>
      <c r="U6" s="1050"/>
      <c r="V6" s="1050"/>
      <c r="W6" s="1050"/>
      <c r="X6" s="1050"/>
    </row>
    <row r="7" spans="1:748" s="143" customFormat="1" ht="28.5" customHeight="1" x14ac:dyDescent="0.3">
      <c r="A7" s="139"/>
      <c r="B7" s="1027" t="str">
        <f ca="1">' '!A145</f>
        <v>No.</v>
      </c>
      <c r="C7" s="1027" t="str">
        <f ca="1">' '!A108</f>
        <v>Sprint</v>
      </c>
      <c r="D7" s="1027" t="str">
        <f ca="1">' '!A152</f>
        <v>Sprint activities</v>
      </c>
      <c r="E7" s="1027" t="str">
        <f ca="1">' '!A152</f>
        <v>Sprint activities</v>
      </c>
      <c r="F7" s="1028" t="str">
        <f ca="1">' '!A153</f>
        <v>Release</v>
      </c>
      <c r="G7" s="1028" t="str">
        <f ca="1">' '!A154</f>
        <v>Budget [h]</v>
      </c>
      <c r="H7" s="1029" t="str">
        <f ca="1">' '!A388</f>
        <v>Start</v>
      </c>
      <c r="I7" s="1030" t="str">
        <f ca="1">' '!A142</f>
        <v>Period
(days)</v>
      </c>
      <c r="J7" s="1029" t="str">
        <f ca="1">' '!A389</f>
        <v>Finish</v>
      </c>
      <c r="K7" s="1031" t="str">
        <f ca="1">' '!A390</f>
        <v>Who?</v>
      </c>
      <c r="L7" s="1031" t="str">
        <f ca="1">' '!A109</f>
        <v>Stage</v>
      </c>
      <c r="M7" s="1032">
        <v>0</v>
      </c>
      <c r="N7" s="1069" t="str">
        <f ca="1">' '!A118</f>
        <v>Points</v>
      </c>
      <c r="O7" s="1033" t="str">
        <f ca="1">' '!A149</f>
        <v>Progress</v>
      </c>
      <c r="P7" s="1034" t="str">
        <f ca="1">' '!A139</f>
        <v xml:space="preserve"> days</v>
      </c>
      <c r="R7" s="1051"/>
      <c r="S7" s="1050"/>
      <c r="T7" s="1051"/>
      <c r="U7" s="1051"/>
      <c r="V7" s="1051"/>
      <c r="W7" s="1051"/>
      <c r="X7" s="1051"/>
    </row>
    <row r="8" spans="1:748" s="146" customFormat="1" ht="16.5" customHeight="1" x14ac:dyDescent="0.3">
      <c r="A8" s="144"/>
      <c r="B8" s="934"/>
      <c r="C8" s="934"/>
      <c r="D8" s="934"/>
      <c r="E8" s="935"/>
      <c r="F8" s="935"/>
      <c r="G8" s="935"/>
      <c r="H8" s="936"/>
      <c r="I8" s="937"/>
      <c r="J8" s="936"/>
      <c r="K8" s="938"/>
      <c r="L8" s="938"/>
      <c r="M8" s="939"/>
      <c r="N8" s="1068"/>
      <c r="R8" s="1052"/>
      <c r="S8" s="1052"/>
      <c r="T8" s="1055">
        <v>1</v>
      </c>
      <c r="U8" s="1052"/>
      <c r="V8" s="1052"/>
      <c r="W8" s="1052"/>
      <c r="X8" s="1052"/>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5"/>
      <c r="AZ8" s="145"/>
      <c r="BA8" s="145"/>
      <c r="BB8" s="145"/>
      <c r="BC8" s="145"/>
      <c r="BD8" s="145"/>
      <c r="BE8" s="145"/>
      <c r="BF8" s="145"/>
      <c r="BG8" s="145"/>
      <c r="BH8" s="145"/>
      <c r="BI8" s="145"/>
      <c r="BJ8" s="145"/>
      <c r="BK8" s="145"/>
      <c r="BL8" s="145"/>
      <c r="BM8" s="145"/>
      <c r="BN8" s="145"/>
      <c r="BO8" s="145"/>
      <c r="BP8" s="145"/>
      <c r="BQ8" s="145"/>
      <c r="BR8" s="145"/>
      <c r="BS8" s="145"/>
      <c r="BT8" s="145"/>
      <c r="BU8" s="145"/>
      <c r="BV8" s="145"/>
      <c r="BW8" s="145"/>
      <c r="BX8" s="145"/>
      <c r="BY8" s="145"/>
      <c r="BZ8" s="145"/>
      <c r="CA8" s="145"/>
      <c r="CB8" s="145"/>
      <c r="CC8" s="145"/>
      <c r="CD8" s="145"/>
      <c r="CE8" s="145"/>
      <c r="CF8" s="145"/>
      <c r="CG8" s="145"/>
      <c r="CH8" s="145"/>
      <c r="CI8" s="145"/>
      <c r="CJ8" s="145"/>
      <c r="CK8" s="145"/>
      <c r="CL8" s="145"/>
      <c r="CM8" s="145"/>
      <c r="CN8" s="145"/>
      <c r="CO8" s="145"/>
      <c r="CP8" s="145"/>
      <c r="CQ8" s="145"/>
      <c r="CR8" s="145"/>
      <c r="CS8" s="145"/>
      <c r="CT8" s="145"/>
      <c r="CU8" s="145"/>
      <c r="CV8" s="145"/>
      <c r="CW8" s="145"/>
      <c r="CX8" s="145"/>
      <c r="CY8" s="145"/>
      <c r="CZ8" s="145"/>
      <c r="DA8" s="145"/>
      <c r="DB8" s="145"/>
      <c r="DC8" s="145"/>
      <c r="DD8" s="145"/>
      <c r="DE8" s="145"/>
      <c r="DF8" s="145"/>
      <c r="DG8" s="145"/>
      <c r="DH8" s="145"/>
      <c r="DI8" s="145"/>
      <c r="DJ8" s="145"/>
      <c r="DK8" s="145"/>
      <c r="DL8" s="145"/>
      <c r="DM8" s="145"/>
      <c r="DN8" s="145"/>
      <c r="DO8" s="145"/>
      <c r="DP8" s="145"/>
      <c r="DQ8" s="145"/>
      <c r="DR8" s="145"/>
      <c r="DS8" s="145"/>
      <c r="DT8" s="145"/>
      <c r="DU8" s="145"/>
      <c r="DV8" s="145"/>
      <c r="DW8" s="145"/>
      <c r="DX8" s="145"/>
      <c r="DY8" s="145"/>
      <c r="DZ8" s="145"/>
      <c r="EA8" s="145"/>
      <c r="EB8" s="145"/>
      <c r="EC8" s="145"/>
      <c r="ED8" s="145"/>
      <c r="EE8" s="145"/>
      <c r="EF8" s="145"/>
      <c r="EG8" s="145"/>
      <c r="EH8" s="145"/>
      <c r="EI8" s="145"/>
      <c r="EJ8" s="145"/>
      <c r="EK8" s="145"/>
      <c r="EL8" s="145"/>
      <c r="EM8" s="145"/>
      <c r="EN8" s="145"/>
      <c r="EO8" s="145"/>
      <c r="EP8" s="145"/>
      <c r="EQ8" s="145"/>
      <c r="ER8" s="145"/>
      <c r="ES8" s="145"/>
      <c r="ET8" s="145"/>
      <c r="EU8" s="145"/>
      <c r="EV8" s="145"/>
      <c r="EW8" s="145"/>
      <c r="EX8" s="145"/>
      <c r="EY8" s="145"/>
      <c r="EZ8" s="145"/>
      <c r="FA8" s="145"/>
      <c r="FB8" s="145"/>
      <c r="FC8" s="145"/>
      <c r="FD8" s="145"/>
      <c r="FE8" s="145"/>
      <c r="FF8" s="145"/>
      <c r="FG8" s="145"/>
      <c r="FH8" s="145"/>
      <c r="FI8" s="145"/>
      <c r="FJ8" s="145"/>
      <c r="FK8" s="145"/>
      <c r="FL8" s="145"/>
      <c r="FM8" s="145"/>
      <c r="FN8" s="145"/>
      <c r="FO8" s="145"/>
      <c r="FP8" s="145"/>
      <c r="FQ8" s="145"/>
      <c r="FR8" s="145"/>
      <c r="FS8" s="145"/>
      <c r="FT8" s="145"/>
      <c r="FU8" s="145"/>
      <c r="FV8" s="145"/>
      <c r="FW8" s="145"/>
      <c r="FX8" s="145"/>
      <c r="FY8" s="145"/>
      <c r="FZ8" s="145"/>
      <c r="GA8" s="145"/>
      <c r="GB8" s="145"/>
      <c r="GC8" s="145"/>
      <c r="GD8" s="145"/>
      <c r="GE8" s="145"/>
      <c r="GF8" s="145"/>
      <c r="GG8" s="145"/>
      <c r="GH8" s="145"/>
      <c r="GI8" s="145"/>
      <c r="GJ8" s="145"/>
      <c r="GK8" s="145"/>
      <c r="GL8" s="145"/>
      <c r="GM8" s="145"/>
      <c r="GN8" s="145"/>
      <c r="GO8" s="145"/>
      <c r="GP8" s="145"/>
      <c r="GQ8" s="145"/>
      <c r="GR8" s="145"/>
      <c r="GS8" s="145"/>
      <c r="GT8" s="145"/>
      <c r="GU8" s="145"/>
      <c r="GV8" s="145"/>
      <c r="GW8" s="145"/>
      <c r="GX8" s="145"/>
      <c r="GY8" s="145"/>
      <c r="GZ8" s="145"/>
      <c r="HA8" s="145"/>
      <c r="HB8" s="145"/>
      <c r="HC8" s="145"/>
      <c r="HD8" s="145"/>
      <c r="HE8" s="145"/>
      <c r="HF8" s="145"/>
      <c r="HG8" s="145"/>
      <c r="HH8" s="145"/>
      <c r="HI8" s="145"/>
      <c r="HJ8" s="145"/>
      <c r="HK8" s="145"/>
      <c r="HL8" s="145"/>
      <c r="HM8" s="145"/>
      <c r="HN8" s="145"/>
      <c r="HO8" s="145"/>
      <c r="HP8" s="145"/>
      <c r="HQ8" s="145"/>
      <c r="HR8" s="145"/>
      <c r="HS8" s="145"/>
      <c r="HT8" s="145"/>
      <c r="HU8" s="145"/>
      <c r="HV8" s="145"/>
      <c r="HW8" s="145"/>
      <c r="HX8" s="145"/>
      <c r="HY8" s="145"/>
      <c r="HZ8" s="145"/>
      <c r="IA8" s="145"/>
      <c r="IB8" s="145"/>
      <c r="IC8" s="145"/>
      <c r="ID8" s="145"/>
      <c r="IE8" s="145"/>
      <c r="IF8" s="145"/>
      <c r="IG8" s="145"/>
      <c r="IH8" s="145"/>
      <c r="II8" s="145"/>
      <c r="IJ8" s="145"/>
      <c r="IK8" s="145"/>
      <c r="IL8" s="145"/>
      <c r="IM8" s="145"/>
      <c r="IN8" s="145"/>
      <c r="IO8" s="145"/>
      <c r="IP8" s="145"/>
      <c r="IQ8" s="145"/>
      <c r="IR8" s="145"/>
      <c r="IS8" s="145"/>
      <c r="IT8" s="145"/>
      <c r="IU8" s="145"/>
      <c r="IV8" s="145"/>
      <c r="IW8" s="145"/>
      <c r="IX8" s="145"/>
      <c r="IY8" s="145"/>
      <c r="IZ8" s="145"/>
      <c r="JA8" s="145"/>
      <c r="JB8" s="145"/>
      <c r="JC8" s="145"/>
      <c r="JD8" s="145"/>
      <c r="JE8" s="145"/>
      <c r="JF8" s="145"/>
      <c r="JG8" s="145"/>
      <c r="JH8" s="145"/>
      <c r="JI8" s="145"/>
      <c r="JJ8" s="145"/>
      <c r="JK8" s="145"/>
      <c r="JL8" s="145"/>
      <c r="JM8" s="145"/>
      <c r="JN8" s="145"/>
      <c r="JO8" s="145"/>
      <c r="JP8" s="145"/>
      <c r="JQ8" s="145"/>
      <c r="JR8" s="145"/>
      <c r="JS8" s="145"/>
      <c r="JT8" s="145"/>
      <c r="JU8" s="145"/>
      <c r="JV8" s="145"/>
      <c r="JW8" s="145"/>
      <c r="JX8" s="145"/>
      <c r="JY8" s="145"/>
      <c r="JZ8" s="145"/>
      <c r="KA8" s="145"/>
      <c r="KB8" s="145"/>
      <c r="KC8" s="145"/>
      <c r="KD8" s="145"/>
      <c r="KE8" s="145"/>
      <c r="KF8" s="145"/>
      <c r="KG8" s="145"/>
      <c r="KH8" s="145"/>
      <c r="KI8" s="145"/>
      <c r="KJ8" s="145"/>
      <c r="KK8" s="145"/>
      <c r="KL8" s="145"/>
      <c r="KM8" s="145"/>
      <c r="KN8" s="145"/>
      <c r="KO8" s="145"/>
      <c r="KP8" s="145"/>
      <c r="KQ8" s="145"/>
      <c r="KR8" s="145"/>
      <c r="KS8" s="145"/>
      <c r="KT8" s="145"/>
      <c r="KU8" s="145"/>
      <c r="KV8" s="145"/>
      <c r="KW8" s="145"/>
      <c r="KX8" s="145"/>
      <c r="KY8" s="145"/>
      <c r="KZ8" s="145"/>
      <c r="LA8" s="145"/>
      <c r="LB8" s="145"/>
      <c r="LC8" s="145"/>
      <c r="LD8" s="145"/>
      <c r="LE8" s="145"/>
      <c r="LF8" s="145"/>
      <c r="LG8" s="145"/>
      <c r="LH8" s="145"/>
      <c r="LI8" s="145"/>
      <c r="LJ8" s="145"/>
      <c r="LK8" s="145"/>
      <c r="LL8" s="145"/>
      <c r="LM8" s="145"/>
      <c r="LN8" s="145"/>
      <c r="LO8" s="145"/>
      <c r="LP8" s="145"/>
      <c r="LQ8" s="145"/>
      <c r="LR8" s="145"/>
      <c r="LS8" s="145"/>
      <c r="LT8" s="145"/>
      <c r="LU8" s="145"/>
      <c r="LV8" s="145"/>
      <c r="LW8" s="145"/>
      <c r="LX8" s="145"/>
      <c r="LY8" s="145"/>
      <c r="LZ8" s="145"/>
      <c r="MA8" s="145"/>
      <c r="MB8" s="145"/>
      <c r="MC8" s="145"/>
      <c r="MD8" s="145"/>
      <c r="ME8" s="145"/>
      <c r="MF8" s="145"/>
      <c r="MG8" s="145"/>
      <c r="MH8" s="145"/>
      <c r="MI8" s="145"/>
      <c r="MJ8" s="145"/>
      <c r="MK8" s="145"/>
      <c r="ML8" s="145"/>
      <c r="MM8" s="145"/>
      <c r="MN8" s="145"/>
      <c r="MO8" s="145"/>
      <c r="MP8" s="145"/>
      <c r="MQ8" s="145"/>
      <c r="MR8" s="145"/>
      <c r="MS8" s="145"/>
      <c r="MT8" s="145"/>
      <c r="MU8" s="145"/>
      <c r="MV8" s="145"/>
      <c r="MW8" s="145"/>
      <c r="MX8" s="145"/>
      <c r="MY8" s="145"/>
      <c r="MZ8" s="145"/>
      <c r="NA8" s="145"/>
      <c r="NB8" s="145"/>
      <c r="NC8" s="145"/>
      <c r="ND8" s="145"/>
      <c r="NE8" s="145"/>
      <c r="NF8" s="145"/>
      <c r="NG8" s="145"/>
      <c r="NH8" s="145"/>
      <c r="NI8" s="145"/>
      <c r="NJ8" s="145"/>
      <c r="NK8" s="145"/>
      <c r="NL8" s="145"/>
      <c r="NM8" s="145"/>
      <c r="NN8" s="145"/>
      <c r="NO8" s="145"/>
      <c r="NP8" s="145"/>
      <c r="NQ8" s="145"/>
      <c r="NR8" s="145"/>
      <c r="NS8" s="145"/>
      <c r="NT8" s="145"/>
      <c r="NU8" s="145"/>
      <c r="NV8" s="145"/>
      <c r="NW8" s="145"/>
      <c r="NX8" s="145"/>
      <c r="NY8" s="145"/>
      <c r="NZ8" s="145"/>
      <c r="OA8" s="145"/>
      <c r="OB8" s="145"/>
      <c r="OC8" s="145"/>
      <c r="OD8" s="145"/>
      <c r="OE8" s="145"/>
      <c r="OF8" s="145"/>
      <c r="OG8" s="145"/>
      <c r="OH8" s="145"/>
      <c r="OI8" s="145"/>
      <c r="OJ8" s="145"/>
      <c r="OK8" s="145"/>
      <c r="OL8" s="145"/>
      <c r="OM8" s="145"/>
      <c r="ON8" s="145"/>
      <c r="OO8" s="145"/>
      <c r="OP8" s="145"/>
      <c r="OQ8" s="145"/>
      <c r="OR8" s="145"/>
      <c r="OS8" s="145"/>
      <c r="OT8" s="145"/>
      <c r="OU8" s="145"/>
      <c r="OV8" s="145"/>
      <c r="OW8" s="145"/>
      <c r="OX8" s="145"/>
      <c r="OY8" s="145"/>
      <c r="OZ8" s="145"/>
      <c r="PA8" s="145"/>
      <c r="PB8" s="145"/>
      <c r="PC8" s="145"/>
      <c r="PD8" s="145"/>
      <c r="PE8" s="145"/>
      <c r="PF8" s="145"/>
      <c r="PG8" s="145"/>
      <c r="PH8" s="145"/>
      <c r="PI8" s="145"/>
      <c r="PJ8" s="145"/>
      <c r="PK8" s="145"/>
      <c r="PL8" s="145"/>
      <c r="PM8" s="145"/>
      <c r="PN8" s="145"/>
      <c r="PO8" s="145"/>
      <c r="PP8" s="145"/>
      <c r="PQ8" s="145"/>
      <c r="PR8" s="145"/>
      <c r="PS8" s="145"/>
      <c r="PT8" s="145"/>
      <c r="PU8" s="145"/>
      <c r="PV8" s="145"/>
      <c r="PW8" s="145"/>
      <c r="PX8" s="145"/>
      <c r="PY8" s="145"/>
      <c r="PZ8" s="145"/>
      <c r="QA8" s="145"/>
      <c r="QB8" s="145"/>
      <c r="QC8" s="145"/>
      <c r="QD8" s="145"/>
      <c r="QE8" s="145"/>
      <c r="QF8" s="145"/>
      <c r="QG8" s="145"/>
      <c r="QH8" s="145"/>
      <c r="QI8" s="145"/>
      <c r="QJ8" s="145"/>
      <c r="QK8" s="145"/>
      <c r="QL8" s="145"/>
      <c r="QM8" s="145"/>
      <c r="QN8" s="145"/>
      <c r="QO8" s="145"/>
      <c r="QP8" s="145"/>
      <c r="QQ8" s="145"/>
      <c r="QR8" s="145"/>
      <c r="QS8" s="145"/>
      <c r="QT8" s="145"/>
      <c r="QU8" s="145"/>
      <c r="QV8" s="145"/>
      <c r="QW8" s="145"/>
      <c r="QX8" s="145"/>
      <c r="QY8" s="145"/>
      <c r="QZ8" s="145"/>
      <c r="RA8" s="145"/>
      <c r="RB8" s="145"/>
      <c r="RC8" s="145"/>
      <c r="RD8" s="145"/>
      <c r="RE8" s="145"/>
      <c r="RF8" s="145"/>
      <c r="RG8" s="145"/>
      <c r="RH8" s="145"/>
      <c r="RI8" s="145"/>
      <c r="RJ8" s="145"/>
      <c r="RK8" s="145"/>
      <c r="RL8" s="145"/>
      <c r="RM8" s="145"/>
      <c r="RN8" s="145"/>
      <c r="RO8" s="145"/>
      <c r="RP8" s="145"/>
      <c r="RQ8" s="145"/>
      <c r="RR8" s="145"/>
      <c r="RS8" s="145"/>
      <c r="RT8" s="145"/>
      <c r="RU8" s="145"/>
      <c r="RV8" s="145"/>
      <c r="RW8" s="145"/>
      <c r="RX8" s="145"/>
      <c r="RY8" s="145"/>
      <c r="RZ8" s="145"/>
      <c r="SA8" s="145"/>
      <c r="SB8" s="145"/>
      <c r="SC8" s="145"/>
      <c r="SD8" s="145"/>
      <c r="SE8" s="145"/>
      <c r="SF8" s="145"/>
      <c r="SG8" s="145"/>
      <c r="SH8" s="145"/>
      <c r="SI8" s="145"/>
      <c r="SJ8" s="145"/>
      <c r="SK8" s="145"/>
      <c r="SL8" s="145"/>
      <c r="SM8" s="145"/>
      <c r="SN8" s="145"/>
      <c r="SO8" s="145"/>
      <c r="SP8" s="145"/>
      <c r="SQ8" s="145"/>
      <c r="SR8" s="145"/>
      <c r="SS8" s="145"/>
      <c r="ST8" s="145"/>
      <c r="SU8" s="145"/>
      <c r="SV8" s="145"/>
      <c r="SW8" s="145"/>
      <c r="SX8" s="145"/>
      <c r="SY8" s="145"/>
      <c r="SZ8" s="145"/>
      <c r="TA8" s="145"/>
      <c r="TB8" s="145"/>
      <c r="TC8" s="145"/>
      <c r="TD8" s="145"/>
      <c r="TE8" s="145"/>
      <c r="TF8" s="145"/>
      <c r="TG8" s="145"/>
      <c r="TH8" s="145"/>
      <c r="TI8" s="145"/>
      <c r="TJ8" s="145"/>
      <c r="TK8" s="145"/>
      <c r="TL8" s="145"/>
      <c r="TM8" s="145"/>
      <c r="TN8" s="145"/>
      <c r="TO8" s="145"/>
      <c r="TP8" s="145"/>
      <c r="TQ8" s="145"/>
      <c r="TR8" s="145"/>
      <c r="TS8" s="145"/>
      <c r="TT8" s="145"/>
      <c r="TU8" s="145"/>
      <c r="TV8" s="145"/>
      <c r="TW8" s="145"/>
      <c r="TX8" s="145"/>
      <c r="TY8" s="145"/>
      <c r="TZ8" s="145"/>
      <c r="UA8" s="145"/>
      <c r="UB8" s="145"/>
      <c r="UC8" s="145"/>
      <c r="UD8" s="145"/>
      <c r="UE8" s="145"/>
      <c r="UF8" s="145"/>
      <c r="UG8" s="145"/>
      <c r="UH8" s="145"/>
      <c r="UI8" s="145"/>
      <c r="UJ8" s="145"/>
      <c r="UK8" s="145"/>
      <c r="UL8" s="145"/>
      <c r="UM8" s="145"/>
      <c r="UN8" s="145"/>
      <c r="UO8" s="145"/>
      <c r="UP8" s="145"/>
      <c r="UQ8" s="145"/>
      <c r="UR8" s="145"/>
      <c r="US8" s="145"/>
      <c r="UT8" s="145"/>
      <c r="UU8" s="145"/>
      <c r="UV8" s="145"/>
      <c r="UW8" s="145"/>
      <c r="UX8" s="145"/>
      <c r="UY8" s="145"/>
      <c r="UZ8" s="145"/>
      <c r="VA8" s="145"/>
      <c r="VB8" s="145"/>
      <c r="VC8" s="145"/>
      <c r="VD8" s="145"/>
      <c r="VE8" s="145"/>
      <c r="VF8" s="145"/>
      <c r="VG8" s="145"/>
      <c r="VH8" s="145"/>
      <c r="VI8" s="145"/>
      <c r="VJ8" s="145"/>
      <c r="VK8" s="145"/>
      <c r="VL8" s="145"/>
      <c r="VM8" s="145"/>
      <c r="VN8" s="145"/>
      <c r="VO8" s="145"/>
      <c r="VP8" s="145"/>
      <c r="VQ8" s="145"/>
      <c r="VR8" s="145"/>
      <c r="VS8" s="145"/>
      <c r="VT8" s="145"/>
      <c r="VU8" s="145"/>
      <c r="VV8" s="145"/>
      <c r="VW8" s="145"/>
      <c r="VX8" s="145"/>
      <c r="VY8" s="145"/>
      <c r="VZ8" s="145"/>
      <c r="WA8" s="145"/>
      <c r="WB8" s="145"/>
      <c r="WC8" s="145"/>
      <c r="WD8" s="145"/>
      <c r="WE8" s="145"/>
      <c r="WF8" s="145"/>
      <c r="WG8" s="145"/>
      <c r="WH8" s="145"/>
      <c r="WI8" s="145"/>
      <c r="WJ8" s="145"/>
      <c r="WK8" s="145"/>
      <c r="WL8" s="145"/>
      <c r="WM8" s="145"/>
      <c r="WN8" s="145"/>
      <c r="WO8" s="145"/>
      <c r="WP8" s="145"/>
      <c r="WQ8" s="145"/>
      <c r="WR8" s="145"/>
      <c r="WS8" s="145"/>
      <c r="WT8" s="145"/>
      <c r="WU8" s="145"/>
      <c r="WV8" s="145"/>
      <c r="WW8" s="145"/>
      <c r="WX8" s="145"/>
      <c r="WY8" s="145"/>
      <c r="WZ8" s="145"/>
      <c r="XA8" s="145"/>
      <c r="XB8" s="145"/>
      <c r="XC8" s="145"/>
      <c r="XD8" s="145"/>
      <c r="XE8" s="145"/>
      <c r="XF8" s="145"/>
      <c r="XG8" s="145"/>
      <c r="XH8" s="145"/>
      <c r="XI8" s="145"/>
      <c r="XJ8" s="145"/>
      <c r="XK8" s="145"/>
      <c r="XL8" s="145"/>
      <c r="XM8" s="145"/>
      <c r="XN8" s="145"/>
      <c r="XO8" s="145"/>
      <c r="XP8" s="145"/>
      <c r="XQ8" s="145"/>
      <c r="XR8" s="145"/>
      <c r="XS8" s="145"/>
      <c r="XT8" s="145"/>
      <c r="XU8" s="145"/>
      <c r="XV8" s="145"/>
      <c r="XW8" s="145"/>
      <c r="XX8" s="145"/>
      <c r="XY8" s="145"/>
      <c r="XZ8" s="145"/>
      <c r="YA8" s="145"/>
      <c r="YB8" s="145"/>
      <c r="YC8" s="145"/>
      <c r="YD8" s="145"/>
      <c r="YE8" s="145"/>
      <c r="YF8" s="145"/>
      <c r="YG8" s="145"/>
      <c r="YH8" s="145"/>
      <c r="YI8" s="145"/>
      <c r="YJ8" s="145"/>
      <c r="YK8" s="145"/>
      <c r="YL8" s="145"/>
      <c r="YM8" s="145"/>
      <c r="YN8" s="145"/>
      <c r="YO8" s="145"/>
      <c r="YP8" s="145"/>
      <c r="YQ8" s="145"/>
      <c r="YR8" s="145"/>
      <c r="YS8" s="145"/>
      <c r="YT8" s="145"/>
      <c r="YU8" s="145"/>
      <c r="YV8" s="145"/>
      <c r="YW8" s="145"/>
      <c r="YX8" s="145"/>
      <c r="YY8" s="145"/>
      <c r="YZ8" s="145"/>
      <c r="ZA8" s="145"/>
      <c r="ZB8" s="145"/>
      <c r="ZC8" s="145"/>
      <c r="ZD8" s="145"/>
      <c r="ZE8" s="145"/>
      <c r="ZF8" s="145"/>
      <c r="ZG8" s="145"/>
      <c r="ZH8" s="145"/>
      <c r="ZI8" s="145"/>
      <c r="ZJ8" s="145"/>
      <c r="ZK8" s="145"/>
      <c r="ZL8" s="145"/>
      <c r="ZM8" s="145"/>
      <c r="ZN8" s="145"/>
      <c r="ZO8" s="145"/>
      <c r="ZP8" s="145"/>
      <c r="ZQ8" s="145"/>
      <c r="ZR8" s="145"/>
      <c r="ZS8" s="145"/>
      <c r="ZT8" s="145"/>
      <c r="ZU8" s="145"/>
      <c r="ZV8" s="145"/>
      <c r="ZW8" s="145"/>
      <c r="ZX8" s="145"/>
      <c r="ZY8" s="145"/>
      <c r="ZZ8" s="145"/>
      <c r="AAA8" s="145"/>
      <c r="AAB8" s="145"/>
      <c r="AAC8" s="145"/>
      <c r="AAD8" s="145"/>
      <c r="AAE8" s="145"/>
      <c r="AAF8" s="145"/>
      <c r="AAG8" s="145"/>
      <c r="AAH8" s="145"/>
      <c r="AAI8" s="145"/>
      <c r="AAJ8" s="145"/>
      <c r="AAK8" s="145"/>
      <c r="AAL8" s="145"/>
      <c r="AAM8" s="145"/>
      <c r="AAN8" s="145"/>
      <c r="AAO8" s="145"/>
      <c r="AAP8" s="145"/>
      <c r="AAQ8" s="145"/>
      <c r="AAR8" s="145"/>
      <c r="AAS8" s="145"/>
      <c r="AAT8" s="145"/>
      <c r="AAU8" s="145"/>
      <c r="AAV8" s="145"/>
      <c r="AAW8" s="145"/>
      <c r="AAX8" s="145"/>
      <c r="AAY8" s="145"/>
      <c r="AAZ8" s="145"/>
      <c r="ABA8" s="145"/>
      <c r="ABB8" s="145"/>
      <c r="ABC8" s="145"/>
      <c r="ABD8" s="145"/>
      <c r="ABE8" s="145"/>
      <c r="ABF8" s="145"/>
      <c r="ABG8" s="145"/>
      <c r="ABH8" s="145"/>
      <c r="ABI8" s="145"/>
      <c r="ABJ8" s="145"/>
      <c r="ABK8" s="145"/>
      <c r="ABL8" s="145"/>
      <c r="ABM8" s="145"/>
      <c r="ABN8" s="145"/>
      <c r="ABO8" s="145"/>
      <c r="ABP8" s="145"/>
      <c r="ABQ8" s="145"/>
      <c r="ABR8" s="145"/>
      <c r="ABS8" s="145"/>
      <c r="ABT8" s="145"/>
    </row>
    <row r="9" spans="1:748" s="147" customFormat="1" ht="28.8" x14ac:dyDescent="0.2">
      <c r="A9" s="144" t="str">
        <f t="shared" ref="A9:A72" si="0">IF(M9=1,N9,"")</f>
        <v/>
      </c>
      <c r="B9" s="984">
        <v>1</v>
      </c>
      <c r="C9" s="1035">
        <v>1</v>
      </c>
      <c r="D9" s="1067"/>
      <c r="E9" s="976" t="s">
        <v>1404</v>
      </c>
      <c r="F9" s="1035" t="s">
        <v>214</v>
      </c>
      <c r="G9" s="977">
        <v>50</v>
      </c>
      <c r="H9" s="975">
        <f ca="1">TODAY()-30</f>
        <v>46019</v>
      </c>
      <c r="I9" s="978">
        <v>14</v>
      </c>
      <c r="J9" s="975">
        <f t="shared" ref="J9:J72" ca="1" si="1">IF(I9&lt;&gt;"",H9-1+INT(I9),"")</f>
        <v>46032</v>
      </c>
      <c r="K9" s="979" t="s">
        <v>1057</v>
      </c>
      <c r="L9" s="979" t="s">
        <v>1341</v>
      </c>
      <c r="M9" s="980">
        <v>2</v>
      </c>
      <c r="N9" s="1080">
        <v>20</v>
      </c>
      <c r="O9" s="982">
        <f t="shared" ref="O9:O72" ca="1" si="2">IF(J9&lt;&gt;"",
IF(J9&gt;TODAY(),
IF((TODAY()-H9)/(J9-H9)&gt;0,(TODAY()-H9)/(J9-H9),0),100%),"")</f>
        <v>1</v>
      </c>
      <c r="P9" s="991" t="str">
        <f t="shared" ref="P9:P72" ca="1" si="3">IF(T9&gt;0,U9,"0/"&amp;S9)</f>
        <v>30/14</v>
      </c>
      <c r="R9" s="1053"/>
      <c r="S9" s="1053">
        <f ca="1">IF(J9&lt;&gt;"",J9-H9+1,"")</f>
        <v>14</v>
      </c>
      <c r="T9" s="1053">
        <f ca="1">IF(H9&lt;&gt;"",(TODAY()-H9),"")</f>
        <v>30</v>
      </c>
      <c r="U9" s="1053" t="str">
        <f t="shared" ref="U9:U73" ca="1" si="4">IF(T9&lt;&gt;"",T9&amp;"/"&amp;S9,"")</f>
        <v>30/14</v>
      </c>
      <c r="V9" s="1053"/>
      <c r="W9" s="1053" t="str">
        <f>IF(E9&lt;&gt;"",B9&amp;" "&amp;E9,"")</f>
        <v>1 iPhone users need access to a vertical view of the live feed when using the mobile app in order to see the whole picture.</v>
      </c>
      <c r="X9" s="1053"/>
    </row>
    <row r="10" spans="1:748" s="147" customFormat="1" ht="28.8" x14ac:dyDescent="0.2">
      <c r="A10" s="144">
        <f t="shared" si="0"/>
        <v>10</v>
      </c>
      <c r="B10" s="984">
        <v>2</v>
      </c>
      <c r="C10" s="1035"/>
      <c r="D10" s="1067"/>
      <c r="E10" s="976" t="s">
        <v>1405</v>
      </c>
      <c r="F10" s="1035" t="s">
        <v>215</v>
      </c>
      <c r="G10" s="977">
        <v>80</v>
      </c>
      <c r="H10" s="975">
        <f ca="1">TODAY()+4</f>
        <v>46053</v>
      </c>
      <c r="I10" s="978">
        <v>5</v>
      </c>
      <c r="J10" s="975">
        <f t="shared" ca="1" si="1"/>
        <v>46057</v>
      </c>
      <c r="K10" s="979" t="s">
        <v>699</v>
      </c>
      <c r="L10" s="979" t="s">
        <v>1345</v>
      </c>
      <c r="M10" s="980">
        <v>1</v>
      </c>
      <c r="N10" s="1081">
        <v>10</v>
      </c>
      <c r="O10" s="982">
        <f t="shared" ca="1" si="2"/>
        <v>0</v>
      </c>
      <c r="P10" s="991" t="str">
        <f t="shared" ca="1" si="3"/>
        <v>0/5</v>
      </c>
      <c r="R10" s="1053"/>
      <c r="S10" s="1053">
        <f t="shared" ref="S10:S73" ca="1" si="5">IF(J10&lt;&gt;"",J10-H10+1,"")</f>
        <v>5</v>
      </c>
      <c r="T10" s="1053">
        <f t="shared" ref="T10:T73" ca="1" si="6">IF(H10&lt;&gt;"",(TODAY()-H10),"")</f>
        <v>-4</v>
      </c>
      <c r="U10" s="1053" t="str">
        <f t="shared" ca="1" si="4"/>
        <v>-4/5</v>
      </c>
      <c r="V10" s="1053"/>
      <c r="W10" s="1053" t="str">
        <f t="shared" ref="W10:W73" si="7">IF(E10&lt;&gt;"",B10&amp;" "&amp;E10,"")</f>
        <v>2 Desktop users need a “view fullscreen” button in the lower right-hand corner of the video player in order to see the whole picture.</v>
      </c>
      <c r="X10" s="1053"/>
    </row>
    <row r="11" spans="1:748" s="147" customFormat="1" ht="28.8" x14ac:dyDescent="0.2">
      <c r="A11" s="144" t="str">
        <f t="shared" si="0"/>
        <v/>
      </c>
      <c r="B11" s="984">
        <v>3</v>
      </c>
      <c r="C11" s="1035"/>
      <c r="D11" s="1067"/>
      <c r="E11" s="976" t="s">
        <v>1406</v>
      </c>
      <c r="F11" s="1035" t="s">
        <v>216</v>
      </c>
      <c r="G11" s="977">
        <v>30</v>
      </c>
      <c r="H11" s="975">
        <f ca="1">TODAY()-5</f>
        <v>46044</v>
      </c>
      <c r="I11" s="978">
        <v>7</v>
      </c>
      <c r="J11" s="975">
        <f t="shared" ca="1" si="1"/>
        <v>46050</v>
      </c>
      <c r="K11" s="979" t="s">
        <v>699</v>
      </c>
      <c r="L11" s="979" t="s">
        <v>1347</v>
      </c>
      <c r="M11" s="980">
        <v>3</v>
      </c>
      <c r="N11" s="1081">
        <v>35</v>
      </c>
      <c r="O11" s="982">
        <f t="shared" ca="1" si="2"/>
        <v>0.83333333333333337</v>
      </c>
      <c r="P11" s="991" t="str">
        <f t="shared" ca="1" si="3"/>
        <v>5/7</v>
      </c>
      <c r="R11" s="1053"/>
      <c r="S11" s="1053">
        <f t="shared" ca="1" si="5"/>
        <v>7</v>
      </c>
      <c r="T11" s="1053">
        <f ca="1">IF(H11&lt;&gt;"",(TODAY()-H11),"")</f>
        <v>5</v>
      </c>
      <c r="U11" s="1053" t="str">
        <f t="shared" ca="1" si="4"/>
        <v>5/7</v>
      </c>
      <c r="V11" s="1053"/>
      <c r="W11" s="1053" t="str">
        <f t="shared" si="7"/>
        <v>3 Android users need to be linked to apple store to find an appropriate app.</v>
      </c>
      <c r="X11" s="1053"/>
    </row>
    <row r="12" spans="1:748" s="147" customFormat="1" ht="14.4" x14ac:dyDescent="0.2">
      <c r="A12" s="144" t="str">
        <f t="shared" si="0"/>
        <v/>
      </c>
      <c r="B12" s="984">
        <v>4</v>
      </c>
      <c r="C12" s="1035"/>
      <c r="D12" s="1067"/>
      <c r="E12" s="976"/>
      <c r="F12" s="1035"/>
      <c r="G12" s="977"/>
      <c r="H12" s="975"/>
      <c r="I12" s="978"/>
      <c r="J12" s="975" t="str">
        <f t="shared" si="1"/>
        <v/>
      </c>
      <c r="K12" s="979"/>
      <c r="L12" s="979"/>
      <c r="M12" s="980" t="str">
        <f t="shared" ref="M12:M75" si="8">IF(N12&lt;&gt;0,3,"")</f>
        <v/>
      </c>
      <c r="N12" s="1081"/>
      <c r="O12" s="982" t="str">
        <f t="shared" ca="1" si="2"/>
        <v/>
      </c>
      <c r="P12" s="991" t="str">
        <f t="shared" ca="1" si="3"/>
        <v/>
      </c>
      <c r="R12" s="1053"/>
      <c r="S12" s="1053" t="str">
        <f t="shared" si="5"/>
        <v/>
      </c>
      <c r="T12" s="1053" t="str">
        <f t="shared" ca="1" si="6"/>
        <v/>
      </c>
      <c r="U12" s="1053" t="str">
        <f t="shared" ca="1" si="4"/>
        <v/>
      </c>
      <c r="V12" s="1053"/>
      <c r="W12" s="1053" t="str">
        <f t="shared" si="7"/>
        <v/>
      </c>
      <c r="X12" s="1053"/>
    </row>
    <row r="13" spans="1:748" s="147" customFormat="1" ht="14.4" x14ac:dyDescent="0.2">
      <c r="A13" s="144" t="str">
        <f t="shared" si="0"/>
        <v/>
      </c>
      <c r="B13" s="984">
        <v>5</v>
      </c>
      <c r="C13" s="1035"/>
      <c r="D13" s="1067"/>
      <c r="E13" s="976"/>
      <c r="F13" s="1035"/>
      <c r="G13" s="977"/>
      <c r="H13" s="975"/>
      <c r="I13" s="978"/>
      <c r="J13" s="975" t="str">
        <f t="shared" si="1"/>
        <v/>
      </c>
      <c r="K13" s="979"/>
      <c r="L13" s="979"/>
      <c r="M13" s="980" t="str">
        <f t="shared" si="8"/>
        <v/>
      </c>
      <c r="N13" s="1081"/>
      <c r="O13" s="982" t="str">
        <f t="shared" ca="1" si="2"/>
        <v/>
      </c>
      <c r="P13" s="991" t="str">
        <f t="shared" ca="1" si="3"/>
        <v/>
      </c>
      <c r="R13" s="1053"/>
      <c r="S13" s="1053" t="str">
        <f t="shared" si="5"/>
        <v/>
      </c>
      <c r="T13" s="1053" t="str">
        <f t="shared" ca="1" si="6"/>
        <v/>
      </c>
      <c r="U13" s="1053" t="str">
        <f t="shared" ca="1" si="4"/>
        <v/>
      </c>
      <c r="V13" s="1053"/>
      <c r="W13" s="1053" t="str">
        <f t="shared" si="7"/>
        <v/>
      </c>
      <c r="X13" s="1053"/>
    </row>
    <row r="14" spans="1:748" s="147" customFormat="1" ht="14.4" x14ac:dyDescent="0.2">
      <c r="A14" s="144" t="str">
        <f t="shared" si="0"/>
        <v/>
      </c>
      <c r="B14" s="984">
        <v>6</v>
      </c>
      <c r="C14" s="1035"/>
      <c r="D14" s="1067"/>
      <c r="E14" s="976"/>
      <c r="F14" s="1035"/>
      <c r="G14" s="977"/>
      <c r="H14" s="975"/>
      <c r="I14" s="978"/>
      <c r="J14" s="975" t="str">
        <f t="shared" si="1"/>
        <v/>
      </c>
      <c r="K14" s="979"/>
      <c r="L14" s="979"/>
      <c r="M14" s="980" t="str">
        <f t="shared" si="8"/>
        <v/>
      </c>
      <c r="N14" s="1081"/>
      <c r="O14" s="982" t="str">
        <f t="shared" ca="1" si="2"/>
        <v/>
      </c>
      <c r="P14" s="991" t="str">
        <f t="shared" ca="1" si="3"/>
        <v/>
      </c>
      <c r="R14" s="1053"/>
      <c r="S14" s="1053" t="str">
        <f t="shared" si="5"/>
        <v/>
      </c>
      <c r="T14" s="1053" t="str">
        <f t="shared" ca="1" si="6"/>
        <v/>
      </c>
      <c r="U14" s="1053" t="str">
        <f t="shared" ca="1" si="4"/>
        <v/>
      </c>
      <c r="V14" s="1053"/>
      <c r="W14" s="1053" t="str">
        <f t="shared" si="7"/>
        <v/>
      </c>
      <c r="X14" s="1053"/>
    </row>
    <row r="15" spans="1:748" s="147" customFormat="1" ht="14.4" x14ac:dyDescent="0.2">
      <c r="A15" s="144" t="str">
        <f t="shared" si="0"/>
        <v/>
      </c>
      <c r="B15" s="984">
        <v>7</v>
      </c>
      <c r="C15" s="1035"/>
      <c r="D15" s="1067"/>
      <c r="E15" s="976"/>
      <c r="F15" s="1035"/>
      <c r="G15" s="977"/>
      <c r="H15" s="975"/>
      <c r="I15" s="978"/>
      <c r="J15" s="975" t="str">
        <f t="shared" si="1"/>
        <v/>
      </c>
      <c r="K15" s="979"/>
      <c r="L15" s="979"/>
      <c r="M15" s="980" t="str">
        <f t="shared" si="8"/>
        <v/>
      </c>
      <c r="N15" s="1081"/>
      <c r="O15" s="982" t="str">
        <f t="shared" ca="1" si="2"/>
        <v/>
      </c>
      <c r="P15" s="991" t="str">
        <f t="shared" ca="1" si="3"/>
        <v/>
      </c>
      <c r="R15" s="1053"/>
      <c r="S15" s="1053" t="str">
        <f t="shared" si="5"/>
        <v/>
      </c>
      <c r="T15" s="1053" t="str">
        <f t="shared" ca="1" si="6"/>
        <v/>
      </c>
      <c r="U15" s="1053" t="str">
        <f t="shared" ca="1" si="4"/>
        <v/>
      </c>
      <c r="V15" s="1053"/>
      <c r="W15" s="1053" t="str">
        <f t="shared" si="7"/>
        <v/>
      </c>
      <c r="X15" s="1053"/>
    </row>
    <row r="16" spans="1:748" s="147" customFormat="1" ht="14.4" x14ac:dyDescent="0.2">
      <c r="A16" s="144" t="str">
        <f t="shared" si="0"/>
        <v/>
      </c>
      <c r="B16" s="984">
        <v>8</v>
      </c>
      <c r="C16" s="1035"/>
      <c r="D16" s="1067"/>
      <c r="E16" s="976"/>
      <c r="F16" s="1035"/>
      <c r="G16" s="977"/>
      <c r="H16" s="975"/>
      <c r="I16" s="978"/>
      <c r="J16" s="975" t="str">
        <f t="shared" si="1"/>
        <v/>
      </c>
      <c r="K16" s="979"/>
      <c r="L16" s="979"/>
      <c r="M16" s="980" t="str">
        <f t="shared" si="8"/>
        <v/>
      </c>
      <c r="N16" s="1081"/>
      <c r="O16" s="982" t="str">
        <f t="shared" ca="1" si="2"/>
        <v/>
      </c>
      <c r="P16" s="991" t="str">
        <f t="shared" ca="1" si="3"/>
        <v/>
      </c>
      <c r="R16" s="1053"/>
      <c r="S16" s="1053" t="str">
        <f t="shared" si="5"/>
        <v/>
      </c>
      <c r="T16" s="1053" t="str">
        <f t="shared" ca="1" si="6"/>
        <v/>
      </c>
      <c r="U16" s="1053" t="str">
        <f t="shared" ca="1" si="4"/>
        <v/>
      </c>
      <c r="V16" s="1053"/>
      <c r="W16" s="1053" t="str">
        <f t="shared" si="7"/>
        <v/>
      </c>
      <c r="X16" s="1053"/>
    </row>
    <row r="17" spans="1:23" s="147" customFormat="1" ht="14.4" x14ac:dyDescent="0.2">
      <c r="A17" s="144" t="str">
        <f t="shared" si="0"/>
        <v/>
      </c>
      <c r="B17" s="984">
        <v>9</v>
      </c>
      <c r="C17" s="1035"/>
      <c r="D17" s="1067"/>
      <c r="E17" s="976"/>
      <c r="F17" s="1035"/>
      <c r="G17" s="977"/>
      <c r="H17" s="975"/>
      <c r="I17" s="978"/>
      <c r="J17" s="975" t="str">
        <f t="shared" si="1"/>
        <v/>
      </c>
      <c r="K17" s="979"/>
      <c r="L17" s="979"/>
      <c r="M17" s="980" t="str">
        <f t="shared" si="8"/>
        <v/>
      </c>
      <c r="N17" s="1081"/>
      <c r="O17" s="982" t="str">
        <f t="shared" ca="1" si="2"/>
        <v/>
      </c>
      <c r="P17" s="991" t="str">
        <f t="shared" ca="1" si="3"/>
        <v/>
      </c>
      <c r="R17" s="1053"/>
      <c r="S17" s="1053" t="str">
        <f t="shared" si="5"/>
        <v/>
      </c>
      <c r="T17" s="1053" t="str">
        <f t="shared" ca="1" si="6"/>
        <v/>
      </c>
      <c r="U17" s="1053" t="str">
        <f t="shared" ca="1" si="4"/>
        <v/>
      </c>
      <c r="V17" s="1053"/>
      <c r="W17" s="1053" t="str">
        <f t="shared" si="7"/>
        <v/>
      </c>
    </row>
    <row r="18" spans="1:23" s="147" customFormat="1" ht="14.4" x14ac:dyDescent="0.2">
      <c r="A18" s="144" t="str">
        <f t="shared" si="0"/>
        <v/>
      </c>
      <c r="B18" s="984">
        <v>10</v>
      </c>
      <c r="C18" s="1035"/>
      <c r="D18" s="1067"/>
      <c r="E18" s="976"/>
      <c r="F18" s="1035"/>
      <c r="G18" s="977"/>
      <c r="H18" s="975"/>
      <c r="I18" s="978"/>
      <c r="J18" s="975" t="str">
        <f t="shared" si="1"/>
        <v/>
      </c>
      <c r="K18" s="979"/>
      <c r="L18" s="979"/>
      <c r="M18" s="980" t="str">
        <f t="shared" si="8"/>
        <v/>
      </c>
      <c r="N18" s="1081"/>
      <c r="O18" s="982" t="str">
        <f t="shared" ca="1" si="2"/>
        <v/>
      </c>
      <c r="P18" s="991" t="str">
        <f t="shared" ca="1" si="3"/>
        <v/>
      </c>
      <c r="R18" s="1056"/>
      <c r="S18" s="1053" t="str">
        <f t="shared" si="5"/>
        <v/>
      </c>
      <c r="T18" s="1053" t="str">
        <f t="shared" ca="1" si="6"/>
        <v/>
      </c>
      <c r="U18" s="1053" t="str">
        <f t="shared" ca="1" si="4"/>
        <v/>
      </c>
      <c r="V18" s="1056"/>
      <c r="W18" s="1053" t="str">
        <f t="shared" si="7"/>
        <v/>
      </c>
    </row>
    <row r="19" spans="1:23" s="147" customFormat="1" ht="14.4" x14ac:dyDescent="0.2">
      <c r="A19" s="144" t="str">
        <f t="shared" si="0"/>
        <v/>
      </c>
      <c r="B19" s="984">
        <v>11</v>
      </c>
      <c r="C19" s="1035"/>
      <c r="D19" s="1067"/>
      <c r="E19" s="976"/>
      <c r="F19" s="1035"/>
      <c r="G19" s="977"/>
      <c r="H19" s="975"/>
      <c r="I19" s="978"/>
      <c r="J19" s="975" t="str">
        <f t="shared" si="1"/>
        <v/>
      </c>
      <c r="K19" s="979"/>
      <c r="L19" s="979"/>
      <c r="M19" s="980" t="str">
        <f t="shared" si="8"/>
        <v/>
      </c>
      <c r="N19" s="1081"/>
      <c r="O19" s="982" t="str">
        <f t="shared" ca="1" si="2"/>
        <v/>
      </c>
      <c r="P19" s="991" t="str">
        <f t="shared" ca="1" si="3"/>
        <v/>
      </c>
      <c r="R19" s="1057"/>
      <c r="S19" s="1053" t="str">
        <f t="shared" si="5"/>
        <v/>
      </c>
      <c r="T19" s="1053" t="str">
        <f t="shared" ca="1" si="6"/>
        <v/>
      </c>
      <c r="U19" s="1053" t="str">
        <f t="shared" ca="1" si="4"/>
        <v/>
      </c>
      <c r="V19" s="1053"/>
      <c r="W19" s="1053" t="str">
        <f t="shared" si="7"/>
        <v/>
      </c>
    </row>
    <row r="20" spans="1:23" s="147" customFormat="1" ht="14.4" x14ac:dyDescent="0.2">
      <c r="A20" s="144" t="str">
        <f t="shared" si="0"/>
        <v/>
      </c>
      <c r="B20" s="984">
        <v>12</v>
      </c>
      <c r="C20" s="1035"/>
      <c r="D20" s="1067"/>
      <c r="E20" s="976"/>
      <c r="F20" s="1035"/>
      <c r="G20" s="977"/>
      <c r="H20" s="975"/>
      <c r="I20" s="978"/>
      <c r="J20" s="975" t="str">
        <f t="shared" si="1"/>
        <v/>
      </c>
      <c r="K20" s="979"/>
      <c r="L20" s="979"/>
      <c r="M20" s="980" t="str">
        <f t="shared" si="8"/>
        <v/>
      </c>
      <c r="N20" s="1081"/>
      <c r="O20" s="982" t="str">
        <f t="shared" ca="1" si="2"/>
        <v/>
      </c>
      <c r="P20" s="991" t="str">
        <f t="shared" ca="1" si="3"/>
        <v/>
      </c>
      <c r="R20" s="1053"/>
      <c r="S20" s="1053" t="str">
        <f t="shared" si="5"/>
        <v/>
      </c>
      <c r="T20" s="1053" t="str">
        <f t="shared" ca="1" si="6"/>
        <v/>
      </c>
      <c r="U20" s="1053" t="str">
        <f t="shared" ca="1" si="4"/>
        <v/>
      </c>
      <c r="V20" s="1053"/>
      <c r="W20" s="1053" t="str">
        <f t="shared" si="7"/>
        <v/>
      </c>
    </row>
    <row r="21" spans="1:23" s="147" customFormat="1" ht="14.4" x14ac:dyDescent="0.2">
      <c r="A21" s="144" t="str">
        <f t="shared" si="0"/>
        <v/>
      </c>
      <c r="B21" s="984">
        <v>13</v>
      </c>
      <c r="C21" s="1035"/>
      <c r="D21" s="1067"/>
      <c r="E21" s="976"/>
      <c r="F21" s="1035"/>
      <c r="G21" s="977"/>
      <c r="H21" s="975"/>
      <c r="I21" s="978"/>
      <c r="J21" s="975" t="str">
        <f t="shared" si="1"/>
        <v/>
      </c>
      <c r="K21" s="979"/>
      <c r="L21" s="979"/>
      <c r="M21" s="980" t="str">
        <f t="shared" si="8"/>
        <v/>
      </c>
      <c r="N21" s="1081"/>
      <c r="O21" s="982" t="str">
        <f t="shared" ca="1" si="2"/>
        <v/>
      </c>
      <c r="P21" s="991" t="str">
        <f t="shared" ca="1" si="3"/>
        <v/>
      </c>
      <c r="R21" s="1058"/>
      <c r="S21" s="1053" t="str">
        <f t="shared" si="5"/>
        <v/>
      </c>
      <c r="T21" s="1053" t="str">
        <f t="shared" ca="1" si="6"/>
        <v/>
      </c>
      <c r="U21" s="1053" t="str">
        <f t="shared" ca="1" si="4"/>
        <v/>
      </c>
      <c r="V21" s="1057"/>
      <c r="W21" s="1053" t="str">
        <f t="shared" si="7"/>
        <v/>
      </c>
    </row>
    <row r="22" spans="1:23" s="147" customFormat="1" ht="14.4" x14ac:dyDescent="0.2">
      <c r="A22" s="144" t="str">
        <f t="shared" si="0"/>
        <v/>
      </c>
      <c r="B22" s="984">
        <v>14</v>
      </c>
      <c r="C22" s="1035"/>
      <c r="D22" s="1067"/>
      <c r="E22" s="976"/>
      <c r="F22" s="1035"/>
      <c r="G22" s="977"/>
      <c r="H22" s="975"/>
      <c r="I22" s="978"/>
      <c r="J22" s="975" t="str">
        <f t="shared" si="1"/>
        <v/>
      </c>
      <c r="K22" s="979"/>
      <c r="L22" s="979"/>
      <c r="M22" s="980" t="str">
        <f t="shared" si="8"/>
        <v/>
      </c>
      <c r="N22" s="1081"/>
      <c r="O22" s="982" t="str">
        <f t="shared" ca="1" si="2"/>
        <v/>
      </c>
      <c r="P22" s="991" t="str">
        <f t="shared" ca="1" si="3"/>
        <v/>
      </c>
      <c r="R22" s="1053"/>
      <c r="S22" s="1053" t="str">
        <f t="shared" si="5"/>
        <v/>
      </c>
      <c r="T22" s="1053" t="str">
        <f t="shared" ca="1" si="6"/>
        <v/>
      </c>
      <c r="U22" s="1053" t="str">
        <f t="shared" ca="1" si="4"/>
        <v/>
      </c>
      <c r="V22" s="1053"/>
      <c r="W22" s="1053" t="str">
        <f t="shared" si="7"/>
        <v/>
      </c>
    </row>
    <row r="23" spans="1:23" s="147" customFormat="1" ht="14.4" x14ac:dyDescent="0.2">
      <c r="A23" s="144" t="str">
        <f t="shared" si="0"/>
        <v/>
      </c>
      <c r="B23" s="984">
        <v>15</v>
      </c>
      <c r="C23" s="1035"/>
      <c r="D23" s="1067"/>
      <c r="E23" s="976"/>
      <c r="F23" s="1035"/>
      <c r="G23" s="977"/>
      <c r="H23" s="975"/>
      <c r="I23" s="978"/>
      <c r="J23" s="975" t="str">
        <f t="shared" si="1"/>
        <v/>
      </c>
      <c r="K23" s="979"/>
      <c r="L23" s="979"/>
      <c r="M23" s="980" t="str">
        <f t="shared" si="8"/>
        <v/>
      </c>
      <c r="N23" s="1081"/>
      <c r="O23" s="982" t="str">
        <f t="shared" ca="1" si="2"/>
        <v/>
      </c>
      <c r="P23" s="991" t="str">
        <f t="shared" ca="1" si="3"/>
        <v/>
      </c>
      <c r="R23" s="1053"/>
      <c r="S23" s="1053" t="str">
        <f t="shared" si="5"/>
        <v/>
      </c>
      <c r="T23" s="1053" t="str">
        <f t="shared" ca="1" si="6"/>
        <v/>
      </c>
      <c r="U23" s="1053" t="str">
        <f t="shared" ca="1" si="4"/>
        <v/>
      </c>
      <c r="V23" s="1053"/>
      <c r="W23" s="1053" t="str">
        <f t="shared" si="7"/>
        <v/>
      </c>
    </row>
    <row r="24" spans="1:23" s="147" customFormat="1" ht="14.4" x14ac:dyDescent="0.2">
      <c r="A24" s="144" t="str">
        <f t="shared" si="0"/>
        <v/>
      </c>
      <c r="B24" s="984">
        <v>16</v>
      </c>
      <c r="C24" s="1035"/>
      <c r="D24" s="1067"/>
      <c r="E24" s="976"/>
      <c r="F24" s="1035"/>
      <c r="G24" s="977"/>
      <c r="H24" s="975"/>
      <c r="I24" s="978"/>
      <c r="J24" s="975" t="str">
        <f t="shared" si="1"/>
        <v/>
      </c>
      <c r="K24" s="979"/>
      <c r="L24" s="979"/>
      <c r="M24" s="980" t="str">
        <f t="shared" si="8"/>
        <v/>
      </c>
      <c r="N24" s="1081"/>
      <c r="O24" s="982" t="str">
        <f t="shared" ca="1" si="2"/>
        <v/>
      </c>
      <c r="P24" s="991" t="str">
        <f t="shared" ca="1" si="3"/>
        <v/>
      </c>
      <c r="R24" s="1059"/>
      <c r="S24" s="1053" t="str">
        <f t="shared" si="5"/>
        <v/>
      </c>
      <c r="T24" s="1053" t="str">
        <f t="shared" ca="1" si="6"/>
        <v/>
      </c>
      <c r="U24" s="1053" t="str">
        <f t="shared" ca="1" si="4"/>
        <v/>
      </c>
      <c r="V24" s="1053"/>
      <c r="W24" s="1053" t="str">
        <f t="shared" si="7"/>
        <v/>
      </c>
    </row>
    <row r="25" spans="1:23" s="147" customFormat="1" ht="14.4" x14ac:dyDescent="0.2">
      <c r="A25" s="144" t="str">
        <f t="shared" si="0"/>
        <v/>
      </c>
      <c r="B25" s="984">
        <v>17</v>
      </c>
      <c r="C25" s="1035"/>
      <c r="D25" s="1067"/>
      <c r="E25" s="976"/>
      <c r="F25" s="1035"/>
      <c r="G25" s="977"/>
      <c r="H25" s="975"/>
      <c r="I25" s="978"/>
      <c r="J25" s="975" t="str">
        <f t="shared" si="1"/>
        <v/>
      </c>
      <c r="K25" s="979"/>
      <c r="L25" s="979"/>
      <c r="M25" s="980" t="str">
        <f t="shared" si="8"/>
        <v/>
      </c>
      <c r="N25" s="1081"/>
      <c r="O25" s="982" t="str">
        <f t="shared" ca="1" si="2"/>
        <v/>
      </c>
      <c r="P25" s="991" t="str">
        <f t="shared" ca="1" si="3"/>
        <v/>
      </c>
      <c r="R25" s="1058"/>
      <c r="S25" s="1053" t="str">
        <f t="shared" si="5"/>
        <v/>
      </c>
      <c r="T25" s="1053" t="str">
        <f t="shared" ca="1" si="6"/>
        <v/>
      </c>
      <c r="U25" s="1053" t="str">
        <f t="shared" ca="1" si="4"/>
        <v/>
      </c>
      <c r="V25" s="1057"/>
      <c r="W25" s="1053" t="str">
        <f t="shared" si="7"/>
        <v/>
      </c>
    </row>
    <row r="26" spans="1:23" s="147" customFormat="1" ht="14.4" x14ac:dyDescent="0.2">
      <c r="A26" s="144" t="str">
        <f t="shared" si="0"/>
        <v/>
      </c>
      <c r="B26" s="984">
        <v>18</v>
      </c>
      <c r="C26" s="1035"/>
      <c r="D26" s="1067"/>
      <c r="E26" s="976"/>
      <c r="F26" s="1035"/>
      <c r="G26" s="977"/>
      <c r="H26" s="975"/>
      <c r="I26" s="978"/>
      <c r="J26" s="975" t="str">
        <f t="shared" si="1"/>
        <v/>
      </c>
      <c r="K26" s="979"/>
      <c r="L26" s="979"/>
      <c r="M26" s="980" t="str">
        <f t="shared" si="8"/>
        <v/>
      </c>
      <c r="N26" s="1081"/>
      <c r="O26" s="982" t="str">
        <f t="shared" ca="1" si="2"/>
        <v/>
      </c>
      <c r="P26" s="991" t="str">
        <f t="shared" ca="1" si="3"/>
        <v/>
      </c>
      <c r="R26" s="1053"/>
      <c r="S26" s="1053" t="str">
        <f t="shared" si="5"/>
        <v/>
      </c>
      <c r="T26" s="1053" t="str">
        <f t="shared" ca="1" si="6"/>
        <v/>
      </c>
      <c r="U26" s="1053" t="str">
        <f t="shared" ca="1" si="4"/>
        <v/>
      </c>
      <c r="V26" s="1053"/>
      <c r="W26" s="1053" t="str">
        <f t="shared" si="7"/>
        <v/>
      </c>
    </row>
    <row r="27" spans="1:23" s="147" customFormat="1" ht="14.4" x14ac:dyDescent="0.2">
      <c r="A27" s="144" t="str">
        <f t="shared" si="0"/>
        <v/>
      </c>
      <c r="B27" s="984">
        <v>19</v>
      </c>
      <c r="C27" s="1035"/>
      <c r="D27" s="1067"/>
      <c r="E27" s="976"/>
      <c r="F27" s="1035"/>
      <c r="G27" s="977"/>
      <c r="H27" s="975"/>
      <c r="I27" s="978"/>
      <c r="J27" s="975" t="str">
        <f t="shared" si="1"/>
        <v/>
      </c>
      <c r="K27" s="979"/>
      <c r="L27" s="979"/>
      <c r="M27" s="980" t="str">
        <f t="shared" si="8"/>
        <v/>
      </c>
      <c r="N27" s="1081"/>
      <c r="O27" s="982" t="str">
        <f t="shared" ca="1" si="2"/>
        <v/>
      </c>
      <c r="P27" s="991" t="str">
        <f t="shared" ca="1" si="3"/>
        <v/>
      </c>
      <c r="R27" s="1053"/>
      <c r="S27" s="1053" t="str">
        <f t="shared" si="5"/>
        <v/>
      </c>
      <c r="T27" s="1053" t="str">
        <f t="shared" ca="1" si="6"/>
        <v/>
      </c>
      <c r="U27" s="1053" t="str">
        <f t="shared" ca="1" si="4"/>
        <v/>
      </c>
      <c r="V27" s="1053"/>
      <c r="W27" s="1053" t="str">
        <f t="shared" si="7"/>
        <v/>
      </c>
    </row>
    <row r="28" spans="1:23" s="147" customFormat="1" ht="14.4" x14ac:dyDescent="0.2">
      <c r="A28" s="144" t="str">
        <f t="shared" si="0"/>
        <v/>
      </c>
      <c r="B28" s="984">
        <v>20</v>
      </c>
      <c r="C28" s="1035"/>
      <c r="D28" s="1067"/>
      <c r="E28" s="976"/>
      <c r="F28" s="1035"/>
      <c r="G28" s="977"/>
      <c r="H28" s="975"/>
      <c r="I28" s="978"/>
      <c r="J28" s="975" t="str">
        <f t="shared" si="1"/>
        <v/>
      </c>
      <c r="K28" s="979"/>
      <c r="L28" s="979"/>
      <c r="M28" s="980" t="str">
        <f t="shared" si="8"/>
        <v/>
      </c>
      <c r="N28" s="1081"/>
      <c r="O28" s="982" t="str">
        <f t="shared" ca="1" si="2"/>
        <v/>
      </c>
      <c r="P28" s="991" t="str">
        <f t="shared" ca="1" si="3"/>
        <v/>
      </c>
      <c r="R28" s="1053"/>
      <c r="S28" s="1053" t="str">
        <f t="shared" si="5"/>
        <v/>
      </c>
      <c r="T28" s="1053" t="str">
        <f t="shared" ca="1" si="6"/>
        <v/>
      </c>
      <c r="U28" s="1053" t="str">
        <f t="shared" ca="1" si="4"/>
        <v/>
      </c>
      <c r="V28" s="1053"/>
      <c r="W28" s="1053" t="str">
        <f t="shared" si="7"/>
        <v/>
      </c>
    </row>
    <row r="29" spans="1:23" s="147" customFormat="1" ht="14.4" x14ac:dyDescent="0.2">
      <c r="A29" s="144" t="str">
        <f t="shared" si="0"/>
        <v/>
      </c>
      <c r="B29" s="984">
        <v>21</v>
      </c>
      <c r="C29" s="1035"/>
      <c r="D29" s="1067"/>
      <c r="E29" s="976"/>
      <c r="F29" s="1035"/>
      <c r="G29" s="977"/>
      <c r="H29" s="975"/>
      <c r="I29" s="978"/>
      <c r="J29" s="975" t="str">
        <f t="shared" si="1"/>
        <v/>
      </c>
      <c r="K29" s="979"/>
      <c r="L29" s="979"/>
      <c r="M29" s="980" t="str">
        <f t="shared" si="8"/>
        <v/>
      </c>
      <c r="N29" s="1081"/>
      <c r="O29" s="982" t="str">
        <f t="shared" ca="1" si="2"/>
        <v/>
      </c>
      <c r="P29" s="991" t="str">
        <f t="shared" ca="1" si="3"/>
        <v/>
      </c>
      <c r="R29" s="1053"/>
      <c r="S29" s="1053" t="str">
        <f t="shared" si="5"/>
        <v/>
      </c>
      <c r="T29" s="1053" t="str">
        <f t="shared" ca="1" si="6"/>
        <v/>
      </c>
      <c r="U29" s="1053" t="str">
        <f t="shared" ca="1" si="4"/>
        <v/>
      </c>
      <c r="V29" s="1053"/>
      <c r="W29" s="1053" t="str">
        <f t="shared" si="7"/>
        <v/>
      </c>
    </row>
    <row r="30" spans="1:23" s="147" customFormat="1" ht="14.4" x14ac:dyDescent="0.2">
      <c r="A30" s="144" t="str">
        <f t="shared" si="0"/>
        <v/>
      </c>
      <c r="B30" s="984">
        <v>22</v>
      </c>
      <c r="C30" s="1035"/>
      <c r="D30" s="1067"/>
      <c r="E30" s="976"/>
      <c r="F30" s="1035"/>
      <c r="G30" s="977"/>
      <c r="H30" s="975"/>
      <c r="I30" s="978"/>
      <c r="J30" s="975" t="str">
        <f t="shared" si="1"/>
        <v/>
      </c>
      <c r="K30" s="979"/>
      <c r="L30" s="979"/>
      <c r="M30" s="980" t="str">
        <f t="shared" si="8"/>
        <v/>
      </c>
      <c r="N30" s="1081"/>
      <c r="O30" s="982" t="str">
        <f t="shared" ca="1" si="2"/>
        <v/>
      </c>
      <c r="P30" s="991" t="str">
        <f t="shared" ca="1" si="3"/>
        <v/>
      </c>
      <c r="R30" s="1053"/>
      <c r="S30" s="1053" t="str">
        <f t="shared" si="5"/>
        <v/>
      </c>
      <c r="T30" s="1053" t="str">
        <f t="shared" ca="1" si="6"/>
        <v/>
      </c>
      <c r="U30" s="1053" t="str">
        <f t="shared" ca="1" si="4"/>
        <v/>
      </c>
      <c r="V30" s="1053"/>
      <c r="W30" s="1053" t="str">
        <f t="shared" si="7"/>
        <v/>
      </c>
    </row>
    <row r="31" spans="1:23" s="147" customFormat="1" ht="14.4" x14ac:dyDescent="0.2">
      <c r="A31" s="144" t="str">
        <f t="shared" si="0"/>
        <v/>
      </c>
      <c r="B31" s="984">
        <v>23</v>
      </c>
      <c r="C31" s="1035"/>
      <c r="D31" s="1067"/>
      <c r="E31" s="976"/>
      <c r="F31" s="1035"/>
      <c r="G31" s="977"/>
      <c r="H31" s="975"/>
      <c r="I31" s="978"/>
      <c r="J31" s="975" t="str">
        <f t="shared" si="1"/>
        <v/>
      </c>
      <c r="K31" s="979"/>
      <c r="L31" s="979"/>
      <c r="M31" s="980" t="str">
        <f t="shared" si="8"/>
        <v/>
      </c>
      <c r="N31" s="1081"/>
      <c r="O31" s="982" t="str">
        <f t="shared" ca="1" si="2"/>
        <v/>
      </c>
      <c r="P31" s="991" t="str">
        <f t="shared" ca="1" si="3"/>
        <v/>
      </c>
      <c r="R31" s="1053"/>
      <c r="S31" s="1053" t="str">
        <f t="shared" si="5"/>
        <v/>
      </c>
      <c r="T31" s="1053" t="str">
        <f t="shared" ca="1" si="6"/>
        <v/>
      </c>
      <c r="U31" s="1053" t="str">
        <f t="shared" ca="1" si="4"/>
        <v/>
      </c>
      <c r="V31" s="1053"/>
      <c r="W31" s="1053" t="str">
        <f t="shared" si="7"/>
        <v/>
      </c>
    </row>
    <row r="32" spans="1:23" s="147" customFormat="1" ht="14.4" x14ac:dyDescent="0.2">
      <c r="A32" s="144" t="str">
        <f t="shared" si="0"/>
        <v/>
      </c>
      <c r="B32" s="984">
        <v>24</v>
      </c>
      <c r="C32" s="1035"/>
      <c r="D32" s="1067"/>
      <c r="E32" s="976"/>
      <c r="F32" s="1035"/>
      <c r="G32" s="977"/>
      <c r="H32" s="975"/>
      <c r="I32" s="978"/>
      <c r="J32" s="975" t="str">
        <f t="shared" si="1"/>
        <v/>
      </c>
      <c r="K32" s="979"/>
      <c r="L32" s="979"/>
      <c r="M32" s="980" t="str">
        <f t="shared" si="8"/>
        <v/>
      </c>
      <c r="N32" s="1081"/>
      <c r="O32" s="982" t="str">
        <f t="shared" ca="1" si="2"/>
        <v/>
      </c>
      <c r="P32" s="991" t="str">
        <f t="shared" ca="1" si="3"/>
        <v/>
      </c>
      <c r="R32" s="1053"/>
      <c r="S32" s="1053" t="str">
        <f t="shared" si="5"/>
        <v/>
      </c>
      <c r="T32" s="1053" t="str">
        <f t="shared" ca="1" si="6"/>
        <v/>
      </c>
      <c r="U32" s="1053" t="str">
        <f t="shared" ca="1" si="4"/>
        <v/>
      </c>
      <c r="V32" s="1053"/>
      <c r="W32" s="1053" t="str">
        <f t="shared" si="7"/>
        <v/>
      </c>
    </row>
    <row r="33" spans="1:23" s="147" customFormat="1" ht="14.4" x14ac:dyDescent="0.2">
      <c r="A33" s="144" t="str">
        <f t="shared" si="0"/>
        <v/>
      </c>
      <c r="B33" s="984">
        <v>25</v>
      </c>
      <c r="C33" s="1035"/>
      <c r="D33" s="1067"/>
      <c r="E33" s="976"/>
      <c r="F33" s="1035"/>
      <c r="G33" s="977"/>
      <c r="H33" s="975"/>
      <c r="I33" s="978"/>
      <c r="J33" s="975" t="str">
        <f t="shared" si="1"/>
        <v/>
      </c>
      <c r="K33" s="979"/>
      <c r="L33" s="979"/>
      <c r="M33" s="980" t="str">
        <f t="shared" si="8"/>
        <v/>
      </c>
      <c r="N33" s="1081"/>
      <c r="O33" s="982" t="str">
        <f t="shared" ca="1" si="2"/>
        <v/>
      </c>
      <c r="P33" s="991" t="str">
        <f t="shared" ca="1" si="3"/>
        <v/>
      </c>
      <c r="R33" s="1053"/>
      <c r="S33" s="1053" t="str">
        <f t="shared" si="5"/>
        <v/>
      </c>
      <c r="T33" s="1053" t="str">
        <f t="shared" ca="1" si="6"/>
        <v/>
      </c>
      <c r="U33" s="1053" t="str">
        <f t="shared" ca="1" si="4"/>
        <v/>
      </c>
      <c r="V33" s="1053"/>
      <c r="W33" s="1053" t="str">
        <f t="shared" si="7"/>
        <v/>
      </c>
    </row>
    <row r="34" spans="1:23" s="147" customFormat="1" ht="14.4" x14ac:dyDescent="0.2">
      <c r="A34" s="144" t="str">
        <f t="shared" si="0"/>
        <v/>
      </c>
      <c r="B34" s="984">
        <v>26</v>
      </c>
      <c r="C34" s="1035"/>
      <c r="D34" s="1067"/>
      <c r="E34" s="976"/>
      <c r="F34" s="1035"/>
      <c r="G34" s="977"/>
      <c r="H34" s="975"/>
      <c r="I34" s="978"/>
      <c r="J34" s="975" t="str">
        <f t="shared" si="1"/>
        <v/>
      </c>
      <c r="K34" s="979"/>
      <c r="L34" s="979"/>
      <c r="M34" s="980" t="str">
        <f t="shared" si="8"/>
        <v/>
      </c>
      <c r="N34" s="1081"/>
      <c r="O34" s="982" t="str">
        <f t="shared" ca="1" si="2"/>
        <v/>
      </c>
      <c r="P34" s="991" t="str">
        <f t="shared" ca="1" si="3"/>
        <v/>
      </c>
      <c r="R34" s="1053"/>
      <c r="S34" s="1053" t="str">
        <f t="shared" si="5"/>
        <v/>
      </c>
      <c r="T34" s="1053" t="str">
        <f t="shared" ca="1" si="6"/>
        <v/>
      </c>
      <c r="U34" s="1053" t="str">
        <f t="shared" ca="1" si="4"/>
        <v/>
      </c>
      <c r="V34" s="1053"/>
      <c r="W34" s="1053" t="str">
        <f t="shared" si="7"/>
        <v/>
      </c>
    </row>
    <row r="35" spans="1:23" s="147" customFormat="1" ht="14.4" x14ac:dyDescent="0.2">
      <c r="A35" s="144" t="str">
        <f t="shared" si="0"/>
        <v/>
      </c>
      <c r="B35" s="984">
        <v>27</v>
      </c>
      <c r="C35" s="1035"/>
      <c r="D35" s="1067"/>
      <c r="E35" s="976"/>
      <c r="F35" s="1035"/>
      <c r="G35" s="977"/>
      <c r="H35" s="975"/>
      <c r="I35" s="978"/>
      <c r="J35" s="975" t="str">
        <f t="shared" si="1"/>
        <v/>
      </c>
      <c r="K35" s="979"/>
      <c r="L35" s="979"/>
      <c r="M35" s="980" t="str">
        <f t="shared" si="8"/>
        <v/>
      </c>
      <c r="N35" s="1081"/>
      <c r="O35" s="982" t="str">
        <f t="shared" ca="1" si="2"/>
        <v/>
      </c>
      <c r="P35" s="991" t="str">
        <f t="shared" ca="1" si="3"/>
        <v/>
      </c>
      <c r="R35" s="1053"/>
      <c r="S35" s="1053" t="str">
        <f t="shared" si="5"/>
        <v/>
      </c>
      <c r="T35" s="1053" t="str">
        <f t="shared" ca="1" si="6"/>
        <v/>
      </c>
      <c r="U35" s="1053" t="str">
        <f t="shared" ca="1" si="4"/>
        <v/>
      </c>
      <c r="V35" s="1053"/>
      <c r="W35" s="1053" t="str">
        <f t="shared" si="7"/>
        <v/>
      </c>
    </row>
    <row r="36" spans="1:23" s="147" customFormat="1" ht="14.4" x14ac:dyDescent="0.2">
      <c r="A36" s="144" t="str">
        <f t="shared" si="0"/>
        <v/>
      </c>
      <c r="B36" s="984">
        <v>28</v>
      </c>
      <c r="C36" s="1035"/>
      <c r="D36" s="1067"/>
      <c r="E36" s="976"/>
      <c r="F36" s="1035"/>
      <c r="G36" s="977"/>
      <c r="H36" s="975"/>
      <c r="I36" s="978"/>
      <c r="J36" s="975" t="str">
        <f t="shared" si="1"/>
        <v/>
      </c>
      <c r="K36" s="979"/>
      <c r="L36" s="979"/>
      <c r="M36" s="980" t="str">
        <f t="shared" si="8"/>
        <v/>
      </c>
      <c r="N36" s="1081"/>
      <c r="O36" s="982" t="str">
        <f t="shared" ca="1" si="2"/>
        <v/>
      </c>
      <c r="P36" s="991" t="str">
        <f t="shared" ca="1" si="3"/>
        <v/>
      </c>
      <c r="R36" s="1053"/>
      <c r="S36" s="1053" t="str">
        <f t="shared" si="5"/>
        <v/>
      </c>
      <c r="T36" s="1053" t="str">
        <f t="shared" ca="1" si="6"/>
        <v/>
      </c>
      <c r="U36" s="1053" t="str">
        <f t="shared" ca="1" si="4"/>
        <v/>
      </c>
      <c r="V36" s="1053"/>
      <c r="W36" s="1053" t="str">
        <f t="shared" si="7"/>
        <v/>
      </c>
    </row>
    <row r="37" spans="1:23" s="147" customFormat="1" ht="14.4" x14ac:dyDescent="0.2">
      <c r="A37" s="144" t="str">
        <f t="shared" si="0"/>
        <v/>
      </c>
      <c r="B37" s="984">
        <v>29</v>
      </c>
      <c r="C37" s="1035"/>
      <c r="D37" s="1067"/>
      <c r="E37" s="976"/>
      <c r="F37" s="1035"/>
      <c r="G37" s="977"/>
      <c r="H37" s="975"/>
      <c r="I37" s="978"/>
      <c r="J37" s="975" t="str">
        <f t="shared" si="1"/>
        <v/>
      </c>
      <c r="K37" s="979"/>
      <c r="L37" s="979"/>
      <c r="M37" s="980" t="str">
        <f t="shared" si="8"/>
        <v/>
      </c>
      <c r="N37" s="1081"/>
      <c r="O37" s="982" t="str">
        <f t="shared" ca="1" si="2"/>
        <v/>
      </c>
      <c r="P37" s="991" t="str">
        <f t="shared" ca="1" si="3"/>
        <v/>
      </c>
      <c r="R37" s="1053"/>
      <c r="S37" s="1053" t="str">
        <f t="shared" si="5"/>
        <v/>
      </c>
      <c r="T37" s="1053" t="str">
        <f t="shared" ca="1" si="6"/>
        <v/>
      </c>
      <c r="U37" s="1053" t="str">
        <f t="shared" ca="1" si="4"/>
        <v/>
      </c>
      <c r="V37" s="1053"/>
      <c r="W37" s="1053" t="str">
        <f t="shared" si="7"/>
        <v/>
      </c>
    </row>
    <row r="38" spans="1:23" s="147" customFormat="1" ht="14.4" x14ac:dyDescent="0.2">
      <c r="A38" s="144" t="str">
        <f t="shared" si="0"/>
        <v/>
      </c>
      <c r="B38" s="984">
        <v>30</v>
      </c>
      <c r="C38" s="1035"/>
      <c r="D38" s="1067"/>
      <c r="E38" s="976"/>
      <c r="F38" s="1035"/>
      <c r="G38" s="977"/>
      <c r="H38" s="975"/>
      <c r="I38" s="978"/>
      <c r="J38" s="975" t="str">
        <f t="shared" si="1"/>
        <v/>
      </c>
      <c r="K38" s="979"/>
      <c r="L38" s="979"/>
      <c r="M38" s="980" t="str">
        <f t="shared" si="8"/>
        <v/>
      </c>
      <c r="N38" s="1081"/>
      <c r="O38" s="982" t="str">
        <f t="shared" ca="1" si="2"/>
        <v/>
      </c>
      <c r="P38" s="991" t="str">
        <f t="shared" ca="1" si="3"/>
        <v/>
      </c>
      <c r="R38" s="1053"/>
      <c r="S38" s="1053" t="str">
        <f t="shared" si="5"/>
        <v/>
      </c>
      <c r="T38" s="1053" t="str">
        <f t="shared" ca="1" si="6"/>
        <v/>
      </c>
      <c r="U38" s="1053" t="str">
        <f t="shared" ca="1" si="4"/>
        <v/>
      </c>
      <c r="V38" s="1053"/>
      <c r="W38" s="1053" t="str">
        <f t="shared" si="7"/>
        <v/>
      </c>
    </row>
    <row r="39" spans="1:23" s="147" customFormat="1" ht="14.4" x14ac:dyDescent="0.2">
      <c r="A39" s="144" t="str">
        <f t="shared" si="0"/>
        <v/>
      </c>
      <c r="B39" s="984">
        <v>31</v>
      </c>
      <c r="C39" s="1035"/>
      <c r="D39" s="1067"/>
      <c r="E39" s="976"/>
      <c r="F39" s="1035"/>
      <c r="G39" s="977"/>
      <c r="H39" s="975"/>
      <c r="I39" s="978"/>
      <c r="J39" s="975" t="str">
        <f t="shared" si="1"/>
        <v/>
      </c>
      <c r="K39" s="979"/>
      <c r="L39" s="979"/>
      <c r="M39" s="980" t="str">
        <f t="shared" si="8"/>
        <v/>
      </c>
      <c r="N39" s="1081"/>
      <c r="O39" s="982" t="str">
        <f t="shared" ca="1" si="2"/>
        <v/>
      </c>
      <c r="P39" s="991" t="str">
        <f t="shared" ca="1" si="3"/>
        <v/>
      </c>
      <c r="R39" s="1053"/>
      <c r="S39" s="1053" t="str">
        <f t="shared" si="5"/>
        <v/>
      </c>
      <c r="T39" s="1053" t="str">
        <f t="shared" ca="1" si="6"/>
        <v/>
      </c>
      <c r="U39" s="1053" t="str">
        <f t="shared" ca="1" si="4"/>
        <v/>
      </c>
      <c r="V39" s="1053"/>
      <c r="W39" s="1053" t="str">
        <f t="shared" si="7"/>
        <v/>
      </c>
    </row>
    <row r="40" spans="1:23" s="147" customFormat="1" ht="14.4" x14ac:dyDescent="0.2">
      <c r="A40" s="144" t="str">
        <f t="shared" si="0"/>
        <v/>
      </c>
      <c r="B40" s="984">
        <v>32</v>
      </c>
      <c r="C40" s="1035"/>
      <c r="D40" s="1067"/>
      <c r="E40" s="976"/>
      <c r="F40" s="1035"/>
      <c r="G40" s="977"/>
      <c r="H40" s="975"/>
      <c r="I40" s="978"/>
      <c r="J40" s="975" t="str">
        <f t="shared" si="1"/>
        <v/>
      </c>
      <c r="K40" s="979"/>
      <c r="L40" s="979"/>
      <c r="M40" s="980" t="str">
        <f t="shared" si="8"/>
        <v/>
      </c>
      <c r="N40" s="1081"/>
      <c r="O40" s="982" t="str">
        <f t="shared" ca="1" si="2"/>
        <v/>
      </c>
      <c r="P40" s="991" t="str">
        <f t="shared" ca="1" si="3"/>
        <v/>
      </c>
      <c r="R40" s="1053"/>
      <c r="S40" s="1053" t="str">
        <f t="shared" si="5"/>
        <v/>
      </c>
      <c r="T40" s="1053" t="str">
        <f t="shared" ca="1" si="6"/>
        <v/>
      </c>
      <c r="U40" s="1053" t="str">
        <f t="shared" ca="1" si="4"/>
        <v/>
      </c>
      <c r="V40" s="1053"/>
      <c r="W40" s="1053" t="str">
        <f t="shared" si="7"/>
        <v/>
      </c>
    </row>
    <row r="41" spans="1:23" s="147" customFormat="1" ht="14.4" x14ac:dyDescent="0.2">
      <c r="A41" s="144" t="str">
        <f t="shared" si="0"/>
        <v/>
      </c>
      <c r="B41" s="984">
        <v>33</v>
      </c>
      <c r="C41" s="1035"/>
      <c r="D41" s="1067"/>
      <c r="E41" s="976"/>
      <c r="F41" s="1035"/>
      <c r="G41" s="977"/>
      <c r="H41" s="975"/>
      <c r="I41" s="978"/>
      <c r="J41" s="975" t="str">
        <f t="shared" si="1"/>
        <v/>
      </c>
      <c r="K41" s="979"/>
      <c r="L41" s="979"/>
      <c r="M41" s="980" t="str">
        <f t="shared" si="8"/>
        <v/>
      </c>
      <c r="N41" s="1081"/>
      <c r="O41" s="982" t="str">
        <f t="shared" ca="1" si="2"/>
        <v/>
      </c>
      <c r="P41" s="991" t="str">
        <f t="shared" ca="1" si="3"/>
        <v/>
      </c>
      <c r="R41" s="1053"/>
      <c r="S41" s="1053" t="str">
        <f t="shared" si="5"/>
        <v/>
      </c>
      <c r="T41" s="1053" t="str">
        <f t="shared" ca="1" si="6"/>
        <v/>
      </c>
      <c r="U41" s="1053" t="str">
        <f t="shared" ca="1" si="4"/>
        <v/>
      </c>
      <c r="V41" s="1053"/>
      <c r="W41" s="1053" t="str">
        <f t="shared" si="7"/>
        <v/>
      </c>
    </row>
    <row r="42" spans="1:23" s="147" customFormat="1" ht="14.4" x14ac:dyDescent="0.2">
      <c r="A42" s="144" t="str">
        <f t="shared" si="0"/>
        <v/>
      </c>
      <c r="B42" s="984">
        <v>34</v>
      </c>
      <c r="C42" s="1035"/>
      <c r="D42" s="1067"/>
      <c r="E42" s="976"/>
      <c r="F42" s="1035"/>
      <c r="G42" s="977"/>
      <c r="H42" s="975"/>
      <c r="I42" s="978"/>
      <c r="J42" s="975" t="str">
        <f t="shared" si="1"/>
        <v/>
      </c>
      <c r="K42" s="979"/>
      <c r="L42" s="979"/>
      <c r="M42" s="980" t="str">
        <f t="shared" si="8"/>
        <v/>
      </c>
      <c r="N42" s="1081"/>
      <c r="O42" s="982" t="str">
        <f t="shared" ca="1" si="2"/>
        <v/>
      </c>
      <c r="P42" s="991" t="str">
        <f t="shared" ca="1" si="3"/>
        <v/>
      </c>
      <c r="R42" s="1053"/>
      <c r="S42" s="1053" t="str">
        <f t="shared" si="5"/>
        <v/>
      </c>
      <c r="T42" s="1053" t="str">
        <f t="shared" ca="1" si="6"/>
        <v/>
      </c>
      <c r="U42" s="1053" t="str">
        <f t="shared" ca="1" si="4"/>
        <v/>
      </c>
      <c r="V42" s="1053"/>
      <c r="W42" s="1053" t="str">
        <f t="shared" si="7"/>
        <v/>
      </c>
    </row>
    <row r="43" spans="1:23" s="147" customFormat="1" ht="14.4" x14ac:dyDescent="0.2">
      <c r="A43" s="144" t="str">
        <f t="shared" si="0"/>
        <v/>
      </c>
      <c r="B43" s="984">
        <v>35</v>
      </c>
      <c r="C43" s="1035"/>
      <c r="D43" s="1067"/>
      <c r="E43" s="976"/>
      <c r="F43" s="1035"/>
      <c r="G43" s="977"/>
      <c r="H43" s="975"/>
      <c r="I43" s="978"/>
      <c r="J43" s="975" t="str">
        <f t="shared" si="1"/>
        <v/>
      </c>
      <c r="K43" s="979"/>
      <c r="L43" s="979"/>
      <c r="M43" s="980" t="str">
        <f t="shared" si="8"/>
        <v/>
      </c>
      <c r="N43" s="1081"/>
      <c r="O43" s="982" t="str">
        <f t="shared" ca="1" si="2"/>
        <v/>
      </c>
      <c r="P43" s="991" t="str">
        <f t="shared" ca="1" si="3"/>
        <v/>
      </c>
      <c r="R43" s="1053"/>
      <c r="S43" s="1053" t="str">
        <f t="shared" si="5"/>
        <v/>
      </c>
      <c r="T43" s="1053" t="str">
        <f t="shared" ca="1" si="6"/>
        <v/>
      </c>
      <c r="U43" s="1053" t="str">
        <f t="shared" ca="1" si="4"/>
        <v/>
      </c>
      <c r="V43" s="1053"/>
      <c r="W43" s="1053" t="str">
        <f t="shared" si="7"/>
        <v/>
      </c>
    </row>
    <row r="44" spans="1:23" s="147" customFormat="1" ht="14.4" x14ac:dyDescent="0.2">
      <c r="A44" s="144" t="str">
        <f t="shared" si="0"/>
        <v/>
      </c>
      <c r="B44" s="984">
        <v>36</v>
      </c>
      <c r="C44" s="1035"/>
      <c r="D44" s="1067"/>
      <c r="E44" s="976"/>
      <c r="F44" s="1035"/>
      <c r="G44" s="977"/>
      <c r="H44" s="975"/>
      <c r="I44" s="978"/>
      <c r="J44" s="975" t="str">
        <f t="shared" si="1"/>
        <v/>
      </c>
      <c r="K44" s="979"/>
      <c r="L44" s="979"/>
      <c r="M44" s="980" t="str">
        <f t="shared" si="8"/>
        <v/>
      </c>
      <c r="N44" s="1081"/>
      <c r="O44" s="982" t="str">
        <f t="shared" ca="1" si="2"/>
        <v/>
      </c>
      <c r="P44" s="991" t="str">
        <f t="shared" ca="1" si="3"/>
        <v/>
      </c>
      <c r="R44" s="1053"/>
      <c r="S44" s="1053" t="str">
        <f t="shared" si="5"/>
        <v/>
      </c>
      <c r="T44" s="1053" t="str">
        <f t="shared" ca="1" si="6"/>
        <v/>
      </c>
      <c r="U44" s="1053" t="str">
        <f t="shared" ca="1" si="4"/>
        <v/>
      </c>
      <c r="V44" s="1053"/>
      <c r="W44" s="1053" t="str">
        <f t="shared" si="7"/>
        <v/>
      </c>
    </row>
    <row r="45" spans="1:23" s="147" customFormat="1" ht="14.4" x14ac:dyDescent="0.2">
      <c r="A45" s="144" t="str">
        <f t="shared" si="0"/>
        <v/>
      </c>
      <c r="B45" s="984">
        <v>37</v>
      </c>
      <c r="C45" s="1035"/>
      <c r="D45" s="1067"/>
      <c r="E45" s="976"/>
      <c r="F45" s="1035"/>
      <c r="G45" s="977"/>
      <c r="H45" s="975"/>
      <c r="I45" s="978"/>
      <c r="J45" s="975" t="str">
        <f t="shared" si="1"/>
        <v/>
      </c>
      <c r="K45" s="979"/>
      <c r="L45" s="979"/>
      <c r="M45" s="980" t="str">
        <f t="shared" si="8"/>
        <v/>
      </c>
      <c r="N45" s="1081"/>
      <c r="O45" s="982" t="str">
        <f t="shared" ca="1" si="2"/>
        <v/>
      </c>
      <c r="P45" s="991" t="str">
        <f t="shared" ca="1" si="3"/>
        <v/>
      </c>
      <c r="R45" s="1053"/>
      <c r="S45" s="1053" t="str">
        <f t="shared" si="5"/>
        <v/>
      </c>
      <c r="T45" s="1053" t="str">
        <f t="shared" ca="1" si="6"/>
        <v/>
      </c>
      <c r="U45" s="1053" t="str">
        <f t="shared" ca="1" si="4"/>
        <v/>
      </c>
      <c r="V45" s="1053"/>
      <c r="W45" s="1053" t="str">
        <f t="shared" si="7"/>
        <v/>
      </c>
    </row>
    <row r="46" spans="1:23" s="147" customFormat="1" ht="14.4" x14ac:dyDescent="0.2">
      <c r="A46" s="144" t="str">
        <f t="shared" si="0"/>
        <v/>
      </c>
      <c r="B46" s="984">
        <v>38</v>
      </c>
      <c r="C46" s="1035"/>
      <c r="D46" s="1067"/>
      <c r="E46" s="976"/>
      <c r="F46" s="1035"/>
      <c r="G46" s="977"/>
      <c r="H46" s="975"/>
      <c r="I46" s="978"/>
      <c r="J46" s="975" t="str">
        <f t="shared" si="1"/>
        <v/>
      </c>
      <c r="K46" s="979"/>
      <c r="L46" s="979"/>
      <c r="M46" s="980" t="str">
        <f t="shared" si="8"/>
        <v/>
      </c>
      <c r="N46" s="1081"/>
      <c r="O46" s="982" t="str">
        <f t="shared" ca="1" si="2"/>
        <v/>
      </c>
      <c r="P46" s="991" t="str">
        <f t="shared" ca="1" si="3"/>
        <v/>
      </c>
      <c r="R46" s="1053"/>
      <c r="S46" s="1053" t="str">
        <f t="shared" si="5"/>
        <v/>
      </c>
      <c r="T46" s="1053" t="str">
        <f t="shared" ca="1" si="6"/>
        <v/>
      </c>
      <c r="U46" s="1053" t="str">
        <f t="shared" ca="1" si="4"/>
        <v/>
      </c>
      <c r="V46" s="1053"/>
      <c r="W46" s="1053" t="str">
        <f t="shared" si="7"/>
        <v/>
      </c>
    </row>
    <row r="47" spans="1:23" s="147" customFormat="1" ht="14.4" x14ac:dyDescent="0.2">
      <c r="A47" s="144" t="str">
        <f t="shared" si="0"/>
        <v/>
      </c>
      <c r="B47" s="984">
        <v>39</v>
      </c>
      <c r="C47" s="1035"/>
      <c r="D47" s="1067"/>
      <c r="E47" s="976"/>
      <c r="F47" s="1035"/>
      <c r="G47" s="977"/>
      <c r="H47" s="975"/>
      <c r="I47" s="978"/>
      <c r="J47" s="975" t="str">
        <f t="shared" si="1"/>
        <v/>
      </c>
      <c r="K47" s="979"/>
      <c r="L47" s="979"/>
      <c r="M47" s="980" t="str">
        <f t="shared" si="8"/>
        <v/>
      </c>
      <c r="N47" s="1081"/>
      <c r="O47" s="982" t="str">
        <f t="shared" ca="1" si="2"/>
        <v/>
      </c>
      <c r="P47" s="991" t="str">
        <f t="shared" ca="1" si="3"/>
        <v/>
      </c>
      <c r="R47" s="1053"/>
      <c r="S47" s="1053" t="str">
        <f t="shared" si="5"/>
        <v/>
      </c>
      <c r="T47" s="1053" t="str">
        <f t="shared" ca="1" si="6"/>
        <v/>
      </c>
      <c r="U47" s="1053" t="str">
        <f t="shared" ca="1" si="4"/>
        <v/>
      </c>
      <c r="V47" s="1053"/>
      <c r="W47" s="1053" t="str">
        <f t="shared" si="7"/>
        <v/>
      </c>
    </row>
    <row r="48" spans="1:23" s="147" customFormat="1" ht="14.4" x14ac:dyDescent="0.2">
      <c r="A48" s="144" t="str">
        <f t="shared" si="0"/>
        <v/>
      </c>
      <c r="B48" s="984">
        <v>40</v>
      </c>
      <c r="C48" s="1035"/>
      <c r="D48" s="1067"/>
      <c r="E48" s="976"/>
      <c r="F48" s="1035"/>
      <c r="G48" s="977"/>
      <c r="H48" s="975"/>
      <c r="I48" s="978"/>
      <c r="J48" s="975" t="str">
        <f t="shared" si="1"/>
        <v/>
      </c>
      <c r="K48" s="979"/>
      <c r="L48" s="979"/>
      <c r="M48" s="980" t="str">
        <f t="shared" si="8"/>
        <v/>
      </c>
      <c r="N48" s="1081"/>
      <c r="O48" s="982" t="str">
        <f t="shared" ca="1" si="2"/>
        <v/>
      </c>
      <c r="P48" s="991" t="str">
        <f t="shared" ca="1" si="3"/>
        <v/>
      </c>
      <c r="R48" s="1053"/>
      <c r="S48" s="1053" t="str">
        <f t="shared" si="5"/>
        <v/>
      </c>
      <c r="T48" s="1053" t="str">
        <f t="shared" ca="1" si="6"/>
        <v/>
      </c>
      <c r="U48" s="1053" t="str">
        <f t="shared" ca="1" si="4"/>
        <v/>
      </c>
      <c r="V48" s="1053"/>
      <c r="W48" s="1053" t="str">
        <f t="shared" si="7"/>
        <v/>
      </c>
    </row>
    <row r="49" spans="1:23" s="147" customFormat="1" ht="14.4" x14ac:dyDescent="0.2">
      <c r="A49" s="144" t="str">
        <f t="shared" si="0"/>
        <v/>
      </c>
      <c r="B49" s="984">
        <v>41</v>
      </c>
      <c r="C49" s="1035"/>
      <c r="D49" s="1067"/>
      <c r="E49" s="976"/>
      <c r="F49" s="1035"/>
      <c r="G49" s="977"/>
      <c r="H49" s="975"/>
      <c r="I49" s="978"/>
      <c r="J49" s="975" t="str">
        <f t="shared" si="1"/>
        <v/>
      </c>
      <c r="K49" s="979"/>
      <c r="L49" s="979"/>
      <c r="M49" s="980" t="str">
        <f t="shared" si="8"/>
        <v/>
      </c>
      <c r="N49" s="1081"/>
      <c r="O49" s="982" t="str">
        <f t="shared" ca="1" si="2"/>
        <v/>
      </c>
      <c r="P49" s="991" t="str">
        <f t="shared" ca="1" si="3"/>
        <v/>
      </c>
      <c r="R49" s="1053"/>
      <c r="S49" s="1053" t="str">
        <f t="shared" si="5"/>
        <v/>
      </c>
      <c r="T49" s="1053" t="str">
        <f t="shared" ca="1" si="6"/>
        <v/>
      </c>
      <c r="U49" s="1053" t="str">
        <f t="shared" ca="1" si="4"/>
        <v/>
      </c>
      <c r="V49" s="1053"/>
      <c r="W49" s="1053" t="str">
        <f t="shared" si="7"/>
        <v/>
      </c>
    </row>
    <row r="50" spans="1:23" s="147" customFormat="1" ht="14.4" x14ac:dyDescent="0.2">
      <c r="A50" s="144" t="str">
        <f t="shared" si="0"/>
        <v/>
      </c>
      <c r="B50" s="984">
        <v>42</v>
      </c>
      <c r="C50" s="1035"/>
      <c r="D50" s="1067"/>
      <c r="E50" s="976"/>
      <c r="F50" s="1035"/>
      <c r="G50" s="977"/>
      <c r="H50" s="975"/>
      <c r="I50" s="978"/>
      <c r="J50" s="975" t="str">
        <f t="shared" si="1"/>
        <v/>
      </c>
      <c r="K50" s="979"/>
      <c r="L50" s="979"/>
      <c r="M50" s="980" t="str">
        <f t="shared" si="8"/>
        <v/>
      </c>
      <c r="N50" s="1081"/>
      <c r="O50" s="982" t="str">
        <f t="shared" ca="1" si="2"/>
        <v/>
      </c>
      <c r="P50" s="991" t="str">
        <f t="shared" ca="1" si="3"/>
        <v/>
      </c>
      <c r="R50" s="1053"/>
      <c r="S50" s="1053" t="str">
        <f t="shared" si="5"/>
        <v/>
      </c>
      <c r="T50" s="1053" t="str">
        <f t="shared" ca="1" si="6"/>
        <v/>
      </c>
      <c r="U50" s="1053" t="str">
        <f t="shared" ca="1" si="4"/>
        <v/>
      </c>
      <c r="V50" s="1053"/>
      <c r="W50" s="1053" t="str">
        <f t="shared" si="7"/>
        <v/>
      </c>
    </row>
    <row r="51" spans="1:23" s="147" customFormat="1" ht="14.4" x14ac:dyDescent="0.2">
      <c r="A51" s="144" t="str">
        <f t="shared" si="0"/>
        <v/>
      </c>
      <c r="B51" s="984">
        <v>43</v>
      </c>
      <c r="C51" s="1035"/>
      <c r="D51" s="1067"/>
      <c r="E51" s="976"/>
      <c r="F51" s="1035"/>
      <c r="G51" s="977"/>
      <c r="H51" s="975"/>
      <c r="I51" s="978"/>
      <c r="J51" s="975" t="str">
        <f t="shared" si="1"/>
        <v/>
      </c>
      <c r="K51" s="979"/>
      <c r="L51" s="979"/>
      <c r="M51" s="980" t="str">
        <f t="shared" si="8"/>
        <v/>
      </c>
      <c r="N51" s="1081"/>
      <c r="O51" s="982" t="str">
        <f t="shared" ca="1" si="2"/>
        <v/>
      </c>
      <c r="P51" s="991" t="str">
        <f t="shared" ca="1" si="3"/>
        <v/>
      </c>
      <c r="R51" s="1053"/>
      <c r="S51" s="1053" t="str">
        <f t="shared" si="5"/>
        <v/>
      </c>
      <c r="T51" s="1053" t="str">
        <f t="shared" ca="1" si="6"/>
        <v/>
      </c>
      <c r="U51" s="1053" t="str">
        <f t="shared" ca="1" si="4"/>
        <v/>
      </c>
      <c r="V51" s="1053"/>
      <c r="W51" s="1053" t="str">
        <f t="shared" si="7"/>
        <v/>
      </c>
    </row>
    <row r="52" spans="1:23" s="147" customFormat="1" ht="14.4" x14ac:dyDescent="0.3">
      <c r="A52" s="133" t="str">
        <f t="shared" si="0"/>
        <v/>
      </c>
      <c r="B52" s="984">
        <v>44</v>
      </c>
      <c r="C52" s="1035"/>
      <c r="D52" s="1067"/>
      <c r="E52" s="976"/>
      <c r="F52" s="1035"/>
      <c r="G52" s="977"/>
      <c r="H52" s="975"/>
      <c r="I52" s="978"/>
      <c r="J52" s="975" t="str">
        <f t="shared" si="1"/>
        <v/>
      </c>
      <c r="K52" s="979"/>
      <c r="L52" s="979"/>
      <c r="M52" s="980" t="str">
        <f t="shared" si="8"/>
        <v/>
      </c>
      <c r="N52" s="1081"/>
      <c r="O52" s="982" t="str">
        <f t="shared" ca="1" si="2"/>
        <v/>
      </c>
      <c r="P52" s="991" t="str">
        <f t="shared" ca="1" si="3"/>
        <v/>
      </c>
      <c r="R52" s="1053"/>
      <c r="S52" s="1053" t="str">
        <f t="shared" si="5"/>
        <v/>
      </c>
      <c r="T52" s="1053" t="str">
        <f t="shared" ca="1" si="6"/>
        <v/>
      </c>
      <c r="U52" s="1053" t="str">
        <f t="shared" ca="1" si="4"/>
        <v/>
      </c>
      <c r="V52" s="1053"/>
      <c r="W52" s="1053" t="str">
        <f t="shared" si="7"/>
        <v/>
      </c>
    </row>
    <row r="53" spans="1:23" s="147" customFormat="1" ht="14.4" x14ac:dyDescent="0.3">
      <c r="A53" s="139" t="str">
        <f t="shared" si="0"/>
        <v/>
      </c>
      <c r="B53" s="984">
        <v>45</v>
      </c>
      <c r="C53" s="1035"/>
      <c r="D53" s="1067"/>
      <c r="E53" s="976"/>
      <c r="F53" s="1035"/>
      <c r="G53" s="977"/>
      <c r="H53" s="975"/>
      <c r="I53" s="978"/>
      <c r="J53" s="975" t="str">
        <f t="shared" si="1"/>
        <v/>
      </c>
      <c r="K53" s="979"/>
      <c r="L53" s="979"/>
      <c r="M53" s="980" t="str">
        <f t="shared" si="8"/>
        <v/>
      </c>
      <c r="N53" s="1081"/>
      <c r="O53" s="982" t="str">
        <f t="shared" ca="1" si="2"/>
        <v/>
      </c>
      <c r="P53" s="991" t="str">
        <f t="shared" ca="1" si="3"/>
        <v/>
      </c>
      <c r="R53" s="1053"/>
      <c r="S53" s="1053" t="str">
        <f t="shared" si="5"/>
        <v/>
      </c>
      <c r="T53" s="1053" t="str">
        <f t="shared" ca="1" si="6"/>
        <v/>
      </c>
      <c r="U53" s="1053" t="str">
        <f t="shared" ca="1" si="4"/>
        <v/>
      </c>
      <c r="V53" s="1053"/>
      <c r="W53" s="1053" t="str">
        <f t="shared" si="7"/>
        <v/>
      </c>
    </row>
    <row r="54" spans="1:23" s="147" customFormat="1" ht="14.4" x14ac:dyDescent="0.3">
      <c r="A54" s="139" t="str">
        <f t="shared" si="0"/>
        <v/>
      </c>
      <c r="B54" s="984">
        <v>46</v>
      </c>
      <c r="C54" s="1035"/>
      <c r="D54" s="1067"/>
      <c r="E54" s="976"/>
      <c r="F54" s="1035"/>
      <c r="G54" s="977"/>
      <c r="H54" s="975"/>
      <c r="I54" s="978"/>
      <c r="J54" s="975" t="str">
        <f t="shared" si="1"/>
        <v/>
      </c>
      <c r="K54" s="979"/>
      <c r="L54" s="979"/>
      <c r="M54" s="980" t="str">
        <f t="shared" si="8"/>
        <v/>
      </c>
      <c r="N54" s="1081"/>
      <c r="O54" s="982" t="str">
        <f t="shared" ca="1" si="2"/>
        <v/>
      </c>
      <c r="P54" s="991" t="str">
        <f t="shared" ca="1" si="3"/>
        <v/>
      </c>
      <c r="R54" s="1053"/>
      <c r="S54" s="1053" t="str">
        <f t="shared" si="5"/>
        <v/>
      </c>
      <c r="T54" s="1053" t="str">
        <f t="shared" ca="1" si="6"/>
        <v/>
      </c>
      <c r="U54" s="1053" t="str">
        <f t="shared" ca="1" si="4"/>
        <v/>
      </c>
      <c r="V54" s="1053"/>
      <c r="W54" s="1053" t="str">
        <f t="shared" si="7"/>
        <v/>
      </c>
    </row>
    <row r="55" spans="1:23" s="147" customFormat="1" ht="14.4" x14ac:dyDescent="0.3">
      <c r="A55" s="139" t="str">
        <f t="shared" si="0"/>
        <v/>
      </c>
      <c r="B55" s="984">
        <v>47</v>
      </c>
      <c r="C55" s="1035"/>
      <c r="D55" s="1067"/>
      <c r="E55" s="976"/>
      <c r="F55" s="1035"/>
      <c r="G55" s="977"/>
      <c r="H55" s="975"/>
      <c r="I55" s="978"/>
      <c r="J55" s="975" t="str">
        <f t="shared" si="1"/>
        <v/>
      </c>
      <c r="K55" s="979"/>
      <c r="L55" s="979"/>
      <c r="M55" s="980" t="str">
        <f t="shared" si="8"/>
        <v/>
      </c>
      <c r="N55" s="1081"/>
      <c r="O55" s="982" t="str">
        <f t="shared" ca="1" si="2"/>
        <v/>
      </c>
      <c r="P55" s="991" t="str">
        <f t="shared" ca="1" si="3"/>
        <v/>
      </c>
      <c r="R55" s="1053"/>
      <c r="S55" s="1053" t="str">
        <f t="shared" si="5"/>
        <v/>
      </c>
      <c r="T55" s="1053" t="str">
        <f t="shared" ca="1" si="6"/>
        <v/>
      </c>
      <c r="U55" s="1053" t="str">
        <f t="shared" ca="1" si="4"/>
        <v/>
      </c>
      <c r="V55" s="1053"/>
      <c r="W55" s="1053" t="str">
        <f t="shared" si="7"/>
        <v/>
      </c>
    </row>
    <row r="56" spans="1:23" s="147" customFormat="1" ht="14.4" x14ac:dyDescent="0.3">
      <c r="A56" s="139" t="str">
        <f t="shared" si="0"/>
        <v/>
      </c>
      <c r="B56" s="984">
        <v>48</v>
      </c>
      <c r="C56" s="1035"/>
      <c r="D56" s="1067"/>
      <c r="E56" s="976"/>
      <c r="F56" s="1035"/>
      <c r="G56" s="977"/>
      <c r="H56" s="975"/>
      <c r="I56" s="978"/>
      <c r="J56" s="975" t="str">
        <f t="shared" si="1"/>
        <v/>
      </c>
      <c r="K56" s="979"/>
      <c r="L56" s="979"/>
      <c r="M56" s="980" t="str">
        <f t="shared" si="8"/>
        <v/>
      </c>
      <c r="N56" s="1081"/>
      <c r="O56" s="982" t="str">
        <f t="shared" ca="1" si="2"/>
        <v/>
      </c>
      <c r="P56" s="991" t="str">
        <f t="shared" ca="1" si="3"/>
        <v/>
      </c>
      <c r="R56" s="1053"/>
      <c r="S56" s="1053" t="str">
        <f t="shared" si="5"/>
        <v/>
      </c>
      <c r="T56" s="1053" t="str">
        <f t="shared" ca="1" si="6"/>
        <v/>
      </c>
      <c r="U56" s="1053" t="str">
        <f t="shared" ca="1" si="4"/>
        <v/>
      </c>
      <c r="V56" s="1053"/>
      <c r="W56" s="1053" t="str">
        <f t="shared" si="7"/>
        <v/>
      </c>
    </row>
    <row r="57" spans="1:23" s="147" customFormat="1" ht="14.4" x14ac:dyDescent="0.3">
      <c r="A57" s="139" t="str">
        <f t="shared" si="0"/>
        <v/>
      </c>
      <c r="B57" s="984">
        <v>49</v>
      </c>
      <c r="C57" s="1035"/>
      <c r="D57" s="1067"/>
      <c r="E57" s="976"/>
      <c r="F57" s="1035"/>
      <c r="G57" s="977"/>
      <c r="H57" s="975"/>
      <c r="I57" s="978"/>
      <c r="J57" s="975" t="str">
        <f t="shared" si="1"/>
        <v/>
      </c>
      <c r="K57" s="979"/>
      <c r="L57" s="979"/>
      <c r="M57" s="980" t="str">
        <f t="shared" si="8"/>
        <v/>
      </c>
      <c r="N57" s="1081"/>
      <c r="O57" s="982" t="str">
        <f t="shared" ca="1" si="2"/>
        <v/>
      </c>
      <c r="P57" s="991" t="str">
        <f t="shared" ca="1" si="3"/>
        <v/>
      </c>
      <c r="R57" s="1053"/>
      <c r="S57" s="1053" t="str">
        <f t="shared" si="5"/>
        <v/>
      </c>
      <c r="T57" s="1053" t="str">
        <f t="shared" ca="1" si="6"/>
        <v/>
      </c>
      <c r="U57" s="1053" t="str">
        <f t="shared" ca="1" si="4"/>
        <v/>
      </c>
      <c r="V57" s="1053"/>
      <c r="W57" s="1053" t="str">
        <f t="shared" si="7"/>
        <v/>
      </c>
    </row>
    <row r="58" spans="1:23" s="147" customFormat="1" ht="14.4" x14ac:dyDescent="0.3">
      <c r="A58" s="139" t="str">
        <f t="shared" si="0"/>
        <v/>
      </c>
      <c r="B58" s="984">
        <v>50</v>
      </c>
      <c r="C58" s="1035"/>
      <c r="D58" s="1067"/>
      <c r="E58" s="976"/>
      <c r="F58" s="1035"/>
      <c r="G58" s="977"/>
      <c r="H58" s="975"/>
      <c r="I58" s="978"/>
      <c r="J58" s="975" t="str">
        <f t="shared" si="1"/>
        <v/>
      </c>
      <c r="K58" s="979"/>
      <c r="L58" s="979"/>
      <c r="M58" s="980" t="str">
        <f t="shared" si="8"/>
        <v/>
      </c>
      <c r="N58" s="1081"/>
      <c r="O58" s="982" t="str">
        <f t="shared" ca="1" si="2"/>
        <v/>
      </c>
      <c r="P58" s="991" t="str">
        <f t="shared" ca="1" si="3"/>
        <v/>
      </c>
      <c r="R58" s="1053"/>
      <c r="S58" s="1053" t="str">
        <f t="shared" si="5"/>
        <v/>
      </c>
      <c r="T58" s="1053" t="str">
        <f t="shared" ca="1" si="6"/>
        <v/>
      </c>
      <c r="U58" s="1053" t="str">
        <f t="shared" ca="1" si="4"/>
        <v/>
      </c>
      <c r="V58" s="1053"/>
      <c r="W58" s="1053" t="str">
        <f t="shared" si="7"/>
        <v/>
      </c>
    </row>
    <row r="59" spans="1:23" s="147" customFormat="1" ht="14.4" x14ac:dyDescent="0.3">
      <c r="A59" s="139" t="str">
        <f t="shared" si="0"/>
        <v/>
      </c>
      <c r="B59" s="984">
        <v>51</v>
      </c>
      <c r="C59" s="1035"/>
      <c r="D59" s="1067"/>
      <c r="E59" s="976"/>
      <c r="F59" s="1035"/>
      <c r="G59" s="977"/>
      <c r="H59" s="975"/>
      <c r="I59" s="978"/>
      <c r="J59" s="975" t="str">
        <f t="shared" si="1"/>
        <v/>
      </c>
      <c r="K59" s="979"/>
      <c r="L59" s="979"/>
      <c r="M59" s="980" t="str">
        <f t="shared" si="8"/>
        <v/>
      </c>
      <c r="N59" s="1081"/>
      <c r="O59" s="982" t="str">
        <f t="shared" ca="1" si="2"/>
        <v/>
      </c>
      <c r="P59" s="991" t="str">
        <f t="shared" ca="1" si="3"/>
        <v/>
      </c>
      <c r="R59" s="1053"/>
      <c r="S59" s="1053" t="str">
        <f t="shared" si="5"/>
        <v/>
      </c>
      <c r="T59" s="1053" t="str">
        <f t="shared" ca="1" si="6"/>
        <v/>
      </c>
      <c r="U59" s="1053" t="str">
        <f t="shared" ca="1" si="4"/>
        <v/>
      </c>
      <c r="V59" s="1053"/>
      <c r="W59" s="1053" t="str">
        <f t="shared" si="7"/>
        <v/>
      </c>
    </row>
    <row r="60" spans="1:23" s="147" customFormat="1" ht="14.4" x14ac:dyDescent="0.3">
      <c r="A60" s="139" t="str">
        <f t="shared" si="0"/>
        <v/>
      </c>
      <c r="B60" s="984">
        <v>52</v>
      </c>
      <c r="C60" s="1035"/>
      <c r="D60" s="1067"/>
      <c r="E60" s="976"/>
      <c r="F60" s="1035"/>
      <c r="G60" s="977"/>
      <c r="H60" s="975"/>
      <c r="I60" s="978"/>
      <c r="J60" s="975" t="str">
        <f t="shared" si="1"/>
        <v/>
      </c>
      <c r="K60" s="979"/>
      <c r="L60" s="979"/>
      <c r="M60" s="980" t="str">
        <f t="shared" si="8"/>
        <v/>
      </c>
      <c r="N60" s="1081"/>
      <c r="O60" s="982" t="str">
        <f t="shared" ca="1" si="2"/>
        <v/>
      </c>
      <c r="P60" s="991" t="str">
        <f t="shared" ca="1" si="3"/>
        <v/>
      </c>
      <c r="R60" s="1053"/>
      <c r="S60" s="1053" t="str">
        <f t="shared" si="5"/>
        <v/>
      </c>
      <c r="T60" s="1053" t="str">
        <f t="shared" ca="1" si="6"/>
        <v/>
      </c>
      <c r="U60" s="1053" t="str">
        <f t="shared" ca="1" si="4"/>
        <v/>
      </c>
      <c r="V60" s="1053"/>
      <c r="W60" s="1053" t="str">
        <f t="shared" si="7"/>
        <v/>
      </c>
    </row>
    <row r="61" spans="1:23" s="147" customFormat="1" ht="14.4" x14ac:dyDescent="0.3">
      <c r="A61" s="139" t="str">
        <f t="shared" si="0"/>
        <v/>
      </c>
      <c r="B61" s="984">
        <v>53</v>
      </c>
      <c r="C61" s="1035"/>
      <c r="D61" s="1067"/>
      <c r="E61" s="976"/>
      <c r="F61" s="1035"/>
      <c r="G61" s="977"/>
      <c r="H61" s="975"/>
      <c r="I61" s="978"/>
      <c r="J61" s="975" t="str">
        <f t="shared" si="1"/>
        <v/>
      </c>
      <c r="K61" s="979"/>
      <c r="L61" s="979"/>
      <c r="M61" s="980" t="str">
        <f t="shared" si="8"/>
        <v/>
      </c>
      <c r="N61" s="1081"/>
      <c r="O61" s="982" t="str">
        <f t="shared" ca="1" si="2"/>
        <v/>
      </c>
      <c r="P61" s="991" t="str">
        <f t="shared" ca="1" si="3"/>
        <v/>
      </c>
      <c r="R61" s="1053"/>
      <c r="S61" s="1053" t="str">
        <f t="shared" si="5"/>
        <v/>
      </c>
      <c r="T61" s="1053" t="str">
        <f t="shared" ca="1" si="6"/>
        <v/>
      </c>
      <c r="U61" s="1053" t="str">
        <f t="shared" ca="1" si="4"/>
        <v/>
      </c>
      <c r="V61" s="1053"/>
      <c r="W61" s="1053" t="str">
        <f t="shared" si="7"/>
        <v/>
      </c>
    </row>
    <row r="62" spans="1:23" s="147" customFormat="1" ht="14.4" x14ac:dyDescent="0.3">
      <c r="A62" s="139" t="str">
        <f t="shared" si="0"/>
        <v/>
      </c>
      <c r="B62" s="984">
        <v>54</v>
      </c>
      <c r="C62" s="1035"/>
      <c r="D62" s="1067"/>
      <c r="E62" s="976"/>
      <c r="F62" s="1035"/>
      <c r="G62" s="977"/>
      <c r="H62" s="975"/>
      <c r="I62" s="978"/>
      <c r="J62" s="975" t="str">
        <f t="shared" si="1"/>
        <v/>
      </c>
      <c r="K62" s="979"/>
      <c r="L62" s="979"/>
      <c r="M62" s="980" t="str">
        <f t="shared" si="8"/>
        <v/>
      </c>
      <c r="N62" s="1081"/>
      <c r="O62" s="982" t="str">
        <f t="shared" ca="1" si="2"/>
        <v/>
      </c>
      <c r="P62" s="991" t="str">
        <f t="shared" ca="1" si="3"/>
        <v/>
      </c>
      <c r="R62" s="1053"/>
      <c r="S62" s="1053" t="str">
        <f t="shared" si="5"/>
        <v/>
      </c>
      <c r="T62" s="1053" t="str">
        <f t="shared" ca="1" si="6"/>
        <v/>
      </c>
      <c r="U62" s="1053" t="str">
        <f t="shared" ca="1" si="4"/>
        <v/>
      </c>
      <c r="V62" s="1053"/>
      <c r="W62" s="1053" t="str">
        <f t="shared" si="7"/>
        <v/>
      </c>
    </row>
    <row r="63" spans="1:23" s="147" customFormat="1" ht="14.4" x14ac:dyDescent="0.3">
      <c r="A63" s="139" t="str">
        <f t="shared" si="0"/>
        <v/>
      </c>
      <c r="B63" s="984">
        <v>55</v>
      </c>
      <c r="C63" s="1035"/>
      <c r="D63" s="1067"/>
      <c r="E63" s="976"/>
      <c r="F63" s="1035"/>
      <c r="G63" s="977"/>
      <c r="H63" s="975"/>
      <c r="I63" s="978"/>
      <c r="J63" s="975" t="str">
        <f t="shared" si="1"/>
        <v/>
      </c>
      <c r="K63" s="979"/>
      <c r="L63" s="979"/>
      <c r="M63" s="980" t="str">
        <f t="shared" si="8"/>
        <v/>
      </c>
      <c r="N63" s="1081"/>
      <c r="O63" s="982" t="str">
        <f t="shared" ca="1" si="2"/>
        <v/>
      </c>
      <c r="P63" s="991" t="str">
        <f t="shared" ca="1" si="3"/>
        <v/>
      </c>
      <c r="R63" s="1053"/>
      <c r="S63" s="1053" t="str">
        <f t="shared" si="5"/>
        <v/>
      </c>
      <c r="T63" s="1053" t="str">
        <f t="shared" ca="1" si="6"/>
        <v/>
      </c>
      <c r="U63" s="1053" t="str">
        <f t="shared" ca="1" si="4"/>
        <v/>
      </c>
      <c r="V63" s="1053"/>
      <c r="W63" s="1053" t="str">
        <f t="shared" si="7"/>
        <v/>
      </c>
    </row>
    <row r="64" spans="1:23" s="147" customFormat="1" ht="14.4" x14ac:dyDescent="0.3">
      <c r="A64" s="139" t="str">
        <f t="shared" si="0"/>
        <v/>
      </c>
      <c r="B64" s="984">
        <v>56</v>
      </c>
      <c r="C64" s="1035"/>
      <c r="D64" s="1067"/>
      <c r="E64" s="976"/>
      <c r="F64" s="1035"/>
      <c r="G64" s="977"/>
      <c r="H64" s="975"/>
      <c r="I64" s="978"/>
      <c r="J64" s="975" t="str">
        <f t="shared" si="1"/>
        <v/>
      </c>
      <c r="K64" s="979"/>
      <c r="L64" s="979"/>
      <c r="M64" s="980" t="str">
        <f t="shared" si="8"/>
        <v/>
      </c>
      <c r="N64" s="1081"/>
      <c r="O64" s="982" t="str">
        <f t="shared" ca="1" si="2"/>
        <v/>
      </c>
      <c r="P64" s="991" t="str">
        <f t="shared" ca="1" si="3"/>
        <v/>
      </c>
      <c r="R64" s="1053"/>
      <c r="S64" s="1053" t="str">
        <f t="shared" si="5"/>
        <v/>
      </c>
      <c r="T64" s="1053" t="str">
        <f t="shared" ca="1" si="6"/>
        <v/>
      </c>
      <c r="U64" s="1053" t="str">
        <f t="shared" ca="1" si="4"/>
        <v/>
      </c>
      <c r="V64" s="1053"/>
      <c r="W64" s="1053" t="str">
        <f t="shared" si="7"/>
        <v/>
      </c>
    </row>
    <row r="65" spans="1:23" s="147" customFormat="1" ht="14.4" x14ac:dyDescent="0.3">
      <c r="A65" s="139" t="str">
        <f t="shared" si="0"/>
        <v/>
      </c>
      <c r="B65" s="984">
        <v>57</v>
      </c>
      <c r="C65" s="1035"/>
      <c r="D65" s="1067"/>
      <c r="E65" s="976"/>
      <c r="F65" s="1035"/>
      <c r="G65" s="977"/>
      <c r="H65" s="975"/>
      <c r="I65" s="978"/>
      <c r="J65" s="975" t="str">
        <f t="shared" si="1"/>
        <v/>
      </c>
      <c r="K65" s="979"/>
      <c r="L65" s="979"/>
      <c r="M65" s="980" t="str">
        <f t="shared" si="8"/>
        <v/>
      </c>
      <c r="N65" s="1081"/>
      <c r="O65" s="982" t="str">
        <f t="shared" ca="1" si="2"/>
        <v/>
      </c>
      <c r="P65" s="991" t="str">
        <f t="shared" ca="1" si="3"/>
        <v/>
      </c>
      <c r="R65" s="1053"/>
      <c r="S65" s="1053" t="str">
        <f t="shared" si="5"/>
        <v/>
      </c>
      <c r="T65" s="1053" t="str">
        <f t="shared" ca="1" si="6"/>
        <v/>
      </c>
      <c r="U65" s="1053" t="str">
        <f t="shared" ca="1" si="4"/>
        <v/>
      </c>
      <c r="V65" s="1053"/>
      <c r="W65" s="1053" t="str">
        <f t="shared" si="7"/>
        <v/>
      </c>
    </row>
    <row r="66" spans="1:23" s="147" customFormat="1" ht="14.4" x14ac:dyDescent="0.3">
      <c r="A66" s="139" t="str">
        <f t="shared" si="0"/>
        <v/>
      </c>
      <c r="B66" s="984">
        <v>58</v>
      </c>
      <c r="C66" s="1035"/>
      <c r="D66" s="1067"/>
      <c r="E66" s="976"/>
      <c r="F66" s="1035"/>
      <c r="G66" s="977"/>
      <c r="H66" s="975"/>
      <c r="I66" s="978"/>
      <c r="J66" s="975" t="str">
        <f t="shared" si="1"/>
        <v/>
      </c>
      <c r="K66" s="979"/>
      <c r="L66" s="979"/>
      <c r="M66" s="980" t="str">
        <f t="shared" si="8"/>
        <v/>
      </c>
      <c r="N66" s="1081"/>
      <c r="O66" s="982" t="str">
        <f t="shared" ca="1" si="2"/>
        <v/>
      </c>
      <c r="P66" s="991" t="str">
        <f t="shared" ca="1" si="3"/>
        <v/>
      </c>
      <c r="R66" s="1053"/>
      <c r="S66" s="1053" t="str">
        <f t="shared" si="5"/>
        <v/>
      </c>
      <c r="T66" s="1053" t="str">
        <f t="shared" ca="1" si="6"/>
        <v/>
      </c>
      <c r="U66" s="1053" t="str">
        <f t="shared" ca="1" si="4"/>
        <v/>
      </c>
      <c r="V66" s="1053"/>
      <c r="W66" s="1053" t="str">
        <f t="shared" si="7"/>
        <v/>
      </c>
    </row>
    <row r="67" spans="1:23" s="147" customFormat="1" ht="14.4" x14ac:dyDescent="0.3">
      <c r="A67" s="139" t="str">
        <f t="shared" si="0"/>
        <v/>
      </c>
      <c r="B67" s="984">
        <v>59</v>
      </c>
      <c r="C67" s="1035"/>
      <c r="D67" s="1067"/>
      <c r="E67" s="976"/>
      <c r="F67" s="1035"/>
      <c r="G67" s="977"/>
      <c r="H67" s="975"/>
      <c r="I67" s="978"/>
      <c r="J67" s="975" t="str">
        <f t="shared" si="1"/>
        <v/>
      </c>
      <c r="K67" s="979"/>
      <c r="L67" s="979"/>
      <c r="M67" s="980" t="str">
        <f t="shared" si="8"/>
        <v/>
      </c>
      <c r="N67" s="1081"/>
      <c r="O67" s="982" t="str">
        <f t="shared" ca="1" si="2"/>
        <v/>
      </c>
      <c r="P67" s="991" t="str">
        <f t="shared" ca="1" si="3"/>
        <v/>
      </c>
      <c r="R67" s="1053"/>
      <c r="S67" s="1053" t="str">
        <f t="shared" si="5"/>
        <v/>
      </c>
      <c r="T67" s="1053" t="str">
        <f t="shared" ca="1" si="6"/>
        <v/>
      </c>
      <c r="U67" s="1053" t="str">
        <f t="shared" ca="1" si="4"/>
        <v/>
      </c>
      <c r="V67" s="1053"/>
      <c r="W67" s="1053" t="str">
        <f t="shared" si="7"/>
        <v/>
      </c>
    </row>
    <row r="68" spans="1:23" s="147" customFormat="1" ht="14.4" x14ac:dyDescent="0.3">
      <c r="A68" s="139" t="str">
        <f t="shared" si="0"/>
        <v/>
      </c>
      <c r="B68" s="984">
        <v>60</v>
      </c>
      <c r="C68" s="1035"/>
      <c r="D68" s="1067"/>
      <c r="E68" s="976"/>
      <c r="F68" s="1035"/>
      <c r="G68" s="977"/>
      <c r="H68" s="975"/>
      <c r="I68" s="978"/>
      <c r="J68" s="975" t="str">
        <f t="shared" si="1"/>
        <v/>
      </c>
      <c r="K68" s="979"/>
      <c r="L68" s="979"/>
      <c r="M68" s="980" t="str">
        <f t="shared" si="8"/>
        <v/>
      </c>
      <c r="N68" s="1081"/>
      <c r="O68" s="982" t="str">
        <f t="shared" ca="1" si="2"/>
        <v/>
      </c>
      <c r="P68" s="991" t="str">
        <f t="shared" ca="1" si="3"/>
        <v/>
      </c>
      <c r="R68" s="1053"/>
      <c r="S68" s="1053" t="str">
        <f t="shared" si="5"/>
        <v/>
      </c>
      <c r="T68" s="1053" t="str">
        <f t="shared" ca="1" si="6"/>
        <v/>
      </c>
      <c r="U68" s="1053" t="str">
        <f t="shared" ca="1" si="4"/>
        <v/>
      </c>
      <c r="V68" s="1053"/>
      <c r="W68" s="1053" t="str">
        <f t="shared" si="7"/>
        <v/>
      </c>
    </row>
    <row r="69" spans="1:23" s="147" customFormat="1" ht="14.4" x14ac:dyDescent="0.3">
      <c r="A69" s="139" t="str">
        <f t="shared" si="0"/>
        <v/>
      </c>
      <c r="B69" s="984">
        <v>61</v>
      </c>
      <c r="C69" s="1035"/>
      <c r="D69" s="1067"/>
      <c r="E69" s="976"/>
      <c r="F69" s="1035"/>
      <c r="G69" s="977"/>
      <c r="H69" s="975"/>
      <c r="I69" s="978"/>
      <c r="J69" s="975" t="str">
        <f t="shared" si="1"/>
        <v/>
      </c>
      <c r="K69" s="979"/>
      <c r="L69" s="979"/>
      <c r="M69" s="980" t="str">
        <f t="shared" si="8"/>
        <v/>
      </c>
      <c r="N69" s="1081"/>
      <c r="O69" s="982" t="str">
        <f t="shared" ca="1" si="2"/>
        <v/>
      </c>
      <c r="P69" s="991" t="str">
        <f t="shared" ca="1" si="3"/>
        <v/>
      </c>
      <c r="R69" s="1053"/>
      <c r="S69" s="1053" t="str">
        <f t="shared" si="5"/>
        <v/>
      </c>
      <c r="T69" s="1053" t="str">
        <f t="shared" ca="1" si="6"/>
        <v/>
      </c>
      <c r="U69" s="1053" t="str">
        <f t="shared" ca="1" si="4"/>
        <v/>
      </c>
      <c r="V69" s="1053"/>
      <c r="W69" s="1053" t="str">
        <f t="shared" si="7"/>
        <v/>
      </c>
    </row>
    <row r="70" spans="1:23" s="147" customFormat="1" ht="14.4" x14ac:dyDescent="0.3">
      <c r="A70" s="139" t="str">
        <f t="shared" si="0"/>
        <v/>
      </c>
      <c r="B70" s="984">
        <v>62</v>
      </c>
      <c r="C70" s="1035"/>
      <c r="D70" s="1067"/>
      <c r="E70" s="976"/>
      <c r="F70" s="1035"/>
      <c r="G70" s="977"/>
      <c r="H70" s="975"/>
      <c r="I70" s="978"/>
      <c r="J70" s="975" t="str">
        <f t="shared" si="1"/>
        <v/>
      </c>
      <c r="K70" s="979"/>
      <c r="L70" s="979"/>
      <c r="M70" s="980" t="str">
        <f t="shared" si="8"/>
        <v/>
      </c>
      <c r="N70" s="1081"/>
      <c r="O70" s="982" t="str">
        <f t="shared" ca="1" si="2"/>
        <v/>
      </c>
      <c r="P70" s="991" t="str">
        <f t="shared" ca="1" si="3"/>
        <v/>
      </c>
      <c r="R70" s="1053"/>
      <c r="S70" s="1053" t="str">
        <f t="shared" si="5"/>
        <v/>
      </c>
      <c r="T70" s="1053" t="str">
        <f t="shared" ca="1" si="6"/>
        <v/>
      </c>
      <c r="U70" s="1053" t="str">
        <f t="shared" ca="1" si="4"/>
        <v/>
      </c>
      <c r="V70" s="1053"/>
      <c r="W70" s="1053" t="str">
        <f t="shared" si="7"/>
        <v/>
      </c>
    </row>
    <row r="71" spans="1:23" s="147" customFormat="1" ht="14.4" x14ac:dyDescent="0.3">
      <c r="A71" s="139" t="str">
        <f t="shared" si="0"/>
        <v/>
      </c>
      <c r="B71" s="984">
        <v>63</v>
      </c>
      <c r="C71" s="1035"/>
      <c r="D71" s="1067"/>
      <c r="E71" s="976"/>
      <c r="F71" s="1035"/>
      <c r="G71" s="977"/>
      <c r="H71" s="975"/>
      <c r="I71" s="978"/>
      <c r="J71" s="975" t="str">
        <f t="shared" si="1"/>
        <v/>
      </c>
      <c r="K71" s="979"/>
      <c r="L71" s="979"/>
      <c r="M71" s="980" t="str">
        <f t="shared" si="8"/>
        <v/>
      </c>
      <c r="N71" s="1081"/>
      <c r="O71" s="982" t="str">
        <f t="shared" ca="1" si="2"/>
        <v/>
      </c>
      <c r="P71" s="991" t="str">
        <f t="shared" ca="1" si="3"/>
        <v/>
      </c>
      <c r="R71" s="1053"/>
      <c r="S71" s="1053" t="str">
        <f t="shared" si="5"/>
        <v/>
      </c>
      <c r="T71" s="1053" t="str">
        <f t="shared" ca="1" si="6"/>
        <v/>
      </c>
      <c r="U71" s="1053" t="str">
        <f t="shared" ca="1" si="4"/>
        <v/>
      </c>
      <c r="V71" s="1053"/>
      <c r="W71" s="1053" t="str">
        <f t="shared" si="7"/>
        <v/>
      </c>
    </row>
    <row r="72" spans="1:23" s="147" customFormat="1" ht="14.4" x14ac:dyDescent="0.3">
      <c r="A72" s="139" t="str">
        <f t="shared" si="0"/>
        <v/>
      </c>
      <c r="B72" s="984">
        <v>64</v>
      </c>
      <c r="C72" s="1035"/>
      <c r="D72" s="1067"/>
      <c r="E72" s="976"/>
      <c r="F72" s="1035"/>
      <c r="G72" s="977"/>
      <c r="H72" s="975"/>
      <c r="I72" s="978"/>
      <c r="J72" s="975" t="str">
        <f t="shared" si="1"/>
        <v/>
      </c>
      <c r="K72" s="979"/>
      <c r="L72" s="979"/>
      <c r="M72" s="980" t="str">
        <f t="shared" si="8"/>
        <v/>
      </c>
      <c r="N72" s="1081"/>
      <c r="O72" s="982" t="str">
        <f t="shared" ca="1" si="2"/>
        <v/>
      </c>
      <c r="P72" s="991" t="str">
        <f t="shared" ca="1" si="3"/>
        <v/>
      </c>
      <c r="R72" s="1053"/>
      <c r="S72" s="1053" t="str">
        <f t="shared" si="5"/>
        <v/>
      </c>
      <c r="T72" s="1053" t="str">
        <f t="shared" ca="1" si="6"/>
        <v/>
      </c>
      <c r="U72" s="1053" t="str">
        <f t="shared" ca="1" si="4"/>
        <v/>
      </c>
      <c r="V72" s="1053"/>
      <c r="W72" s="1053" t="str">
        <f t="shared" si="7"/>
        <v/>
      </c>
    </row>
    <row r="73" spans="1:23" s="147" customFormat="1" ht="14.4" x14ac:dyDescent="0.3">
      <c r="A73" s="139" t="str">
        <f t="shared" ref="A73:A136" si="9">IF(M73=1,N73,"")</f>
        <v/>
      </c>
      <c r="B73" s="984">
        <v>65</v>
      </c>
      <c r="C73" s="1035"/>
      <c r="D73" s="1067"/>
      <c r="E73" s="976"/>
      <c r="F73" s="1035"/>
      <c r="G73" s="977"/>
      <c r="H73" s="975"/>
      <c r="I73" s="978"/>
      <c r="J73" s="975" t="str">
        <f t="shared" ref="J73:J136" si="10">IF(I73&lt;&gt;"",H73-1+INT(I73),"")</f>
        <v/>
      </c>
      <c r="K73" s="979"/>
      <c r="L73" s="979"/>
      <c r="M73" s="980" t="str">
        <f t="shared" si="8"/>
        <v/>
      </c>
      <c r="N73" s="1081"/>
      <c r="O73" s="982" t="str">
        <f t="shared" ref="O73:O136" ca="1" si="11">IF(J73&lt;&gt;"",
IF(J73&gt;TODAY(),
IF((TODAY()-H73)/(J73-H73)&gt;0,(TODAY()-H73)/(J73-H73),0),100%),"")</f>
        <v/>
      </c>
      <c r="P73" s="991" t="str">
        <f t="shared" ref="P73:P136" ca="1" si="12">IF(T73&gt;0,U73,"0/"&amp;S73)</f>
        <v/>
      </c>
      <c r="R73" s="1053"/>
      <c r="S73" s="1053" t="str">
        <f t="shared" si="5"/>
        <v/>
      </c>
      <c r="T73" s="1053" t="str">
        <f t="shared" ca="1" si="6"/>
        <v/>
      </c>
      <c r="U73" s="1053" t="str">
        <f t="shared" ca="1" si="4"/>
        <v/>
      </c>
      <c r="V73" s="1053"/>
      <c r="W73" s="1053" t="str">
        <f t="shared" si="7"/>
        <v/>
      </c>
    </row>
    <row r="74" spans="1:23" s="147" customFormat="1" ht="14.4" x14ac:dyDescent="0.3">
      <c r="A74" s="139" t="str">
        <f t="shared" si="9"/>
        <v/>
      </c>
      <c r="B74" s="984">
        <v>66</v>
      </c>
      <c r="C74" s="1035"/>
      <c r="D74" s="1067"/>
      <c r="E74" s="976"/>
      <c r="F74" s="1035"/>
      <c r="G74" s="977"/>
      <c r="H74" s="975"/>
      <c r="I74" s="978"/>
      <c r="J74" s="975" t="str">
        <f t="shared" si="10"/>
        <v/>
      </c>
      <c r="K74" s="979"/>
      <c r="L74" s="979"/>
      <c r="M74" s="980" t="str">
        <f t="shared" si="8"/>
        <v/>
      </c>
      <c r="N74" s="1081"/>
      <c r="O74" s="982" t="str">
        <f t="shared" ca="1" si="11"/>
        <v/>
      </c>
      <c r="P74" s="991" t="str">
        <f t="shared" ca="1" si="12"/>
        <v/>
      </c>
      <c r="R74" s="1053"/>
      <c r="S74" s="1053" t="str">
        <f t="shared" ref="S74:S137" si="13">IF(J74&lt;&gt;"",J74-H74+1,"")</f>
        <v/>
      </c>
      <c r="T74" s="1053" t="str">
        <f t="shared" ref="T74:T137" ca="1" si="14">IF(H74&lt;&gt;"",(TODAY()-H74),"")</f>
        <v/>
      </c>
      <c r="U74" s="1053" t="str">
        <f t="shared" ref="U74:U137" ca="1" si="15">IF(T74&lt;&gt;"",T74&amp;"/"&amp;S74,"")</f>
        <v/>
      </c>
      <c r="V74" s="1053"/>
      <c r="W74" s="1053" t="str">
        <f t="shared" ref="W74:W137" si="16">IF(E74&lt;&gt;"",B74&amp;" "&amp;E74,"")</f>
        <v/>
      </c>
    </row>
    <row r="75" spans="1:23" s="147" customFormat="1" ht="14.4" x14ac:dyDescent="0.3">
      <c r="A75" s="139" t="str">
        <f t="shared" si="9"/>
        <v/>
      </c>
      <c r="B75" s="984">
        <v>67</v>
      </c>
      <c r="C75" s="1035"/>
      <c r="D75" s="1067"/>
      <c r="E75" s="976"/>
      <c r="F75" s="1035"/>
      <c r="G75" s="977"/>
      <c r="H75" s="975"/>
      <c r="I75" s="978"/>
      <c r="J75" s="975" t="str">
        <f t="shared" si="10"/>
        <v/>
      </c>
      <c r="K75" s="979"/>
      <c r="L75" s="979"/>
      <c r="M75" s="980" t="str">
        <f t="shared" si="8"/>
        <v/>
      </c>
      <c r="N75" s="1081"/>
      <c r="O75" s="982" t="str">
        <f t="shared" ca="1" si="11"/>
        <v/>
      </c>
      <c r="P75" s="991" t="str">
        <f t="shared" ca="1" si="12"/>
        <v/>
      </c>
      <c r="R75" s="1053"/>
      <c r="S75" s="1053" t="str">
        <f t="shared" si="13"/>
        <v/>
      </c>
      <c r="T75" s="1053" t="str">
        <f t="shared" ca="1" si="14"/>
        <v/>
      </c>
      <c r="U75" s="1053" t="str">
        <f t="shared" ca="1" si="15"/>
        <v/>
      </c>
      <c r="V75" s="1053"/>
      <c r="W75" s="1053" t="str">
        <f t="shared" si="16"/>
        <v/>
      </c>
    </row>
    <row r="76" spans="1:23" s="147" customFormat="1" ht="14.4" x14ac:dyDescent="0.3">
      <c r="A76" s="139" t="str">
        <f t="shared" si="9"/>
        <v/>
      </c>
      <c r="B76" s="984">
        <v>68</v>
      </c>
      <c r="C76" s="1035"/>
      <c r="D76" s="1067"/>
      <c r="E76" s="976"/>
      <c r="F76" s="1035"/>
      <c r="G76" s="977"/>
      <c r="H76" s="975"/>
      <c r="I76" s="978"/>
      <c r="J76" s="975" t="str">
        <f t="shared" si="10"/>
        <v/>
      </c>
      <c r="K76" s="979"/>
      <c r="L76" s="979"/>
      <c r="M76" s="980" t="str">
        <f t="shared" ref="M76:M139" si="17">IF(N76&lt;&gt;0,3,"")</f>
        <v/>
      </c>
      <c r="N76" s="1081"/>
      <c r="O76" s="982" t="str">
        <f t="shared" ca="1" si="11"/>
        <v/>
      </c>
      <c r="P76" s="991" t="str">
        <f t="shared" ca="1" si="12"/>
        <v/>
      </c>
      <c r="R76" s="1053"/>
      <c r="S76" s="1053" t="str">
        <f t="shared" si="13"/>
        <v/>
      </c>
      <c r="T76" s="1053" t="str">
        <f t="shared" ca="1" si="14"/>
        <v/>
      </c>
      <c r="U76" s="1053" t="str">
        <f t="shared" ca="1" si="15"/>
        <v/>
      </c>
      <c r="V76" s="1053"/>
      <c r="W76" s="1053" t="str">
        <f t="shared" si="16"/>
        <v/>
      </c>
    </row>
    <row r="77" spans="1:23" s="147" customFormat="1" ht="14.4" x14ac:dyDescent="0.3">
      <c r="A77" s="139" t="str">
        <f t="shared" si="9"/>
        <v/>
      </c>
      <c r="B77" s="984">
        <v>69</v>
      </c>
      <c r="C77" s="1035"/>
      <c r="D77" s="1067"/>
      <c r="E77" s="976"/>
      <c r="F77" s="1035"/>
      <c r="G77" s="977"/>
      <c r="H77" s="975"/>
      <c r="I77" s="978"/>
      <c r="J77" s="975" t="str">
        <f t="shared" si="10"/>
        <v/>
      </c>
      <c r="K77" s="979"/>
      <c r="L77" s="979"/>
      <c r="M77" s="980" t="str">
        <f t="shared" si="17"/>
        <v/>
      </c>
      <c r="N77" s="1081"/>
      <c r="O77" s="982" t="str">
        <f t="shared" ca="1" si="11"/>
        <v/>
      </c>
      <c r="P77" s="991" t="str">
        <f t="shared" ca="1" si="12"/>
        <v/>
      </c>
      <c r="R77" s="1053"/>
      <c r="S77" s="1053" t="str">
        <f t="shared" si="13"/>
        <v/>
      </c>
      <c r="T77" s="1053" t="str">
        <f t="shared" ca="1" si="14"/>
        <v/>
      </c>
      <c r="U77" s="1053" t="str">
        <f t="shared" ca="1" si="15"/>
        <v/>
      </c>
      <c r="V77" s="1053"/>
      <c r="W77" s="1053" t="str">
        <f t="shared" si="16"/>
        <v/>
      </c>
    </row>
    <row r="78" spans="1:23" s="147" customFormat="1" ht="14.4" x14ac:dyDescent="0.3">
      <c r="A78" s="139" t="str">
        <f t="shared" si="9"/>
        <v/>
      </c>
      <c r="B78" s="984">
        <v>70</v>
      </c>
      <c r="C78" s="1035"/>
      <c r="D78" s="1067"/>
      <c r="E78" s="976"/>
      <c r="F78" s="1035"/>
      <c r="G78" s="977"/>
      <c r="H78" s="975"/>
      <c r="I78" s="978"/>
      <c r="J78" s="975" t="str">
        <f t="shared" si="10"/>
        <v/>
      </c>
      <c r="K78" s="979"/>
      <c r="L78" s="979"/>
      <c r="M78" s="980" t="str">
        <f t="shared" si="17"/>
        <v/>
      </c>
      <c r="N78" s="1081"/>
      <c r="O78" s="982" t="str">
        <f t="shared" ca="1" si="11"/>
        <v/>
      </c>
      <c r="P78" s="991" t="str">
        <f t="shared" ca="1" si="12"/>
        <v/>
      </c>
      <c r="R78" s="1053"/>
      <c r="S78" s="1053" t="str">
        <f t="shared" si="13"/>
        <v/>
      </c>
      <c r="T78" s="1053" t="str">
        <f t="shared" ca="1" si="14"/>
        <v/>
      </c>
      <c r="U78" s="1053" t="str">
        <f t="shared" ca="1" si="15"/>
        <v/>
      </c>
      <c r="V78" s="1053"/>
      <c r="W78" s="1053" t="str">
        <f t="shared" si="16"/>
        <v/>
      </c>
    </row>
    <row r="79" spans="1:23" s="147" customFormat="1" ht="14.4" x14ac:dyDescent="0.3">
      <c r="A79" s="139" t="str">
        <f t="shared" si="9"/>
        <v/>
      </c>
      <c r="B79" s="984">
        <v>71</v>
      </c>
      <c r="C79" s="1035"/>
      <c r="D79" s="1067"/>
      <c r="E79" s="976"/>
      <c r="F79" s="1035"/>
      <c r="G79" s="977"/>
      <c r="H79" s="975"/>
      <c r="I79" s="978"/>
      <c r="J79" s="975" t="str">
        <f t="shared" si="10"/>
        <v/>
      </c>
      <c r="K79" s="979"/>
      <c r="L79" s="979"/>
      <c r="M79" s="980" t="str">
        <f t="shared" si="17"/>
        <v/>
      </c>
      <c r="N79" s="1081"/>
      <c r="O79" s="982" t="str">
        <f t="shared" ca="1" si="11"/>
        <v/>
      </c>
      <c r="P79" s="991" t="str">
        <f t="shared" ca="1" si="12"/>
        <v/>
      </c>
      <c r="R79" s="1053"/>
      <c r="S79" s="1053" t="str">
        <f t="shared" si="13"/>
        <v/>
      </c>
      <c r="T79" s="1053" t="str">
        <f t="shared" ca="1" si="14"/>
        <v/>
      </c>
      <c r="U79" s="1053" t="str">
        <f t="shared" ca="1" si="15"/>
        <v/>
      </c>
      <c r="V79" s="1053"/>
      <c r="W79" s="1053" t="str">
        <f t="shared" si="16"/>
        <v/>
      </c>
    </row>
    <row r="80" spans="1:23" s="147" customFormat="1" ht="14.4" x14ac:dyDescent="0.3">
      <c r="A80" s="139" t="str">
        <f t="shared" si="9"/>
        <v/>
      </c>
      <c r="B80" s="984">
        <v>72</v>
      </c>
      <c r="C80" s="1035"/>
      <c r="D80" s="1067"/>
      <c r="E80" s="976"/>
      <c r="F80" s="1035"/>
      <c r="G80" s="977"/>
      <c r="H80" s="975"/>
      <c r="I80" s="978"/>
      <c r="J80" s="975" t="str">
        <f t="shared" si="10"/>
        <v/>
      </c>
      <c r="K80" s="979"/>
      <c r="L80" s="979"/>
      <c r="M80" s="980" t="str">
        <f t="shared" si="17"/>
        <v/>
      </c>
      <c r="N80" s="1081"/>
      <c r="O80" s="982" t="str">
        <f t="shared" ca="1" si="11"/>
        <v/>
      </c>
      <c r="P80" s="991" t="str">
        <f t="shared" ca="1" si="12"/>
        <v/>
      </c>
      <c r="R80" s="1053"/>
      <c r="S80" s="1053" t="str">
        <f t="shared" si="13"/>
        <v/>
      </c>
      <c r="T80" s="1053" t="str">
        <f t="shared" ca="1" si="14"/>
        <v/>
      </c>
      <c r="U80" s="1053" t="str">
        <f t="shared" ca="1" si="15"/>
        <v/>
      </c>
      <c r="V80" s="1053"/>
      <c r="W80" s="1053" t="str">
        <f t="shared" si="16"/>
        <v/>
      </c>
    </row>
    <row r="81" spans="1:23" s="147" customFormat="1" ht="14.4" x14ac:dyDescent="0.3">
      <c r="A81" s="139" t="str">
        <f t="shared" si="9"/>
        <v/>
      </c>
      <c r="B81" s="984">
        <v>73</v>
      </c>
      <c r="C81" s="1035"/>
      <c r="D81" s="1067"/>
      <c r="E81" s="976"/>
      <c r="F81" s="1035"/>
      <c r="G81" s="977"/>
      <c r="H81" s="975"/>
      <c r="I81" s="978"/>
      <c r="J81" s="975" t="str">
        <f t="shared" si="10"/>
        <v/>
      </c>
      <c r="K81" s="979"/>
      <c r="L81" s="979"/>
      <c r="M81" s="980" t="str">
        <f t="shared" si="17"/>
        <v/>
      </c>
      <c r="N81" s="1081"/>
      <c r="O81" s="982" t="str">
        <f t="shared" ca="1" si="11"/>
        <v/>
      </c>
      <c r="P81" s="991" t="str">
        <f t="shared" ca="1" si="12"/>
        <v/>
      </c>
      <c r="R81" s="1053"/>
      <c r="S81" s="1053" t="str">
        <f t="shared" si="13"/>
        <v/>
      </c>
      <c r="T81" s="1053" t="str">
        <f t="shared" ca="1" si="14"/>
        <v/>
      </c>
      <c r="U81" s="1053" t="str">
        <f t="shared" ca="1" si="15"/>
        <v/>
      </c>
      <c r="V81" s="1053"/>
      <c r="W81" s="1053" t="str">
        <f t="shared" si="16"/>
        <v/>
      </c>
    </row>
    <row r="82" spans="1:23" s="147" customFormat="1" ht="14.4" x14ac:dyDescent="0.3">
      <c r="A82" s="139" t="str">
        <f t="shared" si="9"/>
        <v/>
      </c>
      <c r="B82" s="984">
        <v>74</v>
      </c>
      <c r="C82" s="1035"/>
      <c r="D82" s="1067"/>
      <c r="E82" s="976"/>
      <c r="F82" s="1035"/>
      <c r="G82" s="977"/>
      <c r="H82" s="975"/>
      <c r="I82" s="978"/>
      <c r="J82" s="975" t="str">
        <f t="shared" si="10"/>
        <v/>
      </c>
      <c r="K82" s="979"/>
      <c r="L82" s="979"/>
      <c r="M82" s="980" t="str">
        <f t="shared" si="17"/>
        <v/>
      </c>
      <c r="N82" s="1081"/>
      <c r="O82" s="982" t="str">
        <f t="shared" ca="1" si="11"/>
        <v/>
      </c>
      <c r="P82" s="991" t="str">
        <f t="shared" ca="1" si="12"/>
        <v/>
      </c>
      <c r="R82" s="1053"/>
      <c r="S82" s="1053" t="str">
        <f t="shared" si="13"/>
        <v/>
      </c>
      <c r="T82" s="1053" t="str">
        <f t="shared" ca="1" si="14"/>
        <v/>
      </c>
      <c r="U82" s="1053" t="str">
        <f t="shared" ca="1" si="15"/>
        <v/>
      </c>
      <c r="V82" s="1053"/>
      <c r="W82" s="1053" t="str">
        <f t="shared" si="16"/>
        <v/>
      </c>
    </row>
    <row r="83" spans="1:23" s="147" customFormat="1" ht="14.4" x14ac:dyDescent="0.3">
      <c r="A83" s="139" t="str">
        <f t="shared" si="9"/>
        <v/>
      </c>
      <c r="B83" s="984">
        <v>75</v>
      </c>
      <c r="C83" s="1035"/>
      <c r="D83" s="1067"/>
      <c r="E83" s="976"/>
      <c r="F83" s="1035"/>
      <c r="G83" s="977"/>
      <c r="H83" s="975"/>
      <c r="I83" s="978"/>
      <c r="J83" s="975" t="str">
        <f t="shared" si="10"/>
        <v/>
      </c>
      <c r="K83" s="979"/>
      <c r="L83" s="979"/>
      <c r="M83" s="980" t="str">
        <f t="shared" si="17"/>
        <v/>
      </c>
      <c r="N83" s="1081"/>
      <c r="O83" s="982" t="str">
        <f t="shared" ca="1" si="11"/>
        <v/>
      </c>
      <c r="P83" s="991" t="str">
        <f t="shared" ca="1" si="12"/>
        <v/>
      </c>
      <c r="R83" s="1053"/>
      <c r="S83" s="1053" t="str">
        <f t="shared" si="13"/>
        <v/>
      </c>
      <c r="T83" s="1053" t="str">
        <f t="shared" ca="1" si="14"/>
        <v/>
      </c>
      <c r="U83" s="1053" t="str">
        <f t="shared" ca="1" si="15"/>
        <v/>
      </c>
      <c r="V83" s="1053"/>
      <c r="W83" s="1053" t="str">
        <f t="shared" si="16"/>
        <v/>
      </c>
    </row>
    <row r="84" spans="1:23" s="147" customFormat="1" ht="14.4" x14ac:dyDescent="0.3">
      <c r="A84" s="139" t="str">
        <f t="shared" si="9"/>
        <v/>
      </c>
      <c r="B84" s="984">
        <v>76</v>
      </c>
      <c r="C84" s="1035"/>
      <c r="D84" s="1067"/>
      <c r="E84" s="976"/>
      <c r="F84" s="1035"/>
      <c r="G84" s="977"/>
      <c r="H84" s="975"/>
      <c r="I84" s="978"/>
      <c r="J84" s="975" t="str">
        <f t="shared" si="10"/>
        <v/>
      </c>
      <c r="K84" s="979"/>
      <c r="L84" s="979"/>
      <c r="M84" s="980" t="str">
        <f t="shared" si="17"/>
        <v/>
      </c>
      <c r="N84" s="1081"/>
      <c r="O84" s="982" t="str">
        <f t="shared" ca="1" si="11"/>
        <v/>
      </c>
      <c r="P84" s="991" t="str">
        <f t="shared" ca="1" si="12"/>
        <v/>
      </c>
      <c r="R84" s="1053"/>
      <c r="S84" s="1053" t="str">
        <f t="shared" si="13"/>
        <v/>
      </c>
      <c r="T84" s="1053" t="str">
        <f t="shared" ca="1" si="14"/>
        <v/>
      </c>
      <c r="U84" s="1053" t="str">
        <f t="shared" ca="1" si="15"/>
        <v/>
      </c>
      <c r="V84" s="1053"/>
      <c r="W84" s="1053" t="str">
        <f t="shared" si="16"/>
        <v/>
      </c>
    </row>
    <row r="85" spans="1:23" s="147" customFormat="1" ht="14.4" x14ac:dyDescent="0.3">
      <c r="A85" s="139" t="str">
        <f t="shared" si="9"/>
        <v/>
      </c>
      <c r="B85" s="984">
        <v>77</v>
      </c>
      <c r="C85" s="1035"/>
      <c r="D85" s="1067"/>
      <c r="E85" s="976"/>
      <c r="F85" s="1035"/>
      <c r="G85" s="977"/>
      <c r="H85" s="975"/>
      <c r="I85" s="978"/>
      <c r="J85" s="975" t="str">
        <f t="shared" si="10"/>
        <v/>
      </c>
      <c r="K85" s="979"/>
      <c r="L85" s="979"/>
      <c r="M85" s="980" t="str">
        <f t="shared" si="17"/>
        <v/>
      </c>
      <c r="N85" s="1081"/>
      <c r="O85" s="982" t="str">
        <f t="shared" ca="1" si="11"/>
        <v/>
      </c>
      <c r="P85" s="991" t="str">
        <f t="shared" ca="1" si="12"/>
        <v/>
      </c>
      <c r="R85" s="1053"/>
      <c r="S85" s="1053" t="str">
        <f t="shared" si="13"/>
        <v/>
      </c>
      <c r="T85" s="1053" t="str">
        <f t="shared" ca="1" si="14"/>
        <v/>
      </c>
      <c r="U85" s="1053" t="str">
        <f t="shared" ca="1" si="15"/>
        <v/>
      </c>
      <c r="V85" s="1053"/>
      <c r="W85" s="1053" t="str">
        <f t="shared" si="16"/>
        <v/>
      </c>
    </row>
    <row r="86" spans="1:23" s="147" customFormat="1" ht="14.4" x14ac:dyDescent="0.3">
      <c r="A86" s="139" t="str">
        <f t="shared" si="9"/>
        <v/>
      </c>
      <c r="B86" s="984">
        <v>78</v>
      </c>
      <c r="C86" s="1035"/>
      <c r="D86" s="1067"/>
      <c r="E86" s="976"/>
      <c r="F86" s="1035"/>
      <c r="G86" s="977"/>
      <c r="H86" s="975"/>
      <c r="I86" s="978"/>
      <c r="J86" s="975" t="str">
        <f t="shared" si="10"/>
        <v/>
      </c>
      <c r="K86" s="979"/>
      <c r="L86" s="979"/>
      <c r="M86" s="980" t="str">
        <f t="shared" si="17"/>
        <v/>
      </c>
      <c r="N86" s="1081"/>
      <c r="O86" s="982" t="str">
        <f t="shared" ca="1" si="11"/>
        <v/>
      </c>
      <c r="P86" s="991" t="str">
        <f t="shared" ca="1" si="12"/>
        <v/>
      </c>
      <c r="R86" s="1053"/>
      <c r="S86" s="1053" t="str">
        <f t="shared" si="13"/>
        <v/>
      </c>
      <c r="T86" s="1053" t="str">
        <f t="shared" ca="1" si="14"/>
        <v/>
      </c>
      <c r="U86" s="1053" t="str">
        <f t="shared" ca="1" si="15"/>
        <v/>
      </c>
      <c r="V86" s="1053"/>
      <c r="W86" s="1053" t="str">
        <f t="shared" si="16"/>
        <v/>
      </c>
    </row>
    <row r="87" spans="1:23" s="147" customFormat="1" ht="14.4" x14ac:dyDescent="0.3">
      <c r="A87" s="139" t="str">
        <f t="shared" si="9"/>
        <v/>
      </c>
      <c r="B87" s="984">
        <v>79</v>
      </c>
      <c r="C87" s="1035"/>
      <c r="D87" s="1067"/>
      <c r="E87" s="976"/>
      <c r="F87" s="1035"/>
      <c r="G87" s="977"/>
      <c r="H87" s="975"/>
      <c r="I87" s="978"/>
      <c r="J87" s="975" t="str">
        <f t="shared" si="10"/>
        <v/>
      </c>
      <c r="K87" s="979"/>
      <c r="L87" s="979"/>
      <c r="M87" s="980" t="str">
        <f t="shared" si="17"/>
        <v/>
      </c>
      <c r="N87" s="1081"/>
      <c r="O87" s="982" t="str">
        <f t="shared" ca="1" si="11"/>
        <v/>
      </c>
      <c r="P87" s="991" t="str">
        <f t="shared" ca="1" si="12"/>
        <v/>
      </c>
      <c r="R87" s="1053"/>
      <c r="S87" s="1053" t="str">
        <f t="shared" si="13"/>
        <v/>
      </c>
      <c r="T87" s="1053" t="str">
        <f t="shared" ca="1" si="14"/>
        <v/>
      </c>
      <c r="U87" s="1053" t="str">
        <f t="shared" ca="1" si="15"/>
        <v/>
      </c>
      <c r="V87" s="1053"/>
      <c r="W87" s="1053" t="str">
        <f t="shared" si="16"/>
        <v/>
      </c>
    </row>
    <row r="88" spans="1:23" s="147" customFormat="1" ht="14.4" x14ac:dyDescent="0.3">
      <c r="A88" s="139" t="str">
        <f t="shared" si="9"/>
        <v/>
      </c>
      <c r="B88" s="984">
        <v>80</v>
      </c>
      <c r="C88" s="1035"/>
      <c r="D88" s="1067"/>
      <c r="E88" s="976"/>
      <c r="F88" s="1035"/>
      <c r="G88" s="977"/>
      <c r="H88" s="975"/>
      <c r="I88" s="978"/>
      <c r="J88" s="975" t="str">
        <f t="shared" si="10"/>
        <v/>
      </c>
      <c r="K88" s="979"/>
      <c r="L88" s="979"/>
      <c r="M88" s="980" t="str">
        <f t="shared" si="17"/>
        <v/>
      </c>
      <c r="N88" s="1081"/>
      <c r="O88" s="982" t="str">
        <f t="shared" ca="1" si="11"/>
        <v/>
      </c>
      <c r="P88" s="991" t="str">
        <f t="shared" ca="1" si="12"/>
        <v/>
      </c>
      <c r="R88" s="1053"/>
      <c r="S88" s="1053" t="str">
        <f t="shared" si="13"/>
        <v/>
      </c>
      <c r="T88" s="1053" t="str">
        <f t="shared" ca="1" si="14"/>
        <v/>
      </c>
      <c r="U88" s="1053" t="str">
        <f t="shared" ca="1" si="15"/>
        <v/>
      </c>
      <c r="V88" s="1053"/>
      <c r="W88" s="1053" t="str">
        <f t="shared" si="16"/>
        <v/>
      </c>
    </row>
    <row r="89" spans="1:23" s="147" customFormat="1" ht="14.4" x14ac:dyDescent="0.3">
      <c r="A89" s="139" t="str">
        <f t="shared" si="9"/>
        <v/>
      </c>
      <c r="B89" s="984">
        <v>81</v>
      </c>
      <c r="C89" s="1035"/>
      <c r="D89" s="1067"/>
      <c r="E89" s="976"/>
      <c r="F89" s="1035"/>
      <c r="G89" s="977"/>
      <c r="H89" s="975"/>
      <c r="I89" s="978"/>
      <c r="J89" s="975" t="str">
        <f t="shared" si="10"/>
        <v/>
      </c>
      <c r="K89" s="979"/>
      <c r="L89" s="979"/>
      <c r="M89" s="980" t="str">
        <f t="shared" si="17"/>
        <v/>
      </c>
      <c r="N89" s="1081"/>
      <c r="O89" s="982" t="str">
        <f t="shared" ca="1" si="11"/>
        <v/>
      </c>
      <c r="P89" s="991" t="str">
        <f t="shared" ca="1" si="12"/>
        <v/>
      </c>
      <c r="R89" s="1053"/>
      <c r="S89" s="1053" t="str">
        <f t="shared" si="13"/>
        <v/>
      </c>
      <c r="T89" s="1053" t="str">
        <f t="shared" ca="1" si="14"/>
        <v/>
      </c>
      <c r="U89" s="1053" t="str">
        <f t="shared" ca="1" si="15"/>
        <v/>
      </c>
      <c r="V89" s="1053"/>
      <c r="W89" s="1053" t="str">
        <f t="shared" si="16"/>
        <v/>
      </c>
    </row>
    <row r="90" spans="1:23" s="147" customFormat="1" ht="14.4" x14ac:dyDescent="0.3">
      <c r="A90" s="139" t="str">
        <f t="shared" si="9"/>
        <v/>
      </c>
      <c r="B90" s="984">
        <v>82</v>
      </c>
      <c r="C90" s="1035"/>
      <c r="D90" s="1067"/>
      <c r="E90" s="976"/>
      <c r="F90" s="1035"/>
      <c r="G90" s="977"/>
      <c r="H90" s="975"/>
      <c r="I90" s="978"/>
      <c r="J90" s="975" t="str">
        <f t="shared" si="10"/>
        <v/>
      </c>
      <c r="K90" s="979"/>
      <c r="L90" s="979"/>
      <c r="M90" s="980" t="str">
        <f t="shared" si="17"/>
        <v/>
      </c>
      <c r="N90" s="1081"/>
      <c r="O90" s="982" t="str">
        <f t="shared" ca="1" si="11"/>
        <v/>
      </c>
      <c r="P90" s="991" t="str">
        <f t="shared" ca="1" si="12"/>
        <v/>
      </c>
      <c r="R90" s="1053"/>
      <c r="S90" s="1053" t="str">
        <f t="shared" si="13"/>
        <v/>
      </c>
      <c r="T90" s="1053" t="str">
        <f t="shared" ca="1" si="14"/>
        <v/>
      </c>
      <c r="U90" s="1053" t="str">
        <f t="shared" ca="1" si="15"/>
        <v/>
      </c>
      <c r="V90" s="1053"/>
      <c r="W90" s="1053" t="str">
        <f t="shared" si="16"/>
        <v/>
      </c>
    </row>
    <row r="91" spans="1:23" s="147" customFormat="1" ht="14.4" x14ac:dyDescent="0.3">
      <c r="A91" s="139" t="str">
        <f t="shared" si="9"/>
        <v/>
      </c>
      <c r="B91" s="984">
        <v>83</v>
      </c>
      <c r="C91" s="1035"/>
      <c r="D91" s="1067"/>
      <c r="E91" s="976"/>
      <c r="F91" s="1035"/>
      <c r="G91" s="977"/>
      <c r="H91" s="975"/>
      <c r="I91" s="978"/>
      <c r="J91" s="975" t="str">
        <f t="shared" si="10"/>
        <v/>
      </c>
      <c r="K91" s="979"/>
      <c r="L91" s="979"/>
      <c r="M91" s="980" t="str">
        <f t="shared" si="17"/>
        <v/>
      </c>
      <c r="N91" s="1081"/>
      <c r="O91" s="982" t="str">
        <f t="shared" ca="1" si="11"/>
        <v/>
      </c>
      <c r="P91" s="991" t="str">
        <f t="shared" ca="1" si="12"/>
        <v/>
      </c>
      <c r="R91" s="1053"/>
      <c r="S91" s="1053" t="str">
        <f t="shared" si="13"/>
        <v/>
      </c>
      <c r="T91" s="1053" t="str">
        <f t="shared" ca="1" si="14"/>
        <v/>
      </c>
      <c r="U91" s="1053" t="str">
        <f t="shared" ca="1" si="15"/>
        <v/>
      </c>
      <c r="V91" s="1053"/>
      <c r="W91" s="1053" t="str">
        <f t="shared" si="16"/>
        <v/>
      </c>
    </row>
    <row r="92" spans="1:23" s="147" customFormat="1" ht="14.4" x14ac:dyDescent="0.3">
      <c r="A92" s="139" t="str">
        <f t="shared" si="9"/>
        <v/>
      </c>
      <c r="B92" s="984">
        <v>84</v>
      </c>
      <c r="C92" s="1035"/>
      <c r="D92" s="1067"/>
      <c r="E92" s="976"/>
      <c r="F92" s="1035"/>
      <c r="G92" s="977"/>
      <c r="H92" s="975"/>
      <c r="I92" s="978"/>
      <c r="J92" s="975" t="str">
        <f t="shared" si="10"/>
        <v/>
      </c>
      <c r="K92" s="979"/>
      <c r="L92" s="979"/>
      <c r="M92" s="980" t="str">
        <f t="shared" si="17"/>
        <v/>
      </c>
      <c r="N92" s="1081"/>
      <c r="O92" s="982" t="str">
        <f t="shared" ca="1" si="11"/>
        <v/>
      </c>
      <c r="P92" s="991" t="str">
        <f t="shared" ca="1" si="12"/>
        <v/>
      </c>
      <c r="R92" s="1053"/>
      <c r="S92" s="1053" t="str">
        <f t="shared" si="13"/>
        <v/>
      </c>
      <c r="T92" s="1053" t="str">
        <f t="shared" ca="1" si="14"/>
        <v/>
      </c>
      <c r="U92" s="1053" t="str">
        <f t="shared" ca="1" si="15"/>
        <v/>
      </c>
      <c r="V92" s="1053"/>
      <c r="W92" s="1053" t="str">
        <f t="shared" si="16"/>
        <v/>
      </c>
    </row>
    <row r="93" spans="1:23" s="147" customFormat="1" ht="14.4" x14ac:dyDescent="0.3">
      <c r="A93" s="139" t="str">
        <f t="shared" si="9"/>
        <v/>
      </c>
      <c r="B93" s="984">
        <v>85</v>
      </c>
      <c r="C93" s="1035"/>
      <c r="D93" s="1067"/>
      <c r="E93" s="976"/>
      <c r="F93" s="1035"/>
      <c r="G93" s="977"/>
      <c r="H93" s="975"/>
      <c r="I93" s="978"/>
      <c r="J93" s="975" t="str">
        <f t="shared" si="10"/>
        <v/>
      </c>
      <c r="K93" s="979"/>
      <c r="L93" s="979"/>
      <c r="M93" s="980" t="str">
        <f t="shared" si="17"/>
        <v/>
      </c>
      <c r="N93" s="1081"/>
      <c r="O93" s="982" t="str">
        <f t="shared" ca="1" si="11"/>
        <v/>
      </c>
      <c r="P93" s="991" t="str">
        <f t="shared" ca="1" si="12"/>
        <v/>
      </c>
      <c r="R93" s="1053"/>
      <c r="S93" s="1053" t="str">
        <f t="shared" si="13"/>
        <v/>
      </c>
      <c r="T93" s="1053" t="str">
        <f t="shared" ca="1" si="14"/>
        <v/>
      </c>
      <c r="U93" s="1053" t="str">
        <f t="shared" ca="1" si="15"/>
        <v/>
      </c>
      <c r="V93" s="1053"/>
      <c r="W93" s="1053" t="str">
        <f t="shared" si="16"/>
        <v/>
      </c>
    </row>
    <row r="94" spans="1:23" s="147" customFormat="1" ht="14.4" x14ac:dyDescent="0.3">
      <c r="A94" s="139" t="str">
        <f t="shared" si="9"/>
        <v/>
      </c>
      <c r="B94" s="984">
        <v>86</v>
      </c>
      <c r="C94" s="1035"/>
      <c r="D94" s="1067"/>
      <c r="E94" s="976"/>
      <c r="F94" s="1035"/>
      <c r="G94" s="977"/>
      <c r="H94" s="975"/>
      <c r="I94" s="978"/>
      <c r="J94" s="975" t="str">
        <f t="shared" si="10"/>
        <v/>
      </c>
      <c r="K94" s="979"/>
      <c r="L94" s="979"/>
      <c r="M94" s="980" t="str">
        <f t="shared" si="17"/>
        <v/>
      </c>
      <c r="N94" s="1081"/>
      <c r="O94" s="982" t="str">
        <f t="shared" ca="1" si="11"/>
        <v/>
      </c>
      <c r="P94" s="991" t="str">
        <f t="shared" ca="1" si="12"/>
        <v/>
      </c>
      <c r="R94" s="1053"/>
      <c r="S94" s="1053" t="str">
        <f t="shared" si="13"/>
        <v/>
      </c>
      <c r="T94" s="1053" t="str">
        <f t="shared" ca="1" si="14"/>
        <v/>
      </c>
      <c r="U94" s="1053" t="str">
        <f t="shared" ca="1" si="15"/>
        <v/>
      </c>
      <c r="V94" s="1053"/>
      <c r="W94" s="1053" t="str">
        <f t="shared" si="16"/>
        <v/>
      </c>
    </row>
    <row r="95" spans="1:23" s="147" customFormat="1" ht="14.4" x14ac:dyDescent="0.3">
      <c r="A95" s="139" t="str">
        <f t="shared" si="9"/>
        <v/>
      </c>
      <c r="B95" s="984">
        <v>87</v>
      </c>
      <c r="C95" s="1035"/>
      <c r="D95" s="1067"/>
      <c r="E95" s="976"/>
      <c r="F95" s="1035"/>
      <c r="G95" s="977"/>
      <c r="H95" s="975"/>
      <c r="I95" s="978"/>
      <c r="J95" s="975" t="str">
        <f t="shared" si="10"/>
        <v/>
      </c>
      <c r="K95" s="979"/>
      <c r="L95" s="979"/>
      <c r="M95" s="980" t="str">
        <f t="shared" si="17"/>
        <v/>
      </c>
      <c r="N95" s="1081"/>
      <c r="O95" s="982" t="str">
        <f t="shared" ca="1" si="11"/>
        <v/>
      </c>
      <c r="P95" s="991" t="str">
        <f t="shared" ca="1" si="12"/>
        <v/>
      </c>
      <c r="R95" s="1053"/>
      <c r="S95" s="1053" t="str">
        <f t="shared" si="13"/>
        <v/>
      </c>
      <c r="T95" s="1053" t="str">
        <f t="shared" ca="1" si="14"/>
        <v/>
      </c>
      <c r="U95" s="1053" t="str">
        <f t="shared" ca="1" si="15"/>
        <v/>
      </c>
      <c r="V95" s="1053"/>
      <c r="W95" s="1053" t="str">
        <f t="shared" si="16"/>
        <v/>
      </c>
    </row>
    <row r="96" spans="1:23" s="147" customFormat="1" ht="14.4" x14ac:dyDescent="0.3">
      <c r="A96" s="139" t="str">
        <f t="shared" si="9"/>
        <v/>
      </c>
      <c r="B96" s="984">
        <v>88</v>
      </c>
      <c r="C96" s="1035"/>
      <c r="D96" s="1067"/>
      <c r="E96" s="976"/>
      <c r="F96" s="1035"/>
      <c r="G96" s="977"/>
      <c r="H96" s="975"/>
      <c r="I96" s="978"/>
      <c r="J96" s="975" t="str">
        <f t="shared" si="10"/>
        <v/>
      </c>
      <c r="K96" s="979"/>
      <c r="L96" s="979"/>
      <c r="M96" s="980" t="str">
        <f t="shared" si="17"/>
        <v/>
      </c>
      <c r="N96" s="1081"/>
      <c r="O96" s="982" t="str">
        <f t="shared" ca="1" si="11"/>
        <v/>
      </c>
      <c r="P96" s="991" t="str">
        <f t="shared" ca="1" si="12"/>
        <v/>
      </c>
      <c r="R96" s="1053"/>
      <c r="S96" s="1053" t="str">
        <f t="shared" si="13"/>
        <v/>
      </c>
      <c r="T96" s="1053" t="str">
        <f t="shared" ca="1" si="14"/>
        <v/>
      </c>
      <c r="U96" s="1053" t="str">
        <f t="shared" ca="1" si="15"/>
        <v/>
      </c>
      <c r="V96" s="1053"/>
      <c r="W96" s="1053" t="str">
        <f t="shared" si="16"/>
        <v/>
      </c>
    </row>
    <row r="97" spans="1:23" s="147" customFormat="1" ht="14.4" x14ac:dyDescent="0.3">
      <c r="A97" s="139" t="str">
        <f t="shared" si="9"/>
        <v/>
      </c>
      <c r="B97" s="984">
        <v>89</v>
      </c>
      <c r="C97" s="1035"/>
      <c r="D97" s="1067"/>
      <c r="E97" s="976"/>
      <c r="F97" s="1035"/>
      <c r="G97" s="977"/>
      <c r="H97" s="975"/>
      <c r="I97" s="978"/>
      <c r="J97" s="975" t="str">
        <f t="shared" si="10"/>
        <v/>
      </c>
      <c r="K97" s="979"/>
      <c r="L97" s="979"/>
      <c r="M97" s="980" t="str">
        <f t="shared" si="17"/>
        <v/>
      </c>
      <c r="N97" s="1081"/>
      <c r="O97" s="982" t="str">
        <f t="shared" ca="1" si="11"/>
        <v/>
      </c>
      <c r="P97" s="991" t="str">
        <f t="shared" ca="1" si="12"/>
        <v/>
      </c>
      <c r="R97" s="1053"/>
      <c r="S97" s="1053" t="str">
        <f t="shared" si="13"/>
        <v/>
      </c>
      <c r="T97" s="1053" t="str">
        <f t="shared" ca="1" si="14"/>
        <v/>
      </c>
      <c r="U97" s="1053" t="str">
        <f t="shared" ca="1" si="15"/>
        <v/>
      </c>
      <c r="V97" s="1053"/>
      <c r="W97" s="1053" t="str">
        <f t="shared" si="16"/>
        <v/>
      </c>
    </row>
    <row r="98" spans="1:23" s="147" customFormat="1" ht="14.4" x14ac:dyDescent="0.3">
      <c r="A98" s="139" t="str">
        <f t="shared" si="9"/>
        <v/>
      </c>
      <c r="B98" s="984">
        <v>90</v>
      </c>
      <c r="C98" s="1035"/>
      <c r="D98" s="1067"/>
      <c r="E98" s="976"/>
      <c r="F98" s="1035"/>
      <c r="G98" s="977"/>
      <c r="H98" s="975"/>
      <c r="I98" s="978"/>
      <c r="J98" s="975" t="str">
        <f t="shared" si="10"/>
        <v/>
      </c>
      <c r="K98" s="979"/>
      <c r="L98" s="979"/>
      <c r="M98" s="980" t="str">
        <f t="shared" si="17"/>
        <v/>
      </c>
      <c r="N98" s="1081"/>
      <c r="O98" s="982" t="str">
        <f t="shared" ca="1" si="11"/>
        <v/>
      </c>
      <c r="P98" s="991" t="str">
        <f t="shared" ca="1" si="12"/>
        <v/>
      </c>
      <c r="R98" s="1053"/>
      <c r="S98" s="1053" t="str">
        <f t="shared" si="13"/>
        <v/>
      </c>
      <c r="T98" s="1053" t="str">
        <f t="shared" ca="1" si="14"/>
        <v/>
      </c>
      <c r="U98" s="1053" t="str">
        <f t="shared" ca="1" si="15"/>
        <v/>
      </c>
      <c r="V98" s="1053"/>
      <c r="W98" s="1053" t="str">
        <f t="shared" si="16"/>
        <v/>
      </c>
    </row>
    <row r="99" spans="1:23" s="147" customFormat="1" ht="14.4" x14ac:dyDescent="0.3">
      <c r="A99" s="139" t="str">
        <f t="shared" si="9"/>
        <v/>
      </c>
      <c r="B99" s="984">
        <v>91</v>
      </c>
      <c r="C99" s="1035"/>
      <c r="D99" s="1067"/>
      <c r="E99" s="976"/>
      <c r="F99" s="1035"/>
      <c r="G99" s="977"/>
      <c r="H99" s="975"/>
      <c r="I99" s="978"/>
      <c r="J99" s="975" t="str">
        <f t="shared" si="10"/>
        <v/>
      </c>
      <c r="K99" s="979"/>
      <c r="L99" s="979"/>
      <c r="M99" s="980" t="str">
        <f t="shared" si="17"/>
        <v/>
      </c>
      <c r="N99" s="1081"/>
      <c r="O99" s="982" t="str">
        <f t="shared" ca="1" si="11"/>
        <v/>
      </c>
      <c r="P99" s="991" t="str">
        <f t="shared" ca="1" si="12"/>
        <v/>
      </c>
      <c r="R99" s="1053"/>
      <c r="S99" s="1053" t="str">
        <f t="shared" si="13"/>
        <v/>
      </c>
      <c r="T99" s="1053" t="str">
        <f t="shared" ca="1" si="14"/>
        <v/>
      </c>
      <c r="U99" s="1053" t="str">
        <f t="shared" ca="1" si="15"/>
        <v/>
      </c>
      <c r="V99" s="1053"/>
      <c r="W99" s="1053" t="str">
        <f t="shared" si="16"/>
        <v/>
      </c>
    </row>
    <row r="100" spans="1:23" s="147" customFormat="1" ht="14.4" x14ac:dyDescent="0.3">
      <c r="A100" s="139" t="str">
        <f t="shared" si="9"/>
        <v/>
      </c>
      <c r="B100" s="984">
        <v>92</v>
      </c>
      <c r="C100" s="1035"/>
      <c r="D100" s="1067"/>
      <c r="E100" s="976"/>
      <c r="F100" s="1035"/>
      <c r="G100" s="977"/>
      <c r="H100" s="975"/>
      <c r="I100" s="978"/>
      <c r="J100" s="975" t="str">
        <f t="shared" si="10"/>
        <v/>
      </c>
      <c r="K100" s="979"/>
      <c r="L100" s="979"/>
      <c r="M100" s="980" t="str">
        <f t="shared" si="17"/>
        <v/>
      </c>
      <c r="N100" s="1081"/>
      <c r="O100" s="982" t="str">
        <f t="shared" ca="1" si="11"/>
        <v/>
      </c>
      <c r="P100" s="991" t="str">
        <f t="shared" ca="1" si="12"/>
        <v/>
      </c>
      <c r="R100" s="1053"/>
      <c r="S100" s="1053" t="str">
        <f t="shared" si="13"/>
        <v/>
      </c>
      <c r="T100" s="1053" t="str">
        <f t="shared" ca="1" si="14"/>
        <v/>
      </c>
      <c r="U100" s="1053" t="str">
        <f t="shared" ca="1" si="15"/>
        <v/>
      </c>
      <c r="V100" s="1053"/>
      <c r="W100" s="1053" t="str">
        <f t="shared" si="16"/>
        <v/>
      </c>
    </row>
    <row r="101" spans="1:23" s="147" customFormat="1" ht="14.4" x14ac:dyDescent="0.3">
      <c r="A101" s="139" t="str">
        <f t="shared" si="9"/>
        <v/>
      </c>
      <c r="B101" s="984">
        <v>93</v>
      </c>
      <c r="C101" s="1035"/>
      <c r="D101" s="1067"/>
      <c r="E101" s="976"/>
      <c r="F101" s="1035"/>
      <c r="G101" s="977"/>
      <c r="H101" s="975"/>
      <c r="I101" s="978"/>
      <c r="J101" s="975" t="str">
        <f t="shared" si="10"/>
        <v/>
      </c>
      <c r="K101" s="979"/>
      <c r="L101" s="979"/>
      <c r="M101" s="980" t="str">
        <f t="shared" si="17"/>
        <v/>
      </c>
      <c r="N101" s="1081"/>
      <c r="O101" s="982" t="str">
        <f t="shared" ca="1" si="11"/>
        <v/>
      </c>
      <c r="P101" s="991" t="str">
        <f t="shared" ca="1" si="12"/>
        <v/>
      </c>
      <c r="R101" s="1053"/>
      <c r="S101" s="1053" t="str">
        <f t="shared" si="13"/>
        <v/>
      </c>
      <c r="T101" s="1053" t="str">
        <f t="shared" ca="1" si="14"/>
        <v/>
      </c>
      <c r="U101" s="1053" t="str">
        <f t="shared" ca="1" si="15"/>
        <v/>
      </c>
      <c r="V101" s="1053"/>
      <c r="W101" s="1053" t="str">
        <f t="shared" si="16"/>
        <v/>
      </c>
    </row>
    <row r="102" spans="1:23" s="147" customFormat="1" ht="14.4" x14ac:dyDescent="0.3">
      <c r="A102" s="139" t="str">
        <f t="shared" si="9"/>
        <v/>
      </c>
      <c r="B102" s="984">
        <v>94</v>
      </c>
      <c r="C102" s="1035"/>
      <c r="D102" s="1067"/>
      <c r="E102" s="976"/>
      <c r="F102" s="1035"/>
      <c r="G102" s="977"/>
      <c r="H102" s="975"/>
      <c r="I102" s="978"/>
      <c r="J102" s="975" t="str">
        <f t="shared" si="10"/>
        <v/>
      </c>
      <c r="K102" s="979"/>
      <c r="L102" s="979"/>
      <c r="M102" s="980" t="str">
        <f t="shared" si="17"/>
        <v/>
      </c>
      <c r="N102" s="1081"/>
      <c r="O102" s="982" t="str">
        <f t="shared" ca="1" si="11"/>
        <v/>
      </c>
      <c r="P102" s="991" t="str">
        <f t="shared" ca="1" si="12"/>
        <v/>
      </c>
      <c r="R102" s="1053"/>
      <c r="S102" s="1053" t="str">
        <f t="shared" si="13"/>
        <v/>
      </c>
      <c r="T102" s="1053" t="str">
        <f t="shared" ca="1" si="14"/>
        <v/>
      </c>
      <c r="U102" s="1053" t="str">
        <f t="shared" ca="1" si="15"/>
        <v/>
      </c>
      <c r="V102" s="1053"/>
      <c r="W102" s="1053" t="str">
        <f t="shared" si="16"/>
        <v/>
      </c>
    </row>
    <row r="103" spans="1:23" s="147" customFormat="1" ht="14.4" x14ac:dyDescent="0.3">
      <c r="A103" s="139" t="str">
        <f t="shared" si="9"/>
        <v/>
      </c>
      <c r="B103" s="984">
        <v>95</v>
      </c>
      <c r="C103" s="1035"/>
      <c r="D103" s="1067"/>
      <c r="E103" s="976"/>
      <c r="F103" s="1035"/>
      <c r="G103" s="977"/>
      <c r="H103" s="975"/>
      <c r="I103" s="978"/>
      <c r="J103" s="975" t="str">
        <f t="shared" si="10"/>
        <v/>
      </c>
      <c r="K103" s="979"/>
      <c r="L103" s="979"/>
      <c r="M103" s="980" t="str">
        <f t="shared" si="17"/>
        <v/>
      </c>
      <c r="N103" s="1081"/>
      <c r="O103" s="982" t="str">
        <f t="shared" ca="1" si="11"/>
        <v/>
      </c>
      <c r="P103" s="991" t="str">
        <f t="shared" ca="1" si="12"/>
        <v/>
      </c>
      <c r="R103" s="1053"/>
      <c r="S103" s="1053" t="str">
        <f t="shared" si="13"/>
        <v/>
      </c>
      <c r="T103" s="1053" t="str">
        <f t="shared" ca="1" si="14"/>
        <v/>
      </c>
      <c r="U103" s="1053" t="str">
        <f t="shared" ca="1" si="15"/>
        <v/>
      </c>
      <c r="V103" s="1053"/>
      <c r="W103" s="1053" t="str">
        <f t="shared" si="16"/>
        <v/>
      </c>
    </row>
    <row r="104" spans="1:23" s="147" customFormat="1" ht="14.4" x14ac:dyDescent="0.3">
      <c r="A104" s="139" t="str">
        <f t="shared" si="9"/>
        <v/>
      </c>
      <c r="B104" s="984">
        <v>96</v>
      </c>
      <c r="C104" s="1035"/>
      <c r="D104" s="1067"/>
      <c r="E104" s="976"/>
      <c r="F104" s="1035"/>
      <c r="G104" s="977"/>
      <c r="H104" s="976"/>
      <c r="I104" s="978"/>
      <c r="J104" s="975" t="str">
        <f t="shared" si="10"/>
        <v/>
      </c>
      <c r="K104" s="979"/>
      <c r="L104" s="979"/>
      <c r="M104" s="980" t="str">
        <f t="shared" si="17"/>
        <v/>
      </c>
      <c r="N104" s="1081"/>
      <c r="O104" s="982" t="str">
        <f t="shared" ca="1" si="11"/>
        <v/>
      </c>
      <c r="P104" s="991" t="str">
        <f t="shared" ca="1" si="12"/>
        <v/>
      </c>
      <c r="R104" s="1053"/>
      <c r="S104" s="1053" t="str">
        <f t="shared" si="13"/>
        <v/>
      </c>
      <c r="T104" s="1053" t="str">
        <f t="shared" ca="1" si="14"/>
        <v/>
      </c>
      <c r="U104" s="1053" t="str">
        <f t="shared" ca="1" si="15"/>
        <v/>
      </c>
      <c r="V104" s="1053"/>
      <c r="W104" s="1053" t="str">
        <f t="shared" si="16"/>
        <v/>
      </c>
    </row>
    <row r="105" spans="1:23" s="147" customFormat="1" ht="14.4" x14ac:dyDescent="0.3">
      <c r="A105" s="139" t="str">
        <f t="shared" si="9"/>
        <v/>
      </c>
      <c r="B105" s="984">
        <v>97</v>
      </c>
      <c r="C105" s="1035"/>
      <c r="D105" s="1067"/>
      <c r="E105" s="976"/>
      <c r="F105" s="1035"/>
      <c r="G105" s="977"/>
      <c r="H105" s="975"/>
      <c r="I105" s="978"/>
      <c r="J105" s="975" t="str">
        <f t="shared" si="10"/>
        <v/>
      </c>
      <c r="K105" s="979"/>
      <c r="L105" s="979"/>
      <c r="M105" s="980" t="str">
        <f t="shared" si="17"/>
        <v/>
      </c>
      <c r="N105" s="1081"/>
      <c r="O105" s="982" t="str">
        <f t="shared" ca="1" si="11"/>
        <v/>
      </c>
      <c r="P105" s="991" t="str">
        <f t="shared" ca="1" si="12"/>
        <v/>
      </c>
      <c r="R105" s="1053"/>
      <c r="S105" s="1053" t="str">
        <f t="shared" si="13"/>
        <v/>
      </c>
      <c r="T105" s="1053" t="str">
        <f t="shared" ca="1" si="14"/>
        <v/>
      </c>
      <c r="U105" s="1053" t="str">
        <f t="shared" ca="1" si="15"/>
        <v/>
      </c>
      <c r="V105" s="1053"/>
      <c r="W105" s="1053" t="str">
        <f t="shared" si="16"/>
        <v/>
      </c>
    </row>
    <row r="106" spans="1:23" s="147" customFormat="1" ht="14.4" x14ac:dyDescent="0.3">
      <c r="A106" s="139" t="str">
        <f t="shared" si="9"/>
        <v/>
      </c>
      <c r="B106" s="984">
        <v>98</v>
      </c>
      <c r="C106" s="1035"/>
      <c r="D106" s="1067"/>
      <c r="E106" s="976"/>
      <c r="F106" s="1035"/>
      <c r="G106" s="977"/>
      <c r="H106" s="975"/>
      <c r="I106" s="978"/>
      <c r="J106" s="975" t="str">
        <f t="shared" si="10"/>
        <v/>
      </c>
      <c r="K106" s="979"/>
      <c r="L106" s="979"/>
      <c r="M106" s="980" t="str">
        <f t="shared" si="17"/>
        <v/>
      </c>
      <c r="N106" s="1081"/>
      <c r="O106" s="982" t="str">
        <f t="shared" ca="1" si="11"/>
        <v/>
      </c>
      <c r="P106" s="991" t="str">
        <f t="shared" ca="1" si="12"/>
        <v/>
      </c>
      <c r="R106" s="1053"/>
      <c r="S106" s="1053" t="str">
        <f t="shared" si="13"/>
        <v/>
      </c>
      <c r="T106" s="1053" t="str">
        <f t="shared" ca="1" si="14"/>
        <v/>
      </c>
      <c r="U106" s="1053" t="str">
        <f t="shared" ca="1" si="15"/>
        <v/>
      </c>
      <c r="V106" s="1053"/>
      <c r="W106" s="1053" t="str">
        <f t="shared" si="16"/>
        <v/>
      </c>
    </row>
    <row r="107" spans="1:23" s="147" customFormat="1" ht="14.4" x14ac:dyDescent="0.3">
      <c r="A107" s="139" t="str">
        <f t="shared" si="9"/>
        <v/>
      </c>
      <c r="B107" s="984">
        <v>99</v>
      </c>
      <c r="C107" s="1035"/>
      <c r="D107" s="1067"/>
      <c r="E107" s="976"/>
      <c r="F107" s="1035"/>
      <c r="G107" s="977"/>
      <c r="H107" s="975"/>
      <c r="I107" s="978"/>
      <c r="J107" s="975" t="str">
        <f t="shared" si="10"/>
        <v/>
      </c>
      <c r="K107" s="979"/>
      <c r="L107" s="979"/>
      <c r="M107" s="980" t="str">
        <f t="shared" si="17"/>
        <v/>
      </c>
      <c r="N107" s="1081"/>
      <c r="O107" s="982" t="str">
        <f t="shared" ca="1" si="11"/>
        <v/>
      </c>
      <c r="P107" s="991" t="str">
        <f t="shared" ca="1" si="12"/>
        <v/>
      </c>
      <c r="R107" s="1053"/>
      <c r="S107" s="1053" t="str">
        <f t="shared" si="13"/>
        <v/>
      </c>
      <c r="T107" s="1053" t="str">
        <f t="shared" ca="1" si="14"/>
        <v/>
      </c>
      <c r="U107" s="1053" t="str">
        <f t="shared" ca="1" si="15"/>
        <v/>
      </c>
      <c r="V107" s="1053"/>
      <c r="W107" s="1053" t="str">
        <f t="shared" si="16"/>
        <v/>
      </c>
    </row>
    <row r="108" spans="1:23" s="147" customFormat="1" ht="14.4" x14ac:dyDescent="0.3">
      <c r="A108" s="139" t="str">
        <f t="shared" si="9"/>
        <v/>
      </c>
      <c r="B108" s="984">
        <v>100</v>
      </c>
      <c r="C108" s="1035"/>
      <c r="D108" s="1067"/>
      <c r="E108" s="976"/>
      <c r="F108" s="1035"/>
      <c r="G108" s="977"/>
      <c r="H108" s="975"/>
      <c r="I108" s="978"/>
      <c r="J108" s="975" t="str">
        <f t="shared" si="10"/>
        <v/>
      </c>
      <c r="K108" s="979"/>
      <c r="L108" s="979"/>
      <c r="M108" s="980" t="str">
        <f t="shared" si="17"/>
        <v/>
      </c>
      <c r="N108" s="1081"/>
      <c r="O108" s="982" t="str">
        <f t="shared" ca="1" si="11"/>
        <v/>
      </c>
      <c r="P108" s="991" t="str">
        <f t="shared" ca="1" si="12"/>
        <v/>
      </c>
      <c r="R108" s="1053"/>
      <c r="S108" s="1053" t="str">
        <f t="shared" si="13"/>
        <v/>
      </c>
      <c r="T108" s="1053" t="str">
        <f t="shared" ca="1" si="14"/>
        <v/>
      </c>
      <c r="U108" s="1053" t="str">
        <f t="shared" ca="1" si="15"/>
        <v/>
      </c>
      <c r="V108" s="1053"/>
      <c r="W108" s="1053" t="str">
        <f t="shared" si="16"/>
        <v/>
      </c>
    </row>
    <row r="109" spans="1:23" s="147" customFormat="1" ht="14.4" x14ac:dyDescent="0.3">
      <c r="A109" s="139" t="str">
        <f t="shared" si="9"/>
        <v/>
      </c>
      <c r="B109" s="984">
        <v>101</v>
      </c>
      <c r="C109" s="1035"/>
      <c r="D109" s="1067"/>
      <c r="E109" s="976"/>
      <c r="F109" s="1035"/>
      <c r="G109" s="977"/>
      <c r="H109" s="975"/>
      <c r="I109" s="978"/>
      <c r="J109" s="975" t="str">
        <f t="shared" si="10"/>
        <v/>
      </c>
      <c r="K109" s="979"/>
      <c r="L109" s="979"/>
      <c r="M109" s="980" t="str">
        <f t="shared" si="17"/>
        <v/>
      </c>
      <c r="N109" s="1081"/>
      <c r="O109" s="982" t="str">
        <f t="shared" ca="1" si="11"/>
        <v/>
      </c>
      <c r="P109" s="991" t="str">
        <f t="shared" ca="1" si="12"/>
        <v/>
      </c>
      <c r="R109" s="1053"/>
      <c r="S109" s="1053" t="str">
        <f t="shared" si="13"/>
        <v/>
      </c>
      <c r="T109" s="1053" t="str">
        <f t="shared" ca="1" si="14"/>
        <v/>
      </c>
      <c r="U109" s="1053" t="str">
        <f t="shared" ca="1" si="15"/>
        <v/>
      </c>
      <c r="V109" s="1053"/>
      <c r="W109" s="1053" t="str">
        <f t="shared" si="16"/>
        <v/>
      </c>
    </row>
    <row r="110" spans="1:23" s="147" customFormat="1" ht="14.4" x14ac:dyDescent="0.3">
      <c r="A110" s="139" t="str">
        <f t="shared" si="9"/>
        <v/>
      </c>
      <c r="B110" s="984">
        <v>102</v>
      </c>
      <c r="C110" s="1035"/>
      <c r="D110" s="1067"/>
      <c r="E110" s="976"/>
      <c r="F110" s="1035"/>
      <c r="G110" s="977"/>
      <c r="H110" s="975"/>
      <c r="I110" s="978"/>
      <c r="J110" s="975" t="str">
        <f t="shared" si="10"/>
        <v/>
      </c>
      <c r="K110" s="979"/>
      <c r="L110" s="979"/>
      <c r="M110" s="980" t="str">
        <f t="shared" si="17"/>
        <v/>
      </c>
      <c r="N110" s="1081"/>
      <c r="O110" s="982" t="str">
        <f t="shared" ca="1" si="11"/>
        <v/>
      </c>
      <c r="P110" s="991" t="str">
        <f t="shared" ca="1" si="12"/>
        <v/>
      </c>
      <c r="R110" s="1053"/>
      <c r="S110" s="1053" t="str">
        <f t="shared" si="13"/>
        <v/>
      </c>
      <c r="T110" s="1053" t="str">
        <f t="shared" ca="1" si="14"/>
        <v/>
      </c>
      <c r="U110" s="1053" t="str">
        <f t="shared" ca="1" si="15"/>
        <v/>
      </c>
      <c r="V110" s="1053"/>
      <c r="W110" s="1053" t="str">
        <f t="shared" si="16"/>
        <v/>
      </c>
    </row>
    <row r="111" spans="1:23" s="147" customFormat="1" ht="14.4" x14ac:dyDescent="0.3">
      <c r="A111" s="139" t="str">
        <f t="shared" si="9"/>
        <v/>
      </c>
      <c r="B111" s="984">
        <v>103</v>
      </c>
      <c r="C111" s="1035"/>
      <c r="D111" s="1067"/>
      <c r="E111" s="976"/>
      <c r="F111" s="1035"/>
      <c r="G111" s="977"/>
      <c r="H111" s="975"/>
      <c r="I111" s="978"/>
      <c r="J111" s="975" t="str">
        <f t="shared" si="10"/>
        <v/>
      </c>
      <c r="K111" s="979"/>
      <c r="L111" s="979"/>
      <c r="M111" s="980" t="str">
        <f t="shared" si="17"/>
        <v/>
      </c>
      <c r="N111" s="1081"/>
      <c r="O111" s="982" t="str">
        <f t="shared" ca="1" si="11"/>
        <v/>
      </c>
      <c r="P111" s="991" t="str">
        <f t="shared" ca="1" si="12"/>
        <v/>
      </c>
      <c r="R111" s="1053"/>
      <c r="S111" s="1053" t="str">
        <f t="shared" si="13"/>
        <v/>
      </c>
      <c r="T111" s="1053" t="str">
        <f t="shared" ca="1" si="14"/>
        <v/>
      </c>
      <c r="U111" s="1053" t="str">
        <f t="shared" ca="1" si="15"/>
        <v/>
      </c>
      <c r="V111" s="1053"/>
      <c r="W111" s="1053" t="str">
        <f t="shared" si="16"/>
        <v/>
      </c>
    </row>
    <row r="112" spans="1:23" s="147" customFormat="1" ht="14.4" x14ac:dyDescent="0.3">
      <c r="A112" s="139" t="str">
        <f t="shared" si="9"/>
        <v/>
      </c>
      <c r="B112" s="984">
        <v>104</v>
      </c>
      <c r="C112" s="1035"/>
      <c r="D112" s="1067"/>
      <c r="E112" s="976"/>
      <c r="F112" s="1035"/>
      <c r="G112" s="977"/>
      <c r="H112" s="975"/>
      <c r="I112" s="978"/>
      <c r="J112" s="975" t="str">
        <f t="shared" si="10"/>
        <v/>
      </c>
      <c r="K112" s="979"/>
      <c r="L112" s="979"/>
      <c r="M112" s="980" t="str">
        <f t="shared" si="17"/>
        <v/>
      </c>
      <c r="N112" s="1081"/>
      <c r="O112" s="982" t="str">
        <f t="shared" ca="1" si="11"/>
        <v/>
      </c>
      <c r="P112" s="991" t="str">
        <f t="shared" ca="1" si="12"/>
        <v/>
      </c>
      <c r="R112" s="1053"/>
      <c r="S112" s="1053" t="str">
        <f t="shared" si="13"/>
        <v/>
      </c>
      <c r="T112" s="1053" t="str">
        <f t="shared" ca="1" si="14"/>
        <v/>
      </c>
      <c r="U112" s="1053" t="str">
        <f t="shared" ca="1" si="15"/>
        <v/>
      </c>
      <c r="V112" s="1053"/>
      <c r="W112" s="1053" t="str">
        <f t="shared" si="16"/>
        <v/>
      </c>
    </row>
    <row r="113" spans="1:23" s="147" customFormat="1" ht="14.4" x14ac:dyDescent="0.3">
      <c r="A113" s="139" t="str">
        <f t="shared" si="9"/>
        <v/>
      </c>
      <c r="B113" s="984">
        <v>105</v>
      </c>
      <c r="C113" s="1035"/>
      <c r="D113" s="1067"/>
      <c r="E113" s="976"/>
      <c r="F113" s="1035"/>
      <c r="G113" s="977"/>
      <c r="H113" s="975"/>
      <c r="I113" s="978"/>
      <c r="J113" s="975" t="str">
        <f t="shared" si="10"/>
        <v/>
      </c>
      <c r="K113" s="979"/>
      <c r="L113" s="979"/>
      <c r="M113" s="980" t="str">
        <f t="shared" si="17"/>
        <v/>
      </c>
      <c r="N113" s="1081"/>
      <c r="O113" s="982" t="str">
        <f t="shared" ca="1" si="11"/>
        <v/>
      </c>
      <c r="P113" s="991" t="str">
        <f t="shared" ca="1" si="12"/>
        <v/>
      </c>
      <c r="R113" s="1053"/>
      <c r="S113" s="1053" t="str">
        <f t="shared" si="13"/>
        <v/>
      </c>
      <c r="T113" s="1053" t="str">
        <f t="shared" ca="1" si="14"/>
        <v/>
      </c>
      <c r="U113" s="1053" t="str">
        <f t="shared" ca="1" si="15"/>
        <v/>
      </c>
      <c r="V113" s="1053"/>
      <c r="W113" s="1053" t="str">
        <f t="shared" si="16"/>
        <v/>
      </c>
    </row>
    <row r="114" spans="1:23" s="147" customFormat="1" ht="14.4" x14ac:dyDescent="0.3">
      <c r="A114" s="139" t="str">
        <f t="shared" si="9"/>
        <v/>
      </c>
      <c r="B114" s="984">
        <v>106</v>
      </c>
      <c r="C114" s="1035"/>
      <c r="D114" s="1067"/>
      <c r="E114" s="976"/>
      <c r="F114" s="1035"/>
      <c r="G114" s="977"/>
      <c r="H114" s="975"/>
      <c r="I114" s="978"/>
      <c r="J114" s="975" t="str">
        <f t="shared" si="10"/>
        <v/>
      </c>
      <c r="K114" s="979"/>
      <c r="L114" s="979"/>
      <c r="M114" s="980" t="str">
        <f t="shared" si="17"/>
        <v/>
      </c>
      <c r="N114" s="1081"/>
      <c r="O114" s="982" t="str">
        <f t="shared" ca="1" si="11"/>
        <v/>
      </c>
      <c r="P114" s="991" t="str">
        <f t="shared" ca="1" si="12"/>
        <v/>
      </c>
      <c r="R114" s="1053"/>
      <c r="S114" s="1053" t="str">
        <f t="shared" si="13"/>
        <v/>
      </c>
      <c r="T114" s="1053" t="str">
        <f t="shared" ca="1" si="14"/>
        <v/>
      </c>
      <c r="U114" s="1053" t="str">
        <f t="shared" ca="1" si="15"/>
        <v/>
      </c>
      <c r="V114" s="1053"/>
      <c r="W114" s="1053" t="str">
        <f t="shared" si="16"/>
        <v/>
      </c>
    </row>
    <row r="115" spans="1:23" s="147" customFormat="1" ht="14.4" x14ac:dyDescent="0.3">
      <c r="A115" s="139" t="str">
        <f t="shared" si="9"/>
        <v/>
      </c>
      <c r="B115" s="984">
        <v>107</v>
      </c>
      <c r="C115" s="1035"/>
      <c r="D115" s="1067"/>
      <c r="E115" s="976"/>
      <c r="F115" s="1035"/>
      <c r="G115" s="977"/>
      <c r="H115" s="975"/>
      <c r="I115" s="978"/>
      <c r="J115" s="975" t="str">
        <f t="shared" si="10"/>
        <v/>
      </c>
      <c r="K115" s="979"/>
      <c r="L115" s="979"/>
      <c r="M115" s="980" t="str">
        <f t="shared" si="17"/>
        <v/>
      </c>
      <c r="N115" s="1081"/>
      <c r="O115" s="982" t="str">
        <f t="shared" ca="1" si="11"/>
        <v/>
      </c>
      <c r="P115" s="991" t="str">
        <f t="shared" ca="1" si="12"/>
        <v/>
      </c>
      <c r="R115" s="1053"/>
      <c r="S115" s="1053" t="str">
        <f t="shared" si="13"/>
        <v/>
      </c>
      <c r="T115" s="1053" t="str">
        <f t="shared" ca="1" si="14"/>
        <v/>
      </c>
      <c r="U115" s="1053" t="str">
        <f t="shared" ca="1" si="15"/>
        <v/>
      </c>
      <c r="V115" s="1053"/>
      <c r="W115" s="1053" t="str">
        <f t="shared" si="16"/>
        <v/>
      </c>
    </row>
    <row r="116" spans="1:23" s="147" customFormat="1" ht="14.4" x14ac:dyDescent="0.3">
      <c r="A116" s="139" t="str">
        <f t="shared" si="9"/>
        <v/>
      </c>
      <c r="B116" s="984">
        <v>108</v>
      </c>
      <c r="C116" s="1035"/>
      <c r="D116" s="1067"/>
      <c r="E116" s="976"/>
      <c r="F116" s="1035"/>
      <c r="G116" s="977"/>
      <c r="H116" s="975"/>
      <c r="I116" s="978"/>
      <c r="J116" s="975" t="str">
        <f t="shared" si="10"/>
        <v/>
      </c>
      <c r="K116" s="979"/>
      <c r="L116" s="979"/>
      <c r="M116" s="980" t="str">
        <f t="shared" si="17"/>
        <v/>
      </c>
      <c r="N116" s="1081"/>
      <c r="O116" s="982" t="str">
        <f t="shared" ca="1" si="11"/>
        <v/>
      </c>
      <c r="P116" s="991" t="str">
        <f t="shared" ca="1" si="12"/>
        <v/>
      </c>
      <c r="R116" s="1053"/>
      <c r="S116" s="1053" t="str">
        <f t="shared" si="13"/>
        <v/>
      </c>
      <c r="T116" s="1053" t="str">
        <f t="shared" ca="1" si="14"/>
        <v/>
      </c>
      <c r="U116" s="1053" t="str">
        <f t="shared" ca="1" si="15"/>
        <v/>
      </c>
      <c r="V116" s="1053"/>
      <c r="W116" s="1053" t="str">
        <f t="shared" si="16"/>
        <v/>
      </c>
    </row>
    <row r="117" spans="1:23" s="147" customFormat="1" ht="14.4" x14ac:dyDescent="0.3">
      <c r="A117" s="139" t="str">
        <f t="shared" si="9"/>
        <v/>
      </c>
      <c r="B117" s="984">
        <v>109</v>
      </c>
      <c r="C117" s="1035"/>
      <c r="D117" s="1067"/>
      <c r="E117" s="976"/>
      <c r="F117" s="1035"/>
      <c r="G117" s="977"/>
      <c r="H117" s="975"/>
      <c r="I117" s="978"/>
      <c r="J117" s="975" t="str">
        <f t="shared" si="10"/>
        <v/>
      </c>
      <c r="K117" s="979"/>
      <c r="L117" s="979"/>
      <c r="M117" s="980" t="str">
        <f t="shared" si="17"/>
        <v/>
      </c>
      <c r="N117" s="1081"/>
      <c r="O117" s="982" t="str">
        <f t="shared" ca="1" si="11"/>
        <v/>
      </c>
      <c r="P117" s="991" t="str">
        <f t="shared" ca="1" si="12"/>
        <v/>
      </c>
      <c r="R117" s="1053"/>
      <c r="S117" s="1053" t="str">
        <f t="shared" si="13"/>
        <v/>
      </c>
      <c r="T117" s="1053" t="str">
        <f t="shared" ca="1" si="14"/>
        <v/>
      </c>
      <c r="U117" s="1053" t="str">
        <f t="shared" ca="1" si="15"/>
        <v/>
      </c>
      <c r="V117" s="1053"/>
      <c r="W117" s="1053" t="str">
        <f t="shared" si="16"/>
        <v/>
      </c>
    </row>
    <row r="118" spans="1:23" s="147" customFormat="1" ht="14.4" x14ac:dyDescent="0.3">
      <c r="A118" s="139" t="str">
        <f t="shared" si="9"/>
        <v/>
      </c>
      <c r="B118" s="984">
        <v>110</v>
      </c>
      <c r="C118" s="1035"/>
      <c r="D118" s="1067"/>
      <c r="E118" s="985"/>
      <c r="F118" s="1036"/>
      <c r="G118" s="986"/>
      <c r="H118" s="975"/>
      <c r="I118" s="978"/>
      <c r="J118" s="975" t="str">
        <f t="shared" si="10"/>
        <v/>
      </c>
      <c r="K118" s="979"/>
      <c r="L118" s="979"/>
      <c r="M118" s="980" t="str">
        <f t="shared" si="17"/>
        <v/>
      </c>
      <c r="N118" s="1081"/>
      <c r="O118" s="982" t="str">
        <f t="shared" ca="1" si="11"/>
        <v/>
      </c>
      <c r="P118" s="991" t="str">
        <f t="shared" ca="1" si="12"/>
        <v/>
      </c>
      <c r="R118" s="1053"/>
      <c r="S118" s="1053" t="str">
        <f t="shared" si="13"/>
        <v/>
      </c>
      <c r="T118" s="1053" t="str">
        <f t="shared" ca="1" si="14"/>
        <v/>
      </c>
      <c r="U118" s="1053" t="str">
        <f t="shared" ca="1" si="15"/>
        <v/>
      </c>
      <c r="V118" s="1053"/>
      <c r="W118" s="1053" t="str">
        <f t="shared" si="16"/>
        <v/>
      </c>
    </row>
    <row r="119" spans="1:23" s="147" customFormat="1" ht="14.4" x14ac:dyDescent="0.3">
      <c r="A119" s="139" t="str">
        <f t="shared" si="9"/>
        <v/>
      </c>
      <c r="B119" s="984">
        <v>111</v>
      </c>
      <c r="C119" s="1035"/>
      <c r="D119" s="1067"/>
      <c r="E119" s="976"/>
      <c r="F119" s="1035"/>
      <c r="G119" s="977"/>
      <c r="H119" s="975"/>
      <c r="I119" s="978"/>
      <c r="J119" s="975" t="str">
        <f t="shared" si="10"/>
        <v/>
      </c>
      <c r="K119" s="979"/>
      <c r="L119" s="979"/>
      <c r="M119" s="980" t="str">
        <f t="shared" si="17"/>
        <v/>
      </c>
      <c r="N119" s="1081"/>
      <c r="O119" s="982" t="str">
        <f t="shared" ca="1" si="11"/>
        <v/>
      </c>
      <c r="P119" s="991" t="str">
        <f t="shared" ca="1" si="12"/>
        <v/>
      </c>
      <c r="R119" s="1053"/>
      <c r="S119" s="1053" t="str">
        <f t="shared" si="13"/>
        <v/>
      </c>
      <c r="T119" s="1053" t="str">
        <f t="shared" ca="1" si="14"/>
        <v/>
      </c>
      <c r="U119" s="1053" t="str">
        <f t="shared" ca="1" si="15"/>
        <v/>
      </c>
      <c r="V119" s="1053"/>
      <c r="W119" s="1053" t="str">
        <f t="shared" si="16"/>
        <v/>
      </c>
    </row>
    <row r="120" spans="1:23" s="147" customFormat="1" ht="14.4" x14ac:dyDescent="0.3">
      <c r="A120" s="139" t="str">
        <f t="shared" si="9"/>
        <v/>
      </c>
      <c r="B120" s="984">
        <v>112</v>
      </c>
      <c r="C120" s="1035"/>
      <c r="D120" s="1067"/>
      <c r="E120" s="976"/>
      <c r="F120" s="1035"/>
      <c r="G120" s="977"/>
      <c r="H120" s="975"/>
      <c r="I120" s="978"/>
      <c r="J120" s="975" t="str">
        <f t="shared" si="10"/>
        <v/>
      </c>
      <c r="K120" s="979"/>
      <c r="L120" s="979"/>
      <c r="M120" s="980" t="str">
        <f t="shared" si="17"/>
        <v/>
      </c>
      <c r="N120" s="1081"/>
      <c r="O120" s="982" t="str">
        <f t="shared" ca="1" si="11"/>
        <v/>
      </c>
      <c r="P120" s="991" t="str">
        <f t="shared" ca="1" si="12"/>
        <v/>
      </c>
      <c r="R120" s="1053"/>
      <c r="S120" s="1053" t="str">
        <f t="shared" si="13"/>
        <v/>
      </c>
      <c r="T120" s="1053" t="str">
        <f t="shared" ca="1" si="14"/>
        <v/>
      </c>
      <c r="U120" s="1053" t="str">
        <f t="shared" ca="1" si="15"/>
        <v/>
      </c>
      <c r="V120" s="1053"/>
      <c r="W120" s="1053" t="str">
        <f t="shared" si="16"/>
        <v/>
      </c>
    </row>
    <row r="121" spans="1:23" s="147" customFormat="1" ht="14.4" x14ac:dyDescent="0.3">
      <c r="A121" s="139" t="str">
        <f t="shared" si="9"/>
        <v/>
      </c>
      <c r="B121" s="984">
        <v>113</v>
      </c>
      <c r="C121" s="1035"/>
      <c r="D121" s="1067"/>
      <c r="E121" s="976"/>
      <c r="F121" s="1035"/>
      <c r="G121" s="977"/>
      <c r="H121" s="975"/>
      <c r="I121" s="978"/>
      <c r="J121" s="975" t="str">
        <f t="shared" si="10"/>
        <v/>
      </c>
      <c r="K121" s="979"/>
      <c r="L121" s="979"/>
      <c r="M121" s="980" t="str">
        <f t="shared" si="17"/>
        <v/>
      </c>
      <c r="N121" s="1081"/>
      <c r="O121" s="982" t="str">
        <f t="shared" ca="1" si="11"/>
        <v/>
      </c>
      <c r="P121" s="991" t="str">
        <f t="shared" ca="1" si="12"/>
        <v/>
      </c>
      <c r="R121" s="1053"/>
      <c r="S121" s="1053" t="str">
        <f t="shared" si="13"/>
        <v/>
      </c>
      <c r="T121" s="1053" t="str">
        <f t="shared" ca="1" si="14"/>
        <v/>
      </c>
      <c r="U121" s="1053" t="str">
        <f t="shared" ca="1" si="15"/>
        <v/>
      </c>
      <c r="V121" s="1053"/>
      <c r="W121" s="1053" t="str">
        <f t="shared" si="16"/>
        <v/>
      </c>
    </row>
    <row r="122" spans="1:23" s="147" customFormat="1" ht="14.4" x14ac:dyDescent="0.3">
      <c r="A122" s="139" t="str">
        <f t="shared" si="9"/>
        <v/>
      </c>
      <c r="B122" s="984">
        <v>114</v>
      </c>
      <c r="C122" s="1035"/>
      <c r="D122" s="1067"/>
      <c r="E122" s="976"/>
      <c r="F122" s="1035"/>
      <c r="G122" s="977"/>
      <c r="H122" s="975"/>
      <c r="I122" s="978"/>
      <c r="J122" s="975" t="str">
        <f t="shared" si="10"/>
        <v/>
      </c>
      <c r="K122" s="979"/>
      <c r="L122" s="979"/>
      <c r="M122" s="980" t="str">
        <f t="shared" si="17"/>
        <v/>
      </c>
      <c r="N122" s="1081"/>
      <c r="O122" s="982" t="str">
        <f t="shared" ca="1" si="11"/>
        <v/>
      </c>
      <c r="P122" s="991" t="str">
        <f t="shared" ca="1" si="12"/>
        <v/>
      </c>
      <c r="R122" s="1053"/>
      <c r="S122" s="1053" t="str">
        <f t="shared" si="13"/>
        <v/>
      </c>
      <c r="T122" s="1053" t="str">
        <f t="shared" ca="1" si="14"/>
        <v/>
      </c>
      <c r="U122" s="1053" t="str">
        <f t="shared" ca="1" si="15"/>
        <v/>
      </c>
      <c r="V122" s="1053"/>
      <c r="W122" s="1053" t="str">
        <f t="shared" si="16"/>
        <v/>
      </c>
    </row>
    <row r="123" spans="1:23" s="147" customFormat="1" ht="14.4" x14ac:dyDescent="0.3">
      <c r="A123" s="139" t="str">
        <f t="shared" si="9"/>
        <v/>
      </c>
      <c r="B123" s="984">
        <v>115</v>
      </c>
      <c r="C123" s="1035"/>
      <c r="D123" s="1067"/>
      <c r="E123" s="976"/>
      <c r="F123" s="1035"/>
      <c r="G123" s="977"/>
      <c r="H123" s="975"/>
      <c r="I123" s="978"/>
      <c r="J123" s="975" t="str">
        <f t="shared" si="10"/>
        <v/>
      </c>
      <c r="K123" s="979"/>
      <c r="L123" s="979"/>
      <c r="M123" s="980" t="str">
        <f t="shared" si="17"/>
        <v/>
      </c>
      <c r="N123" s="1081"/>
      <c r="O123" s="982" t="str">
        <f t="shared" ca="1" si="11"/>
        <v/>
      </c>
      <c r="P123" s="991" t="str">
        <f t="shared" ca="1" si="12"/>
        <v/>
      </c>
      <c r="R123" s="1053"/>
      <c r="S123" s="1053" t="str">
        <f t="shared" si="13"/>
        <v/>
      </c>
      <c r="T123" s="1053" t="str">
        <f t="shared" ca="1" si="14"/>
        <v/>
      </c>
      <c r="U123" s="1053" t="str">
        <f t="shared" ca="1" si="15"/>
        <v/>
      </c>
      <c r="V123" s="1053"/>
      <c r="W123" s="1053" t="str">
        <f t="shared" si="16"/>
        <v/>
      </c>
    </row>
    <row r="124" spans="1:23" s="147" customFormat="1" ht="14.4" x14ac:dyDescent="0.3">
      <c r="A124" s="139" t="str">
        <f t="shared" si="9"/>
        <v/>
      </c>
      <c r="B124" s="984">
        <v>116</v>
      </c>
      <c r="C124" s="1035"/>
      <c r="D124" s="1067"/>
      <c r="E124" s="976"/>
      <c r="F124" s="1035"/>
      <c r="G124" s="977"/>
      <c r="H124" s="975"/>
      <c r="I124" s="978"/>
      <c r="J124" s="975" t="str">
        <f t="shared" si="10"/>
        <v/>
      </c>
      <c r="K124" s="979"/>
      <c r="L124" s="979"/>
      <c r="M124" s="980" t="str">
        <f t="shared" si="17"/>
        <v/>
      </c>
      <c r="N124" s="1081"/>
      <c r="O124" s="982" t="str">
        <f t="shared" ca="1" si="11"/>
        <v/>
      </c>
      <c r="P124" s="991" t="str">
        <f t="shared" ca="1" si="12"/>
        <v/>
      </c>
      <c r="R124" s="1053"/>
      <c r="S124" s="1053" t="str">
        <f t="shared" si="13"/>
        <v/>
      </c>
      <c r="T124" s="1053" t="str">
        <f t="shared" ca="1" si="14"/>
        <v/>
      </c>
      <c r="U124" s="1053" t="str">
        <f t="shared" ca="1" si="15"/>
        <v/>
      </c>
      <c r="V124" s="1053"/>
      <c r="W124" s="1053" t="str">
        <f t="shared" si="16"/>
        <v/>
      </c>
    </row>
    <row r="125" spans="1:23" s="147" customFormat="1" ht="14.4" x14ac:dyDescent="0.3">
      <c r="A125" s="139" t="str">
        <f t="shared" si="9"/>
        <v/>
      </c>
      <c r="B125" s="984">
        <v>117</v>
      </c>
      <c r="C125" s="1035"/>
      <c r="D125" s="1067"/>
      <c r="E125" s="976"/>
      <c r="F125" s="1035"/>
      <c r="G125" s="977"/>
      <c r="H125" s="975"/>
      <c r="I125" s="978"/>
      <c r="J125" s="975" t="str">
        <f t="shared" si="10"/>
        <v/>
      </c>
      <c r="K125" s="979"/>
      <c r="L125" s="979"/>
      <c r="M125" s="980" t="str">
        <f t="shared" si="17"/>
        <v/>
      </c>
      <c r="N125" s="1081"/>
      <c r="O125" s="982" t="str">
        <f t="shared" ca="1" si="11"/>
        <v/>
      </c>
      <c r="P125" s="991" t="str">
        <f t="shared" ca="1" si="12"/>
        <v/>
      </c>
      <c r="R125" s="1053"/>
      <c r="S125" s="1053" t="str">
        <f t="shared" si="13"/>
        <v/>
      </c>
      <c r="T125" s="1053" t="str">
        <f t="shared" ca="1" si="14"/>
        <v/>
      </c>
      <c r="U125" s="1053" t="str">
        <f t="shared" ca="1" si="15"/>
        <v/>
      </c>
      <c r="V125" s="1053"/>
      <c r="W125" s="1053" t="str">
        <f t="shared" si="16"/>
        <v/>
      </c>
    </row>
    <row r="126" spans="1:23" s="147" customFormat="1" ht="14.4" x14ac:dyDescent="0.3">
      <c r="A126" s="139" t="str">
        <f t="shared" si="9"/>
        <v/>
      </c>
      <c r="B126" s="984">
        <v>118</v>
      </c>
      <c r="C126" s="1035"/>
      <c r="D126" s="1067"/>
      <c r="E126" s="976"/>
      <c r="F126" s="1035"/>
      <c r="G126" s="977"/>
      <c r="H126" s="975"/>
      <c r="I126" s="978"/>
      <c r="J126" s="975" t="str">
        <f t="shared" si="10"/>
        <v/>
      </c>
      <c r="K126" s="979"/>
      <c r="L126" s="979"/>
      <c r="M126" s="980" t="str">
        <f t="shared" si="17"/>
        <v/>
      </c>
      <c r="N126" s="1081"/>
      <c r="O126" s="982" t="str">
        <f t="shared" ca="1" si="11"/>
        <v/>
      </c>
      <c r="P126" s="991" t="str">
        <f t="shared" ca="1" si="12"/>
        <v/>
      </c>
      <c r="R126" s="1053"/>
      <c r="S126" s="1053" t="str">
        <f t="shared" si="13"/>
        <v/>
      </c>
      <c r="T126" s="1053" t="str">
        <f t="shared" ca="1" si="14"/>
        <v/>
      </c>
      <c r="U126" s="1053" t="str">
        <f t="shared" ca="1" si="15"/>
        <v/>
      </c>
      <c r="V126" s="1053"/>
      <c r="W126" s="1053" t="str">
        <f t="shared" si="16"/>
        <v/>
      </c>
    </row>
    <row r="127" spans="1:23" s="147" customFormat="1" ht="14.4" x14ac:dyDescent="0.3">
      <c r="A127" s="139" t="str">
        <f t="shared" si="9"/>
        <v/>
      </c>
      <c r="B127" s="984">
        <v>119</v>
      </c>
      <c r="C127" s="1035"/>
      <c r="D127" s="1067"/>
      <c r="E127" s="976"/>
      <c r="F127" s="1035"/>
      <c r="G127" s="977"/>
      <c r="H127" s="975"/>
      <c r="I127" s="978"/>
      <c r="J127" s="975" t="str">
        <f t="shared" si="10"/>
        <v/>
      </c>
      <c r="K127" s="979"/>
      <c r="L127" s="979"/>
      <c r="M127" s="980" t="str">
        <f t="shared" si="17"/>
        <v/>
      </c>
      <c r="N127" s="1081"/>
      <c r="O127" s="982" t="str">
        <f t="shared" ca="1" si="11"/>
        <v/>
      </c>
      <c r="P127" s="991" t="str">
        <f t="shared" ca="1" si="12"/>
        <v/>
      </c>
      <c r="R127" s="1053"/>
      <c r="S127" s="1053" t="str">
        <f t="shared" si="13"/>
        <v/>
      </c>
      <c r="T127" s="1053" t="str">
        <f t="shared" ca="1" si="14"/>
        <v/>
      </c>
      <c r="U127" s="1053" t="str">
        <f t="shared" ca="1" si="15"/>
        <v/>
      </c>
      <c r="V127" s="1053"/>
      <c r="W127" s="1053" t="str">
        <f t="shared" si="16"/>
        <v/>
      </c>
    </row>
    <row r="128" spans="1:23" s="147" customFormat="1" ht="14.4" x14ac:dyDescent="0.3">
      <c r="A128" s="139" t="str">
        <f t="shared" si="9"/>
        <v/>
      </c>
      <c r="B128" s="984">
        <v>120</v>
      </c>
      <c r="C128" s="1035"/>
      <c r="D128" s="1067"/>
      <c r="E128" s="976"/>
      <c r="F128" s="1035"/>
      <c r="G128" s="977"/>
      <c r="H128" s="975"/>
      <c r="I128" s="978"/>
      <c r="J128" s="975" t="str">
        <f t="shared" si="10"/>
        <v/>
      </c>
      <c r="K128" s="979"/>
      <c r="L128" s="979"/>
      <c r="M128" s="980" t="str">
        <f t="shared" si="17"/>
        <v/>
      </c>
      <c r="N128" s="1081"/>
      <c r="O128" s="982" t="str">
        <f t="shared" ca="1" si="11"/>
        <v/>
      </c>
      <c r="P128" s="991" t="str">
        <f t="shared" ca="1" si="12"/>
        <v/>
      </c>
      <c r="R128" s="1053"/>
      <c r="S128" s="1053" t="str">
        <f t="shared" si="13"/>
        <v/>
      </c>
      <c r="T128" s="1053" t="str">
        <f t="shared" ca="1" si="14"/>
        <v/>
      </c>
      <c r="U128" s="1053" t="str">
        <f t="shared" ca="1" si="15"/>
        <v/>
      </c>
      <c r="V128" s="1053"/>
      <c r="W128" s="1053" t="str">
        <f t="shared" si="16"/>
        <v/>
      </c>
    </row>
    <row r="129" spans="1:23" s="147" customFormat="1" ht="14.4" x14ac:dyDescent="0.3">
      <c r="A129" s="139" t="str">
        <f t="shared" si="9"/>
        <v/>
      </c>
      <c r="B129" s="984">
        <v>121</v>
      </c>
      <c r="C129" s="1035"/>
      <c r="D129" s="1067"/>
      <c r="E129" s="976"/>
      <c r="F129" s="1035"/>
      <c r="G129" s="977"/>
      <c r="H129" s="975"/>
      <c r="I129" s="978"/>
      <c r="J129" s="975" t="str">
        <f t="shared" si="10"/>
        <v/>
      </c>
      <c r="K129" s="979"/>
      <c r="L129" s="979"/>
      <c r="M129" s="980" t="str">
        <f t="shared" si="17"/>
        <v/>
      </c>
      <c r="N129" s="1081"/>
      <c r="O129" s="982" t="str">
        <f t="shared" ca="1" si="11"/>
        <v/>
      </c>
      <c r="P129" s="991" t="str">
        <f t="shared" ca="1" si="12"/>
        <v/>
      </c>
      <c r="R129" s="1053"/>
      <c r="S129" s="1053" t="str">
        <f t="shared" si="13"/>
        <v/>
      </c>
      <c r="T129" s="1053" t="str">
        <f t="shared" ca="1" si="14"/>
        <v/>
      </c>
      <c r="U129" s="1053" t="str">
        <f t="shared" ca="1" si="15"/>
        <v/>
      </c>
      <c r="V129" s="1053"/>
      <c r="W129" s="1053" t="str">
        <f t="shared" si="16"/>
        <v/>
      </c>
    </row>
    <row r="130" spans="1:23" s="147" customFormat="1" ht="14.4" x14ac:dyDescent="0.3">
      <c r="A130" s="139" t="str">
        <f t="shared" si="9"/>
        <v/>
      </c>
      <c r="B130" s="984">
        <v>122</v>
      </c>
      <c r="C130" s="1035"/>
      <c r="D130" s="1067"/>
      <c r="E130" s="976"/>
      <c r="F130" s="1035"/>
      <c r="G130" s="977"/>
      <c r="H130" s="975"/>
      <c r="I130" s="978"/>
      <c r="J130" s="975" t="str">
        <f t="shared" si="10"/>
        <v/>
      </c>
      <c r="K130" s="979"/>
      <c r="L130" s="979"/>
      <c r="M130" s="980" t="str">
        <f t="shared" si="17"/>
        <v/>
      </c>
      <c r="N130" s="1081"/>
      <c r="O130" s="982" t="str">
        <f t="shared" ca="1" si="11"/>
        <v/>
      </c>
      <c r="P130" s="991" t="str">
        <f t="shared" ca="1" si="12"/>
        <v/>
      </c>
      <c r="R130" s="1053"/>
      <c r="S130" s="1053" t="str">
        <f t="shared" si="13"/>
        <v/>
      </c>
      <c r="T130" s="1053" t="str">
        <f t="shared" ca="1" si="14"/>
        <v/>
      </c>
      <c r="U130" s="1053" t="str">
        <f t="shared" ca="1" si="15"/>
        <v/>
      </c>
      <c r="V130" s="1053"/>
      <c r="W130" s="1053" t="str">
        <f t="shared" si="16"/>
        <v/>
      </c>
    </row>
    <row r="131" spans="1:23" s="147" customFormat="1" ht="14.4" x14ac:dyDescent="0.3">
      <c r="A131" s="139" t="str">
        <f t="shared" si="9"/>
        <v/>
      </c>
      <c r="B131" s="984">
        <v>123</v>
      </c>
      <c r="C131" s="1035"/>
      <c r="D131" s="1067"/>
      <c r="E131" s="976"/>
      <c r="F131" s="1035"/>
      <c r="G131" s="977"/>
      <c r="H131" s="975"/>
      <c r="I131" s="978"/>
      <c r="J131" s="975" t="str">
        <f t="shared" si="10"/>
        <v/>
      </c>
      <c r="K131" s="979"/>
      <c r="L131" s="979"/>
      <c r="M131" s="980" t="str">
        <f t="shared" si="17"/>
        <v/>
      </c>
      <c r="N131" s="1081"/>
      <c r="O131" s="982" t="str">
        <f t="shared" ca="1" si="11"/>
        <v/>
      </c>
      <c r="P131" s="991" t="str">
        <f t="shared" ca="1" si="12"/>
        <v/>
      </c>
      <c r="R131" s="1053"/>
      <c r="S131" s="1053" t="str">
        <f t="shared" si="13"/>
        <v/>
      </c>
      <c r="T131" s="1053" t="str">
        <f t="shared" ca="1" si="14"/>
        <v/>
      </c>
      <c r="U131" s="1053" t="str">
        <f t="shared" ca="1" si="15"/>
        <v/>
      </c>
      <c r="V131" s="1053"/>
      <c r="W131" s="1053" t="str">
        <f t="shared" si="16"/>
        <v/>
      </c>
    </row>
    <row r="132" spans="1:23" s="147" customFormat="1" ht="14.4" x14ac:dyDescent="0.3">
      <c r="A132" s="139" t="str">
        <f t="shared" si="9"/>
        <v/>
      </c>
      <c r="B132" s="984">
        <v>124</v>
      </c>
      <c r="C132" s="1035"/>
      <c r="D132" s="1067"/>
      <c r="E132" s="976"/>
      <c r="F132" s="1035"/>
      <c r="G132" s="977"/>
      <c r="H132" s="975"/>
      <c r="I132" s="978"/>
      <c r="J132" s="975" t="str">
        <f t="shared" si="10"/>
        <v/>
      </c>
      <c r="K132" s="979"/>
      <c r="L132" s="979"/>
      <c r="M132" s="980" t="str">
        <f t="shared" si="17"/>
        <v/>
      </c>
      <c r="N132" s="1081"/>
      <c r="O132" s="982" t="str">
        <f t="shared" ca="1" si="11"/>
        <v/>
      </c>
      <c r="P132" s="991" t="str">
        <f t="shared" ca="1" si="12"/>
        <v/>
      </c>
      <c r="R132" s="1053"/>
      <c r="S132" s="1053" t="str">
        <f t="shared" si="13"/>
        <v/>
      </c>
      <c r="T132" s="1053" t="str">
        <f t="shared" ca="1" si="14"/>
        <v/>
      </c>
      <c r="U132" s="1053" t="str">
        <f t="shared" ca="1" si="15"/>
        <v/>
      </c>
      <c r="V132" s="1053"/>
      <c r="W132" s="1053" t="str">
        <f t="shared" si="16"/>
        <v/>
      </c>
    </row>
    <row r="133" spans="1:23" s="147" customFormat="1" ht="14.4" x14ac:dyDescent="0.3">
      <c r="A133" s="139" t="str">
        <f t="shared" si="9"/>
        <v/>
      </c>
      <c r="B133" s="984">
        <v>125</v>
      </c>
      <c r="C133" s="1035"/>
      <c r="D133" s="1067"/>
      <c r="E133" s="976"/>
      <c r="F133" s="1035"/>
      <c r="G133" s="977"/>
      <c r="H133" s="975"/>
      <c r="I133" s="978"/>
      <c r="J133" s="975" t="str">
        <f t="shared" si="10"/>
        <v/>
      </c>
      <c r="K133" s="979"/>
      <c r="L133" s="979"/>
      <c r="M133" s="980" t="str">
        <f t="shared" si="17"/>
        <v/>
      </c>
      <c r="N133" s="1081"/>
      <c r="O133" s="982" t="str">
        <f t="shared" ca="1" si="11"/>
        <v/>
      </c>
      <c r="P133" s="991" t="str">
        <f t="shared" ca="1" si="12"/>
        <v/>
      </c>
      <c r="R133" s="1053"/>
      <c r="S133" s="1053" t="str">
        <f t="shared" si="13"/>
        <v/>
      </c>
      <c r="T133" s="1053" t="str">
        <f t="shared" ca="1" si="14"/>
        <v/>
      </c>
      <c r="U133" s="1053" t="str">
        <f t="shared" ca="1" si="15"/>
        <v/>
      </c>
      <c r="V133" s="1053"/>
      <c r="W133" s="1053" t="str">
        <f t="shared" si="16"/>
        <v/>
      </c>
    </row>
    <row r="134" spans="1:23" s="147" customFormat="1" ht="14.4" x14ac:dyDescent="0.3">
      <c r="A134" s="139" t="str">
        <f t="shared" si="9"/>
        <v/>
      </c>
      <c r="B134" s="984">
        <v>126</v>
      </c>
      <c r="C134" s="1035"/>
      <c r="D134" s="1067"/>
      <c r="E134" s="976"/>
      <c r="F134" s="1035"/>
      <c r="G134" s="977"/>
      <c r="H134" s="975"/>
      <c r="I134" s="978"/>
      <c r="J134" s="975" t="str">
        <f t="shared" si="10"/>
        <v/>
      </c>
      <c r="K134" s="979"/>
      <c r="L134" s="979"/>
      <c r="M134" s="980" t="str">
        <f t="shared" si="17"/>
        <v/>
      </c>
      <c r="N134" s="1081"/>
      <c r="O134" s="982" t="str">
        <f t="shared" ca="1" si="11"/>
        <v/>
      </c>
      <c r="P134" s="991" t="str">
        <f t="shared" ca="1" si="12"/>
        <v/>
      </c>
      <c r="R134" s="1053"/>
      <c r="S134" s="1053" t="str">
        <f t="shared" si="13"/>
        <v/>
      </c>
      <c r="T134" s="1053" t="str">
        <f t="shared" ca="1" si="14"/>
        <v/>
      </c>
      <c r="U134" s="1053" t="str">
        <f t="shared" ca="1" si="15"/>
        <v/>
      </c>
      <c r="V134" s="1053"/>
      <c r="W134" s="1053" t="str">
        <f t="shared" si="16"/>
        <v/>
      </c>
    </row>
    <row r="135" spans="1:23" s="147" customFormat="1" ht="14.4" x14ac:dyDescent="0.3">
      <c r="A135" s="139" t="str">
        <f t="shared" si="9"/>
        <v/>
      </c>
      <c r="B135" s="984">
        <v>127</v>
      </c>
      <c r="C135" s="1035"/>
      <c r="D135" s="1067"/>
      <c r="E135" s="976"/>
      <c r="F135" s="1035"/>
      <c r="G135" s="977"/>
      <c r="H135" s="975"/>
      <c r="I135" s="978"/>
      <c r="J135" s="975" t="str">
        <f t="shared" si="10"/>
        <v/>
      </c>
      <c r="K135" s="979"/>
      <c r="L135" s="979"/>
      <c r="M135" s="980" t="str">
        <f t="shared" si="17"/>
        <v/>
      </c>
      <c r="N135" s="1081"/>
      <c r="O135" s="982" t="str">
        <f t="shared" ca="1" si="11"/>
        <v/>
      </c>
      <c r="P135" s="991" t="str">
        <f t="shared" ca="1" si="12"/>
        <v/>
      </c>
      <c r="R135" s="1053"/>
      <c r="S135" s="1053" t="str">
        <f t="shared" si="13"/>
        <v/>
      </c>
      <c r="T135" s="1053" t="str">
        <f t="shared" ca="1" si="14"/>
        <v/>
      </c>
      <c r="U135" s="1053" t="str">
        <f t="shared" ca="1" si="15"/>
        <v/>
      </c>
      <c r="V135" s="1053"/>
      <c r="W135" s="1053" t="str">
        <f t="shared" si="16"/>
        <v/>
      </c>
    </row>
    <row r="136" spans="1:23" s="147" customFormat="1" ht="14.4" x14ac:dyDescent="0.3">
      <c r="A136" s="139" t="str">
        <f t="shared" si="9"/>
        <v/>
      </c>
      <c r="B136" s="984">
        <v>128</v>
      </c>
      <c r="C136" s="1035"/>
      <c r="D136" s="1067"/>
      <c r="E136" s="976"/>
      <c r="F136" s="1035"/>
      <c r="G136" s="977"/>
      <c r="H136" s="975"/>
      <c r="I136" s="978"/>
      <c r="J136" s="975" t="str">
        <f t="shared" si="10"/>
        <v/>
      </c>
      <c r="K136" s="979"/>
      <c r="L136" s="979"/>
      <c r="M136" s="980" t="str">
        <f t="shared" si="17"/>
        <v/>
      </c>
      <c r="N136" s="1081"/>
      <c r="O136" s="982" t="str">
        <f t="shared" ca="1" si="11"/>
        <v/>
      </c>
      <c r="P136" s="991" t="str">
        <f t="shared" ca="1" si="12"/>
        <v/>
      </c>
      <c r="R136" s="1053"/>
      <c r="S136" s="1053" t="str">
        <f t="shared" si="13"/>
        <v/>
      </c>
      <c r="T136" s="1053" t="str">
        <f t="shared" ca="1" si="14"/>
        <v/>
      </c>
      <c r="U136" s="1053" t="str">
        <f t="shared" ca="1" si="15"/>
        <v/>
      </c>
      <c r="V136" s="1053"/>
      <c r="W136" s="1053" t="str">
        <f t="shared" si="16"/>
        <v/>
      </c>
    </row>
    <row r="137" spans="1:23" s="147" customFormat="1" ht="14.4" x14ac:dyDescent="0.3">
      <c r="A137" s="139" t="str">
        <f t="shared" ref="A137:A200" si="18">IF(M137=1,N137,"")</f>
        <v/>
      </c>
      <c r="B137" s="984">
        <v>129</v>
      </c>
      <c r="C137" s="1035"/>
      <c r="D137" s="1067"/>
      <c r="E137" s="976"/>
      <c r="F137" s="1035"/>
      <c r="G137" s="977"/>
      <c r="H137" s="975"/>
      <c r="I137" s="978"/>
      <c r="J137" s="975" t="str">
        <f t="shared" ref="J137:J200" si="19">IF(I137&lt;&gt;"",H137-1+INT(I137),"")</f>
        <v/>
      </c>
      <c r="K137" s="979"/>
      <c r="L137" s="979"/>
      <c r="M137" s="980" t="str">
        <f t="shared" si="17"/>
        <v/>
      </c>
      <c r="N137" s="1081"/>
      <c r="O137" s="982" t="str">
        <f t="shared" ref="O137:O200" ca="1" si="20">IF(J137&lt;&gt;"",
IF(J137&gt;TODAY(),
IF((TODAY()-H137)/(J137-H137)&gt;0,(TODAY()-H137)/(J137-H137),0),100%),"")</f>
        <v/>
      </c>
      <c r="P137" s="991" t="str">
        <f t="shared" ref="P137:P200" ca="1" si="21">IF(T137&gt;0,U137,"0/"&amp;S137)</f>
        <v/>
      </c>
      <c r="R137" s="1053"/>
      <c r="S137" s="1053" t="str">
        <f t="shared" si="13"/>
        <v/>
      </c>
      <c r="T137" s="1053" t="str">
        <f t="shared" ca="1" si="14"/>
        <v/>
      </c>
      <c r="U137" s="1053" t="str">
        <f t="shared" ca="1" si="15"/>
        <v/>
      </c>
      <c r="V137" s="1053"/>
      <c r="W137" s="1053" t="str">
        <f t="shared" si="16"/>
        <v/>
      </c>
    </row>
    <row r="138" spans="1:23" s="147" customFormat="1" ht="14.4" x14ac:dyDescent="0.3">
      <c r="A138" s="139" t="str">
        <f t="shared" si="18"/>
        <v/>
      </c>
      <c r="B138" s="984">
        <v>130</v>
      </c>
      <c r="C138" s="1035"/>
      <c r="D138" s="1067"/>
      <c r="E138" s="976"/>
      <c r="F138" s="1035"/>
      <c r="G138" s="977"/>
      <c r="H138" s="975"/>
      <c r="I138" s="978"/>
      <c r="J138" s="975" t="str">
        <f t="shared" si="19"/>
        <v/>
      </c>
      <c r="K138" s="979"/>
      <c r="L138" s="979"/>
      <c r="M138" s="980" t="str">
        <f t="shared" si="17"/>
        <v/>
      </c>
      <c r="N138" s="1081"/>
      <c r="O138" s="982" t="str">
        <f t="shared" ca="1" si="20"/>
        <v/>
      </c>
      <c r="P138" s="991" t="str">
        <f t="shared" ca="1" si="21"/>
        <v/>
      </c>
      <c r="R138" s="1053"/>
      <c r="S138" s="1053" t="str">
        <f t="shared" ref="S138:S201" si="22">IF(J138&lt;&gt;"",J138-H138+1,"")</f>
        <v/>
      </c>
      <c r="T138" s="1053" t="str">
        <f t="shared" ref="T138:T201" ca="1" si="23">IF(H138&lt;&gt;"",(TODAY()-H138),"")</f>
        <v/>
      </c>
      <c r="U138" s="1053" t="str">
        <f t="shared" ref="U138:U201" ca="1" si="24">IF(T138&lt;&gt;"",T138&amp;"/"&amp;S138,"")</f>
        <v/>
      </c>
      <c r="V138" s="1053"/>
      <c r="W138" s="1053" t="str">
        <f t="shared" ref="W138:W201" si="25">IF(E138&lt;&gt;"",B138&amp;" "&amp;E138,"")</f>
        <v/>
      </c>
    </row>
    <row r="139" spans="1:23" s="147" customFormat="1" ht="14.4" x14ac:dyDescent="0.3">
      <c r="A139" s="139" t="str">
        <f t="shared" si="18"/>
        <v/>
      </c>
      <c r="B139" s="984">
        <v>131</v>
      </c>
      <c r="C139" s="1035"/>
      <c r="D139" s="1067"/>
      <c r="E139" s="976"/>
      <c r="F139" s="1035"/>
      <c r="G139" s="977"/>
      <c r="H139" s="975"/>
      <c r="I139" s="978"/>
      <c r="J139" s="975" t="str">
        <f t="shared" si="19"/>
        <v/>
      </c>
      <c r="K139" s="979"/>
      <c r="L139" s="979"/>
      <c r="M139" s="980" t="str">
        <f t="shared" si="17"/>
        <v/>
      </c>
      <c r="N139" s="1081"/>
      <c r="O139" s="982" t="str">
        <f t="shared" ca="1" si="20"/>
        <v/>
      </c>
      <c r="P139" s="991" t="str">
        <f t="shared" ca="1" si="21"/>
        <v/>
      </c>
      <c r="R139" s="1053"/>
      <c r="S139" s="1053" t="str">
        <f t="shared" si="22"/>
        <v/>
      </c>
      <c r="T139" s="1053" t="str">
        <f t="shared" ca="1" si="23"/>
        <v/>
      </c>
      <c r="U139" s="1053" t="str">
        <f t="shared" ca="1" si="24"/>
        <v/>
      </c>
      <c r="V139" s="1053"/>
      <c r="W139" s="1053" t="str">
        <f t="shared" si="25"/>
        <v/>
      </c>
    </row>
    <row r="140" spans="1:23" s="147" customFormat="1" ht="14.4" x14ac:dyDescent="0.3">
      <c r="A140" s="139" t="str">
        <f t="shared" si="18"/>
        <v/>
      </c>
      <c r="B140" s="984">
        <v>132</v>
      </c>
      <c r="C140" s="1035"/>
      <c r="D140" s="1067"/>
      <c r="E140" s="976"/>
      <c r="F140" s="1035"/>
      <c r="G140" s="977"/>
      <c r="H140" s="975"/>
      <c r="I140" s="978"/>
      <c r="J140" s="975" t="str">
        <f t="shared" si="19"/>
        <v/>
      </c>
      <c r="K140" s="979"/>
      <c r="L140" s="979"/>
      <c r="M140" s="980" t="str">
        <f t="shared" ref="M140:M203" si="26">IF(N140&lt;&gt;0,3,"")</f>
        <v/>
      </c>
      <c r="N140" s="1081"/>
      <c r="O140" s="982" t="str">
        <f t="shared" ca="1" si="20"/>
        <v/>
      </c>
      <c r="P140" s="991" t="str">
        <f t="shared" ca="1" si="21"/>
        <v/>
      </c>
      <c r="R140" s="1053"/>
      <c r="S140" s="1053" t="str">
        <f t="shared" si="22"/>
        <v/>
      </c>
      <c r="T140" s="1053" t="str">
        <f t="shared" ca="1" si="23"/>
        <v/>
      </c>
      <c r="U140" s="1053" t="str">
        <f t="shared" ca="1" si="24"/>
        <v/>
      </c>
      <c r="V140" s="1053"/>
      <c r="W140" s="1053" t="str">
        <f t="shared" si="25"/>
        <v/>
      </c>
    </row>
    <row r="141" spans="1:23" s="147" customFormat="1" ht="14.4" x14ac:dyDescent="0.3">
      <c r="A141" s="139" t="str">
        <f t="shared" si="18"/>
        <v/>
      </c>
      <c r="B141" s="984">
        <v>133</v>
      </c>
      <c r="C141" s="1035"/>
      <c r="D141" s="1067"/>
      <c r="E141" s="976"/>
      <c r="F141" s="1035"/>
      <c r="G141" s="977"/>
      <c r="H141" s="975"/>
      <c r="I141" s="978"/>
      <c r="J141" s="975" t="str">
        <f t="shared" si="19"/>
        <v/>
      </c>
      <c r="K141" s="979"/>
      <c r="L141" s="979"/>
      <c r="M141" s="980" t="str">
        <f t="shared" si="26"/>
        <v/>
      </c>
      <c r="N141" s="1081"/>
      <c r="O141" s="982" t="str">
        <f t="shared" ca="1" si="20"/>
        <v/>
      </c>
      <c r="P141" s="991" t="str">
        <f t="shared" ca="1" si="21"/>
        <v/>
      </c>
      <c r="R141" s="1053"/>
      <c r="S141" s="1053" t="str">
        <f t="shared" si="22"/>
        <v/>
      </c>
      <c r="T141" s="1053" t="str">
        <f t="shared" ca="1" si="23"/>
        <v/>
      </c>
      <c r="U141" s="1053" t="str">
        <f t="shared" ca="1" si="24"/>
        <v/>
      </c>
      <c r="V141" s="1053"/>
      <c r="W141" s="1053" t="str">
        <f t="shared" si="25"/>
        <v/>
      </c>
    </row>
    <row r="142" spans="1:23" s="147" customFormat="1" ht="14.4" x14ac:dyDescent="0.3">
      <c r="A142" s="139" t="str">
        <f t="shared" si="18"/>
        <v/>
      </c>
      <c r="B142" s="984">
        <v>134</v>
      </c>
      <c r="C142" s="1035"/>
      <c r="D142" s="1067"/>
      <c r="E142" s="976"/>
      <c r="F142" s="1035"/>
      <c r="G142" s="977"/>
      <c r="H142" s="975"/>
      <c r="I142" s="978"/>
      <c r="J142" s="975" t="str">
        <f t="shared" si="19"/>
        <v/>
      </c>
      <c r="K142" s="979"/>
      <c r="L142" s="979"/>
      <c r="M142" s="980" t="str">
        <f t="shared" si="26"/>
        <v/>
      </c>
      <c r="N142" s="1081"/>
      <c r="O142" s="982" t="str">
        <f t="shared" ca="1" si="20"/>
        <v/>
      </c>
      <c r="P142" s="991" t="str">
        <f t="shared" ca="1" si="21"/>
        <v/>
      </c>
      <c r="R142" s="1053"/>
      <c r="S142" s="1053" t="str">
        <f t="shared" si="22"/>
        <v/>
      </c>
      <c r="T142" s="1053" t="str">
        <f t="shared" ca="1" si="23"/>
        <v/>
      </c>
      <c r="U142" s="1053" t="str">
        <f t="shared" ca="1" si="24"/>
        <v/>
      </c>
      <c r="V142" s="1053"/>
      <c r="W142" s="1053" t="str">
        <f t="shared" si="25"/>
        <v/>
      </c>
    </row>
    <row r="143" spans="1:23" s="147" customFormat="1" ht="14.4" x14ac:dyDescent="0.3">
      <c r="A143" s="139" t="str">
        <f t="shared" si="18"/>
        <v/>
      </c>
      <c r="B143" s="984">
        <v>135</v>
      </c>
      <c r="C143" s="1035"/>
      <c r="D143" s="1067"/>
      <c r="E143" s="976"/>
      <c r="F143" s="1035"/>
      <c r="G143" s="977"/>
      <c r="H143" s="975"/>
      <c r="I143" s="978"/>
      <c r="J143" s="975" t="str">
        <f t="shared" si="19"/>
        <v/>
      </c>
      <c r="K143" s="979"/>
      <c r="L143" s="979"/>
      <c r="M143" s="980" t="str">
        <f t="shared" si="26"/>
        <v/>
      </c>
      <c r="N143" s="1081"/>
      <c r="O143" s="982" t="str">
        <f t="shared" ca="1" si="20"/>
        <v/>
      </c>
      <c r="P143" s="991" t="str">
        <f t="shared" ca="1" si="21"/>
        <v/>
      </c>
      <c r="R143" s="1053"/>
      <c r="S143" s="1053" t="str">
        <f t="shared" si="22"/>
        <v/>
      </c>
      <c r="T143" s="1053" t="str">
        <f t="shared" ca="1" si="23"/>
        <v/>
      </c>
      <c r="U143" s="1053" t="str">
        <f t="shared" ca="1" si="24"/>
        <v/>
      </c>
      <c r="V143" s="1053"/>
      <c r="W143" s="1053" t="str">
        <f t="shared" si="25"/>
        <v/>
      </c>
    </row>
    <row r="144" spans="1:23" s="147" customFormat="1" ht="14.4" x14ac:dyDescent="0.3">
      <c r="A144" s="139" t="str">
        <f t="shared" si="18"/>
        <v/>
      </c>
      <c r="B144" s="984">
        <v>136</v>
      </c>
      <c r="C144" s="1035"/>
      <c r="D144" s="1067"/>
      <c r="E144" s="976"/>
      <c r="F144" s="1035"/>
      <c r="G144" s="977"/>
      <c r="H144" s="975"/>
      <c r="I144" s="978"/>
      <c r="J144" s="975" t="str">
        <f t="shared" si="19"/>
        <v/>
      </c>
      <c r="K144" s="979"/>
      <c r="L144" s="979"/>
      <c r="M144" s="980" t="str">
        <f t="shared" si="26"/>
        <v/>
      </c>
      <c r="N144" s="1081"/>
      <c r="O144" s="982" t="str">
        <f t="shared" ca="1" si="20"/>
        <v/>
      </c>
      <c r="P144" s="991" t="str">
        <f t="shared" ca="1" si="21"/>
        <v/>
      </c>
      <c r="R144" s="1053"/>
      <c r="S144" s="1053" t="str">
        <f t="shared" si="22"/>
        <v/>
      </c>
      <c r="T144" s="1053" t="str">
        <f t="shared" ca="1" si="23"/>
        <v/>
      </c>
      <c r="U144" s="1053" t="str">
        <f t="shared" ca="1" si="24"/>
        <v/>
      </c>
      <c r="V144" s="1053"/>
      <c r="W144" s="1053" t="str">
        <f t="shared" si="25"/>
        <v/>
      </c>
    </row>
    <row r="145" spans="1:23" s="147" customFormat="1" ht="14.4" x14ac:dyDescent="0.3">
      <c r="A145" s="139" t="str">
        <f t="shared" si="18"/>
        <v/>
      </c>
      <c r="B145" s="984">
        <v>137</v>
      </c>
      <c r="C145" s="1035"/>
      <c r="D145" s="1067"/>
      <c r="E145" s="976"/>
      <c r="F145" s="1035"/>
      <c r="G145" s="977"/>
      <c r="H145" s="975"/>
      <c r="I145" s="978"/>
      <c r="J145" s="975" t="str">
        <f t="shared" si="19"/>
        <v/>
      </c>
      <c r="K145" s="979"/>
      <c r="L145" s="979"/>
      <c r="M145" s="980" t="str">
        <f t="shared" si="26"/>
        <v/>
      </c>
      <c r="N145" s="1081"/>
      <c r="O145" s="982" t="str">
        <f t="shared" ca="1" si="20"/>
        <v/>
      </c>
      <c r="P145" s="991" t="str">
        <f t="shared" ca="1" si="21"/>
        <v/>
      </c>
      <c r="R145" s="1053"/>
      <c r="S145" s="1053" t="str">
        <f t="shared" si="22"/>
        <v/>
      </c>
      <c r="T145" s="1053" t="str">
        <f t="shared" ca="1" si="23"/>
        <v/>
      </c>
      <c r="U145" s="1053" t="str">
        <f t="shared" ca="1" si="24"/>
        <v/>
      </c>
      <c r="V145" s="1053"/>
      <c r="W145" s="1053" t="str">
        <f t="shared" si="25"/>
        <v/>
      </c>
    </row>
    <row r="146" spans="1:23" s="147" customFormat="1" ht="14.4" x14ac:dyDescent="0.3">
      <c r="A146" s="139" t="str">
        <f t="shared" si="18"/>
        <v/>
      </c>
      <c r="B146" s="984">
        <v>138</v>
      </c>
      <c r="C146" s="1035"/>
      <c r="D146" s="1067"/>
      <c r="E146" s="976"/>
      <c r="F146" s="1035"/>
      <c r="G146" s="977"/>
      <c r="H146" s="975"/>
      <c r="I146" s="978"/>
      <c r="J146" s="975" t="str">
        <f t="shared" si="19"/>
        <v/>
      </c>
      <c r="K146" s="979"/>
      <c r="L146" s="979"/>
      <c r="M146" s="980" t="str">
        <f t="shared" si="26"/>
        <v/>
      </c>
      <c r="N146" s="1081"/>
      <c r="O146" s="982" t="str">
        <f t="shared" ca="1" si="20"/>
        <v/>
      </c>
      <c r="P146" s="991" t="str">
        <f t="shared" ca="1" si="21"/>
        <v/>
      </c>
      <c r="R146" s="1053"/>
      <c r="S146" s="1053" t="str">
        <f t="shared" si="22"/>
        <v/>
      </c>
      <c r="T146" s="1053" t="str">
        <f t="shared" ca="1" si="23"/>
        <v/>
      </c>
      <c r="U146" s="1053" t="str">
        <f t="shared" ca="1" si="24"/>
        <v/>
      </c>
      <c r="V146" s="1053"/>
      <c r="W146" s="1053" t="str">
        <f t="shared" si="25"/>
        <v/>
      </c>
    </row>
    <row r="147" spans="1:23" s="147" customFormat="1" ht="14.4" x14ac:dyDescent="0.3">
      <c r="A147" s="139" t="str">
        <f t="shared" si="18"/>
        <v/>
      </c>
      <c r="B147" s="984">
        <v>139</v>
      </c>
      <c r="C147" s="1035"/>
      <c r="D147" s="1067"/>
      <c r="E147" s="976"/>
      <c r="F147" s="1035"/>
      <c r="G147" s="977"/>
      <c r="H147" s="975"/>
      <c r="I147" s="978"/>
      <c r="J147" s="975" t="str">
        <f t="shared" si="19"/>
        <v/>
      </c>
      <c r="K147" s="979"/>
      <c r="L147" s="979"/>
      <c r="M147" s="980" t="str">
        <f t="shared" si="26"/>
        <v/>
      </c>
      <c r="N147" s="1081"/>
      <c r="O147" s="982" t="str">
        <f t="shared" ca="1" si="20"/>
        <v/>
      </c>
      <c r="P147" s="991" t="str">
        <f t="shared" ca="1" si="21"/>
        <v/>
      </c>
      <c r="R147" s="1053"/>
      <c r="S147" s="1053" t="str">
        <f t="shared" si="22"/>
        <v/>
      </c>
      <c r="T147" s="1053" t="str">
        <f t="shared" ca="1" si="23"/>
        <v/>
      </c>
      <c r="U147" s="1053" t="str">
        <f t="shared" ca="1" si="24"/>
        <v/>
      </c>
      <c r="V147" s="1053"/>
      <c r="W147" s="1053" t="str">
        <f t="shared" si="25"/>
        <v/>
      </c>
    </row>
    <row r="148" spans="1:23" s="147" customFormat="1" ht="14.4" x14ac:dyDescent="0.3">
      <c r="A148" s="139" t="str">
        <f t="shared" si="18"/>
        <v/>
      </c>
      <c r="B148" s="984">
        <v>140</v>
      </c>
      <c r="C148" s="1035"/>
      <c r="D148" s="1067"/>
      <c r="E148" s="976"/>
      <c r="F148" s="1035"/>
      <c r="G148" s="977"/>
      <c r="H148" s="975"/>
      <c r="I148" s="978"/>
      <c r="J148" s="975" t="str">
        <f t="shared" si="19"/>
        <v/>
      </c>
      <c r="K148" s="979"/>
      <c r="L148" s="979"/>
      <c r="M148" s="980" t="str">
        <f t="shared" si="26"/>
        <v/>
      </c>
      <c r="N148" s="1081"/>
      <c r="O148" s="982" t="str">
        <f t="shared" ca="1" si="20"/>
        <v/>
      </c>
      <c r="P148" s="991" t="str">
        <f t="shared" ca="1" si="21"/>
        <v/>
      </c>
      <c r="R148" s="1053"/>
      <c r="S148" s="1053" t="str">
        <f t="shared" si="22"/>
        <v/>
      </c>
      <c r="T148" s="1053" t="str">
        <f t="shared" ca="1" si="23"/>
        <v/>
      </c>
      <c r="U148" s="1053" t="str">
        <f t="shared" ca="1" si="24"/>
        <v/>
      </c>
      <c r="V148" s="1053"/>
      <c r="W148" s="1053" t="str">
        <f t="shared" si="25"/>
        <v/>
      </c>
    </row>
    <row r="149" spans="1:23" s="147" customFormat="1" ht="14.4" x14ac:dyDescent="0.3">
      <c r="A149" s="139" t="str">
        <f t="shared" si="18"/>
        <v/>
      </c>
      <c r="B149" s="984">
        <v>141</v>
      </c>
      <c r="C149" s="1035"/>
      <c r="D149" s="1067"/>
      <c r="E149" s="976"/>
      <c r="F149" s="1035"/>
      <c r="G149" s="977"/>
      <c r="H149" s="975"/>
      <c r="I149" s="978"/>
      <c r="J149" s="975" t="str">
        <f t="shared" si="19"/>
        <v/>
      </c>
      <c r="K149" s="979"/>
      <c r="L149" s="979"/>
      <c r="M149" s="980" t="str">
        <f t="shared" si="26"/>
        <v/>
      </c>
      <c r="N149" s="1081"/>
      <c r="O149" s="982" t="str">
        <f t="shared" ca="1" si="20"/>
        <v/>
      </c>
      <c r="P149" s="991" t="str">
        <f t="shared" ca="1" si="21"/>
        <v/>
      </c>
      <c r="R149" s="1053"/>
      <c r="S149" s="1053" t="str">
        <f t="shared" si="22"/>
        <v/>
      </c>
      <c r="T149" s="1053" t="str">
        <f t="shared" ca="1" si="23"/>
        <v/>
      </c>
      <c r="U149" s="1053" t="str">
        <f t="shared" ca="1" si="24"/>
        <v/>
      </c>
      <c r="V149" s="1053"/>
      <c r="W149" s="1053" t="str">
        <f t="shared" si="25"/>
        <v/>
      </c>
    </row>
    <row r="150" spans="1:23" s="147" customFormat="1" ht="14.4" x14ac:dyDescent="0.3">
      <c r="A150" s="139" t="str">
        <f t="shared" si="18"/>
        <v/>
      </c>
      <c r="B150" s="984">
        <v>142</v>
      </c>
      <c r="C150" s="1035"/>
      <c r="D150" s="1067"/>
      <c r="E150" s="976"/>
      <c r="F150" s="1035"/>
      <c r="G150" s="977"/>
      <c r="H150" s="975"/>
      <c r="I150" s="978"/>
      <c r="J150" s="975" t="str">
        <f t="shared" si="19"/>
        <v/>
      </c>
      <c r="K150" s="979"/>
      <c r="L150" s="979"/>
      <c r="M150" s="980" t="str">
        <f t="shared" si="26"/>
        <v/>
      </c>
      <c r="N150" s="1081"/>
      <c r="O150" s="982" t="str">
        <f t="shared" ca="1" si="20"/>
        <v/>
      </c>
      <c r="P150" s="991" t="str">
        <f t="shared" ca="1" si="21"/>
        <v/>
      </c>
      <c r="R150" s="1053"/>
      <c r="S150" s="1053" t="str">
        <f t="shared" si="22"/>
        <v/>
      </c>
      <c r="T150" s="1053" t="str">
        <f t="shared" ca="1" si="23"/>
        <v/>
      </c>
      <c r="U150" s="1053" t="str">
        <f t="shared" ca="1" si="24"/>
        <v/>
      </c>
      <c r="V150" s="1053"/>
      <c r="W150" s="1053" t="str">
        <f t="shared" si="25"/>
        <v/>
      </c>
    </row>
    <row r="151" spans="1:23" s="147" customFormat="1" ht="14.4" x14ac:dyDescent="0.3">
      <c r="A151" s="139" t="str">
        <f t="shared" si="18"/>
        <v/>
      </c>
      <c r="B151" s="984">
        <v>143</v>
      </c>
      <c r="C151" s="1035"/>
      <c r="D151" s="1067"/>
      <c r="E151" s="976"/>
      <c r="F151" s="1035"/>
      <c r="G151" s="977"/>
      <c r="H151" s="975"/>
      <c r="I151" s="978"/>
      <c r="J151" s="975" t="str">
        <f t="shared" si="19"/>
        <v/>
      </c>
      <c r="K151" s="979"/>
      <c r="L151" s="979"/>
      <c r="M151" s="980" t="str">
        <f t="shared" si="26"/>
        <v/>
      </c>
      <c r="N151" s="1081"/>
      <c r="O151" s="982" t="str">
        <f t="shared" ca="1" si="20"/>
        <v/>
      </c>
      <c r="P151" s="991" t="str">
        <f t="shared" ca="1" si="21"/>
        <v/>
      </c>
      <c r="R151" s="1053"/>
      <c r="S151" s="1053" t="str">
        <f t="shared" si="22"/>
        <v/>
      </c>
      <c r="T151" s="1053" t="str">
        <f t="shared" ca="1" si="23"/>
        <v/>
      </c>
      <c r="U151" s="1053" t="str">
        <f t="shared" ca="1" si="24"/>
        <v/>
      </c>
      <c r="V151" s="1053"/>
      <c r="W151" s="1053" t="str">
        <f t="shared" si="25"/>
        <v/>
      </c>
    </row>
    <row r="152" spans="1:23" s="147" customFormat="1" ht="14.4" x14ac:dyDescent="0.3">
      <c r="A152" s="139" t="str">
        <f t="shared" si="18"/>
        <v/>
      </c>
      <c r="B152" s="984">
        <v>144</v>
      </c>
      <c r="C152" s="1035"/>
      <c r="D152" s="1067"/>
      <c r="E152" s="976"/>
      <c r="F152" s="1035"/>
      <c r="G152" s="977"/>
      <c r="H152" s="975"/>
      <c r="I152" s="978"/>
      <c r="J152" s="975" t="str">
        <f t="shared" si="19"/>
        <v/>
      </c>
      <c r="K152" s="979"/>
      <c r="L152" s="979"/>
      <c r="M152" s="980" t="str">
        <f t="shared" si="26"/>
        <v/>
      </c>
      <c r="N152" s="1081"/>
      <c r="O152" s="982" t="str">
        <f t="shared" ca="1" si="20"/>
        <v/>
      </c>
      <c r="P152" s="991" t="str">
        <f t="shared" ca="1" si="21"/>
        <v/>
      </c>
      <c r="R152" s="1053"/>
      <c r="S152" s="1053" t="str">
        <f t="shared" si="22"/>
        <v/>
      </c>
      <c r="T152" s="1053" t="str">
        <f t="shared" ca="1" si="23"/>
        <v/>
      </c>
      <c r="U152" s="1053" t="str">
        <f t="shared" ca="1" si="24"/>
        <v/>
      </c>
      <c r="V152" s="1053"/>
      <c r="W152" s="1053" t="str">
        <f t="shared" si="25"/>
        <v/>
      </c>
    </row>
    <row r="153" spans="1:23" s="147" customFormat="1" ht="14.4" x14ac:dyDescent="0.3">
      <c r="A153" s="139" t="str">
        <f t="shared" si="18"/>
        <v/>
      </c>
      <c r="B153" s="984">
        <v>145</v>
      </c>
      <c r="C153" s="1035"/>
      <c r="D153" s="1067"/>
      <c r="E153" s="976"/>
      <c r="F153" s="1035"/>
      <c r="G153" s="977"/>
      <c r="H153" s="975"/>
      <c r="I153" s="978"/>
      <c r="J153" s="975" t="str">
        <f t="shared" si="19"/>
        <v/>
      </c>
      <c r="K153" s="979"/>
      <c r="L153" s="979"/>
      <c r="M153" s="980" t="str">
        <f t="shared" si="26"/>
        <v/>
      </c>
      <c r="N153" s="1081"/>
      <c r="O153" s="982" t="str">
        <f t="shared" ca="1" si="20"/>
        <v/>
      </c>
      <c r="P153" s="991" t="str">
        <f t="shared" ca="1" si="21"/>
        <v/>
      </c>
      <c r="R153" s="1053"/>
      <c r="S153" s="1053" t="str">
        <f t="shared" si="22"/>
        <v/>
      </c>
      <c r="T153" s="1053" t="str">
        <f t="shared" ca="1" si="23"/>
        <v/>
      </c>
      <c r="U153" s="1053" t="str">
        <f t="shared" ca="1" si="24"/>
        <v/>
      </c>
      <c r="V153" s="1053"/>
      <c r="W153" s="1053" t="str">
        <f t="shared" si="25"/>
        <v/>
      </c>
    </row>
    <row r="154" spans="1:23" s="147" customFormat="1" ht="14.4" x14ac:dyDescent="0.3">
      <c r="A154" s="139" t="str">
        <f t="shared" si="18"/>
        <v/>
      </c>
      <c r="B154" s="984">
        <v>146</v>
      </c>
      <c r="C154" s="1035"/>
      <c r="D154" s="1067"/>
      <c r="E154" s="976"/>
      <c r="F154" s="1035"/>
      <c r="G154" s="977"/>
      <c r="H154" s="975"/>
      <c r="I154" s="978"/>
      <c r="J154" s="975" t="str">
        <f t="shared" si="19"/>
        <v/>
      </c>
      <c r="K154" s="979"/>
      <c r="L154" s="979"/>
      <c r="M154" s="980" t="str">
        <f t="shared" si="26"/>
        <v/>
      </c>
      <c r="N154" s="1081"/>
      <c r="O154" s="982" t="str">
        <f t="shared" ca="1" si="20"/>
        <v/>
      </c>
      <c r="P154" s="991" t="str">
        <f t="shared" ca="1" si="21"/>
        <v/>
      </c>
      <c r="R154" s="1053"/>
      <c r="S154" s="1053" t="str">
        <f t="shared" si="22"/>
        <v/>
      </c>
      <c r="T154" s="1053" t="str">
        <f t="shared" ca="1" si="23"/>
        <v/>
      </c>
      <c r="U154" s="1053" t="str">
        <f t="shared" ca="1" si="24"/>
        <v/>
      </c>
      <c r="V154" s="1053"/>
      <c r="W154" s="1053" t="str">
        <f t="shared" si="25"/>
        <v/>
      </c>
    </row>
    <row r="155" spans="1:23" s="147" customFormat="1" ht="14.4" x14ac:dyDescent="0.3">
      <c r="A155" s="139" t="str">
        <f t="shared" si="18"/>
        <v/>
      </c>
      <c r="B155" s="984">
        <v>147</v>
      </c>
      <c r="C155" s="1035"/>
      <c r="D155" s="1067"/>
      <c r="E155" s="976"/>
      <c r="F155" s="1035"/>
      <c r="G155" s="977"/>
      <c r="H155" s="975"/>
      <c r="I155" s="978"/>
      <c r="J155" s="975" t="str">
        <f t="shared" si="19"/>
        <v/>
      </c>
      <c r="K155" s="979"/>
      <c r="L155" s="979"/>
      <c r="M155" s="980" t="str">
        <f t="shared" si="26"/>
        <v/>
      </c>
      <c r="N155" s="1081"/>
      <c r="O155" s="982" t="str">
        <f t="shared" ca="1" si="20"/>
        <v/>
      </c>
      <c r="P155" s="991" t="str">
        <f t="shared" ca="1" si="21"/>
        <v/>
      </c>
      <c r="R155" s="1053"/>
      <c r="S155" s="1053" t="str">
        <f t="shared" si="22"/>
        <v/>
      </c>
      <c r="T155" s="1053" t="str">
        <f t="shared" ca="1" si="23"/>
        <v/>
      </c>
      <c r="U155" s="1053" t="str">
        <f t="shared" ca="1" si="24"/>
        <v/>
      </c>
      <c r="V155" s="1053"/>
      <c r="W155" s="1053" t="str">
        <f t="shared" si="25"/>
        <v/>
      </c>
    </row>
    <row r="156" spans="1:23" s="147" customFormat="1" ht="14.4" x14ac:dyDescent="0.3">
      <c r="A156" s="139" t="str">
        <f t="shared" si="18"/>
        <v/>
      </c>
      <c r="B156" s="984">
        <v>148</v>
      </c>
      <c r="C156" s="1035"/>
      <c r="D156" s="1067"/>
      <c r="E156" s="976"/>
      <c r="F156" s="1035"/>
      <c r="G156" s="977"/>
      <c r="H156" s="975"/>
      <c r="I156" s="978"/>
      <c r="J156" s="975" t="str">
        <f t="shared" si="19"/>
        <v/>
      </c>
      <c r="K156" s="979"/>
      <c r="L156" s="979"/>
      <c r="M156" s="980" t="str">
        <f t="shared" si="26"/>
        <v/>
      </c>
      <c r="N156" s="1081"/>
      <c r="O156" s="982" t="str">
        <f t="shared" ca="1" si="20"/>
        <v/>
      </c>
      <c r="P156" s="991" t="str">
        <f t="shared" ca="1" si="21"/>
        <v/>
      </c>
      <c r="R156" s="1053"/>
      <c r="S156" s="1053" t="str">
        <f t="shared" si="22"/>
        <v/>
      </c>
      <c r="T156" s="1053" t="str">
        <f t="shared" ca="1" si="23"/>
        <v/>
      </c>
      <c r="U156" s="1053" t="str">
        <f t="shared" ca="1" si="24"/>
        <v/>
      </c>
      <c r="V156" s="1053"/>
      <c r="W156" s="1053" t="str">
        <f t="shared" si="25"/>
        <v/>
      </c>
    </row>
    <row r="157" spans="1:23" s="147" customFormat="1" ht="14.4" x14ac:dyDescent="0.3">
      <c r="A157" s="139" t="str">
        <f t="shared" si="18"/>
        <v/>
      </c>
      <c r="B157" s="984">
        <v>149</v>
      </c>
      <c r="C157" s="1035"/>
      <c r="D157" s="1067"/>
      <c r="E157" s="976"/>
      <c r="F157" s="1035"/>
      <c r="G157" s="977"/>
      <c r="H157" s="975"/>
      <c r="I157" s="978"/>
      <c r="J157" s="975" t="str">
        <f t="shared" si="19"/>
        <v/>
      </c>
      <c r="K157" s="979"/>
      <c r="L157" s="979"/>
      <c r="M157" s="980" t="str">
        <f t="shared" si="26"/>
        <v/>
      </c>
      <c r="N157" s="1081"/>
      <c r="O157" s="982" t="str">
        <f t="shared" ca="1" si="20"/>
        <v/>
      </c>
      <c r="P157" s="991" t="str">
        <f t="shared" ca="1" si="21"/>
        <v/>
      </c>
      <c r="R157" s="1053"/>
      <c r="S157" s="1053" t="str">
        <f t="shared" si="22"/>
        <v/>
      </c>
      <c r="T157" s="1053" t="str">
        <f t="shared" ca="1" si="23"/>
        <v/>
      </c>
      <c r="U157" s="1053" t="str">
        <f t="shared" ca="1" si="24"/>
        <v/>
      </c>
      <c r="V157" s="1053"/>
      <c r="W157" s="1053" t="str">
        <f t="shared" si="25"/>
        <v/>
      </c>
    </row>
    <row r="158" spans="1:23" s="147" customFormat="1" ht="14.4" x14ac:dyDescent="0.3">
      <c r="A158" s="139" t="str">
        <f t="shared" si="18"/>
        <v/>
      </c>
      <c r="B158" s="984">
        <v>150</v>
      </c>
      <c r="C158" s="1035"/>
      <c r="D158" s="1067"/>
      <c r="E158" s="976"/>
      <c r="F158" s="1035"/>
      <c r="G158" s="977"/>
      <c r="H158" s="975"/>
      <c r="I158" s="978"/>
      <c r="J158" s="975" t="str">
        <f t="shared" si="19"/>
        <v/>
      </c>
      <c r="K158" s="979"/>
      <c r="L158" s="979"/>
      <c r="M158" s="980" t="str">
        <f t="shared" si="26"/>
        <v/>
      </c>
      <c r="N158" s="1081"/>
      <c r="O158" s="982" t="str">
        <f t="shared" ca="1" si="20"/>
        <v/>
      </c>
      <c r="P158" s="991" t="str">
        <f t="shared" ca="1" si="21"/>
        <v/>
      </c>
      <c r="R158" s="1053"/>
      <c r="S158" s="1053" t="str">
        <f t="shared" si="22"/>
        <v/>
      </c>
      <c r="T158" s="1053" t="str">
        <f t="shared" ca="1" si="23"/>
        <v/>
      </c>
      <c r="U158" s="1053" t="str">
        <f t="shared" ca="1" si="24"/>
        <v/>
      </c>
      <c r="V158" s="1053"/>
      <c r="W158" s="1053" t="str">
        <f t="shared" si="25"/>
        <v/>
      </c>
    </row>
    <row r="159" spans="1:23" s="147" customFormat="1" ht="14.4" x14ac:dyDescent="0.3">
      <c r="A159" s="139" t="str">
        <f t="shared" si="18"/>
        <v/>
      </c>
      <c r="B159" s="984">
        <v>151</v>
      </c>
      <c r="C159" s="1035"/>
      <c r="D159" s="1067"/>
      <c r="E159" s="976"/>
      <c r="F159" s="1035"/>
      <c r="G159" s="977"/>
      <c r="H159" s="975"/>
      <c r="I159" s="978"/>
      <c r="J159" s="975" t="str">
        <f t="shared" si="19"/>
        <v/>
      </c>
      <c r="K159" s="979"/>
      <c r="L159" s="979"/>
      <c r="M159" s="980" t="str">
        <f t="shared" si="26"/>
        <v/>
      </c>
      <c r="N159" s="1081"/>
      <c r="O159" s="982" t="str">
        <f t="shared" ca="1" si="20"/>
        <v/>
      </c>
      <c r="P159" s="991" t="str">
        <f t="shared" ca="1" si="21"/>
        <v/>
      </c>
      <c r="R159" s="1053"/>
      <c r="S159" s="1053" t="str">
        <f t="shared" si="22"/>
        <v/>
      </c>
      <c r="T159" s="1053" t="str">
        <f t="shared" ca="1" si="23"/>
        <v/>
      </c>
      <c r="U159" s="1053" t="str">
        <f t="shared" ca="1" si="24"/>
        <v/>
      </c>
      <c r="V159" s="1053"/>
      <c r="W159" s="1053" t="str">
        <f t="shared" si="25"/>
        <v/>
      </c>
    </row>
    <row r="160" spans="1:23" s="147" customFormat="1" ht="14.4" x14ac:dyDescent="0.3">
      <c r="A160" s="139" t="str">
        <f t="shared" si="18"/>
        <v/>
      </c>
      <c r="B160" s="984">
        <v>152</v>
      </c>
      <c r="C160" s="1035"/>
      <c r="D160" s="1067"/>
      <c r="E160" s="976"/>
      <c r="F160" s="1035"/>
      <c r="G160" s="977"/>
      <c r="H160" s="975"/>
      <c r="I160" s="978"/>
      <c r="J160" s="975" t="str">
        <f t="shared" si="19"/>
        <v/>
      </c>
      <c r="K160" s="979"/>
      <c r="L160" s="979"/>
      <c r="M160" s="980" t="str">
        <f t="shared" si="26"/>
        <v/>
      </c>
      <c r="N160" s="1081"/>
      <c r="O160" s="982" t="str">
        <f t="shared" ca="1" si="20"/>
        <v/>
      </c>
      <c r="P160" s="991" t="str">
        <f t="shared" ca="1" si="21"/>
        <v/>
      </c>
      <c r="R160" s="1053"/>
      <c r="S160" s="1053" t="str">
        <f t="shared" si="22"/>
        <v/>
      </c>
      <c r="T160" s="1053" t="str">
        <f t="shared" ca="1" si="23"/>
        <v/>
      </c>
      <c r="U160" s="1053" t="str">
        <f t="shared" ca="1" si="24"/>
        <v/>
      </c>
      <c r="V160" s="1053"/>
      <c r="W160" s="1053" t="str">
        <f t="shared" si="25"/>
        <v/>
      </c>
    </row>
    <row r="161" spans="1:23" s="147" customFormat="1" ht="14.4" x14ac:dyDescent="0.3">
      <c r="A161" s="139" t="str">
        <f t="shared" si="18"/>
        <v/>
      </c>
      <c r="B161" s="984">
        <v>153</v>
      </c>
      <c r="C161" s="1035"/>
      <c r="D161" s="1067"/>
      <c r="E161" s="976"/>
      <c r="F161" s="1035"/>
      <c r="G161" s="977"/>
      <c r="H161" s="975"/>
      <c r="I161" s="978"/>
      <c r="J161" s="975" t="str">
        <f t="shared" si="19"/>
        <v/>
      </c>
      <c r="K161" s="979"/>
      <c r="L161" s="979"/>
      <c r="M161" s="980" t="str">
        <f t="shared" si="26"/>
        <v/>
      </c>
      <c r="N161" s="1081"/>
      <c r="O161" s="982" t="str">
        <f t="shared" ca="1" si="20"/>
        <v/>
      </c>
      <c r="P161" s="991" t="str">
        <f t="shared" ca="1" si="21"/>
        <v/>
      </c>
      <c r="R161" s="1053"/>
      <c r="S161" s="1053" t="str">
        <f t="shared" si="22"/>
        <v/>
      </c>
      <c r="T161" s="1053" t="str">
        <f t="shared" ca="1" si="23"/>
        <v/>
      </c>
      <c r="U161" s="1053" t="str">
        <f t="shared" ca="1" si="24"/>
        <v/>
      </c>
      <c r="V161" s="1053"/>
      <c r="W161" s="1053" t="str">
        <f t="shared" si="25"/>
        <v/>
      </c>
    </row>
    <row r="162" spans="1:23" s="147" customFormat="1" ht="14.4" x14ac:dyDescent="0.3">
      <c r="A162" s="139" t="str">
        <f t="shared" si="18"/>
        <v/>
      </c>
      <c r="B162" s="984">
        <v>154</v>
      </c>
      <c r="C162" s="1035"/>
      <c r="D162" s="1067"/>
      <c r="E162" s="976"/>
      <c r="F162" s="1035"/>
      <c r="G162" s="977"/>
      <c r="H162" s="975"/>
      <c r="I162" s="978"/>
      <c r="J162" s="975" t="str">
        <f t="shared" si="19"/>
        <v/>
      </c>
      <c r="K162" s="979"/>
      <c r="L162" s="979"/>
      <c r="M162" s="980" t="str">
        <f t="shared" si="26"/>
        <v/>
      </c>
      <c r="N162" s="1081"/>
      <c r="O162" s="982" t="str">
        <f t="shared" ca="1" si="20"/>
        <v/>
      </c>
      <c r="P162" s="991" t="str">
        <f t="shared" ca="1" si="21"/>
        <v/>
      </c>
      <c r="R162" s="1053"/>
      <c r="S162" s="1053" t="str">
        <f t="shared" si="22"/>
        <v/>
      </c>
      <c r="T162" s="1053" t="str">
        <f t="shared" ca="1" si="23"/>
        <v/>
      </c>
      <c r="U162" s="1053" t="str">
        <f t="shared" ca="1" si="24"/>
        <v/>
      </c>
      <c r="V162" s="1053"/>
      <c r="W162" s="1053" t="str">
        <f t="shared" si="25"/>
        <v/>
      </c>
    </row>
    <row r="163" spans="1:23" s="147" customFormat="1" ht="14.4" x14ac:dyDescent="0.3">
      <c r="A163" s="139" t="str">
        <f t="shared" si="18"/>
        <v/>
      </c>
      <c r="B163" s="984">
        <v>155</v>
      </c>
      <c r="C163" s="1035"/>
      <c r="D163" s="1067"/>
      <c r="E163" s="976"/>
      <c r="F163" s="1035"/>
      <c r="G163" s="977"/>
      <c r="H163" s="975"/>
      <c r="I163" s="978"/>
      <c r="J163" s="975" t="str">
        <f t="shared" si="19"/>
        <v/>
      </c>
      <c r="K163" s="979"/>
      <c r="L163" s="979"/>
      <c r="M163" s="980" t="str">
        <f t="shared" si="26"/>
        <v/>
      </c>
      <c r="N163" s="1081"/>
      <c r="O163" s="982" t="str">
        <f t="shared" ca="1" si="20"/>
        <v/>
      </c>
      <c r="P163" s="991" t="str">
        <f t="shared" ca="1" si="21"/>
        <v/>
      </c>
      <c r="R163" s="1053"/>
      <c r="S163" s="1053" t="str">
        <f t="shared" si="22"/>
        <v/>
      </c>
      <c r="T163" s="1053" t="str">
        <f t="shared" ca="1" si="23"/>
        <v/>
      </c>
      <c r="U163" s="1053" t="str">
        <f t="shared" ca="1" si="24"/>
        <v/>
      </c>
      <c r="V163" s="1053"/>
      <c r="W163" s="1053" t="str">
        <f t="shared" si="25"/>
        <v/>
      </c>
    </row>
    <row r="164" spans="1:23" s="147" customFormat="1" ht="14.4" x14ac:dyDescent="0.3">
      <c r="A164" s="139" t="str">
        <f t="shared" si="18"/>
        <v/>
      </c>
      <c r="B164" s="984">
        <v>156</v>
      </c>
      <c r="C164" s="1035"/>
      <c r="D164" s="1067"/>
      <c r="E164" s="976"/>
      <c r="F164" s="1035"/>
      <c r="G164" s="977"/>
      <c r="H164" s="975"/>
      <c r="I164" s="978"/>
      <c r="J164" s="975" t="str">
        <f t="shared" si="19"/>
        <v/>
      </c>
      <c r="K164" s="979"/>
      <c r="L164" s="979"/>
      <c r="M164" s="980" t="str">
        <f t="shared" si="26"/>
        <v/>
      </c>
      <c r="N164" s="1081"/>
      <c r="O164" s="982" t="str">
        <f t="shared" ca="1" si="20"/>
        <v/>
      </c>
      <c r="P164" s="991" t="str">
        <f t="shared" ca="1" si="21"/>
        <v/>
      </c>
      <c r="R164" s="1053"/>
      <c r="S164" s="1053" t="str">
        <f t="shared" si="22"/>
        <v/>
      </c>
      <c r="T164" s="1053" t="str">
        <f t="shared" ca="1" si="23"/>
        <v/>
      </c>
      <c r="U164" s="1053" t="str">
        <f t="shared" ca="1" si="24"/>
        <v/>
      </c>
      <c r="V164" s="1053"/>
      <c r="W164" s="1053" t="str">
        <f t="shared" si="25"/>
        <v/>
      </c>
    </row>
    <row r="165" spans="1:23" s="147" customFormat="1" ht="14.4" x14ac:dyDescent="0.3">
      <c r="A165" s="139" t="str">
        <f t="shared" si="18"/>
        <v/>
      </c>
      <c r="B165" s="984">
        <v>157</v>
      </c>
      <c r="C165" s="1035"/>
      <c r="D165" s="1067"/>
      <c r="E165" s="976"/>
      <c r="F165" s="1035"/>
      <c r="G165" s="977"/>
      <c r="H165" s="975"/>
      <c r="I165" s="978"/>
      <c r="J165" s="975" t="str">
        <f t="shared" si="19"/>
        <v/>
      </c>
      <c r="K165" s="979"/>
      <c r="L165" s="979"/>
      <c r="M165" s="980" t="str">
        <f t="shared" si="26"/>
        <v/>
      </c>
      <c r="N165" s="1081"/>
      <c r="O165" s="982" t="str">
        <f t="shared" ca="1" si="20"/>
        <v/>
      </c>
      <c r="P165" s="991" t="str">
        <f t="shared" ca="1" si="21"/>
        <v/>
      </c>
      <c r="R165" s="1053"/>
      <c r="S165" s="1053" t="str">
        <f t="shared" si="22"/>
        <v/>
      </c>
      <c r="T165" s="1053" t="str">
        <f t="shared" ca="1" si="23"/>
        <v/>
      </c>
      <c r="U165" s="1053" t="str">
        <f t="shared" ca="1" si="24"/>
        <v/>
      </c>
      <c r="V165" s="1053"/>
      <c r="W165" s="1053" t="str">
        <f t="shared" si="25"/>
        <v/>
      </c>
    </row>
    <row r="166" spans="1:23" s="147" customFormat="1" ht="14.4" x14ac:dyDescent="0.3">
      <c r="A166" s="139" t="str">
        <f t="shared" si="18"/>
        <v/>
      </c>
      <c r="B166" s="984">
        <v>158</v>
      </c>
      <c r="C166" s="1035"/>
      <c r="D166" s="1067"/>
      <c r="E166" s="976"/>
      <c r="F166" s="1035"/>
      <c r="G166" s="977"/>
      <c r="H166" s="975"/>
      <c r="I166" s="978"/>
      <c r="J166" s="975" t="str">
        <f t="shared" si="19"/>
        <v/>
      </c>
      <c r="K166" s="979"/>
      <c r="L166" s="979"/>
      <c r="M166" s="980" t="str">
        <f t="shared" si="26"/>
        <v/>
      </c>
      <c r="N166" s="1081"/>
      <c r="O166" s="982" t="str">
        <f t="shared" ca="1" si="20"/>
        <v/>
      </c>
      <c r="P166" s="991" t="str">
        <f t="shared" ca="1" si="21"/>
        <v/>
      </c>
      <c r="R166" s="1053"/>
      <c r="S166" s="1053" t="str">
        <f t="shared" si="22"/>
        <v/>
      </c>
      <c r="T166" s="1053" t="str">
        <f t="shared" ca="1" si="23"/>
        <v/>
      </c>
      <c r="U166" s="1053" t="str">
        <f t="shared" ca="1" si="24"/>
        <v/>
      </c>
      <c r="V166" s="1053"/>
      <c r="W166" s="1053" t="str">
        <f t="shared" si="25"/>
        <v/>
      </c>
    </row>
    <row r="167" spans="1:23" s="147" customFormat="1" ht="14.4" x14ac:dyDescent="0.3">
      <c r="A167" s="139" t="str">
        <f t="shared" si="18"/>
        <v/>
      </c>
      <c r="B167" s="984">
        <v>159</v>
      </c>
      <c r="C167" s="1035"/>
      <c r="D167" s="1067"/>
      <c r="E167" s="976"/>
      <c r="F167" s="1035"/>
      <c r="G167" s="977"/>
      <c r="H167" s="975"/>
      <c r="I167" s="978"/>
      <c r="J167" s="975" t="str">
        <f t="shared" si="19"/>
        <v/>
      </c>
      <c r="K167" s="979"/>
      <c r="L167" s="979"/>
      <c r="M167" s="980" t="str">
        <f t="shared" si="26"/>
        <v/>
      </c>
      <c r="N167" s="1081"/>
      <c r="O167" s="982" t="str">
        <f t="shared" ca="1" si="20"/>
        <v/>
      </c>
      <c r="P167" s="991" t="str">
        <f t="shared" ca="1" si="21"/>
        <v/>
      </c>
      <c r="R167" s="1053"/>
      <c r="S167" s="1053" t="str">
        <f t="shared" si="22"/>
        <v/>
      </c>
      <c r="T167" s="1053" t="str">
        <f t="shared" ca="1" si="23"/>
        <v/>
      </c>
      <c r="U167" s="1053" t="str">
        <f t="shared" ca="1" si="24"/>
        <v/>
      </c>
      <c r="V167" s="1053"/>
      <c r="W167" s="1053" t="str">
        <f t="shared" si="25"/>
        <v/>
      </c>
    </row>
    <row r="168" spans="1:23" s="147" customFormat="1" ht="14.4" x14ac:dyDescent="0.3">
      <c r="A168" s="139" t="str">
        <f t="shared" si="18"/>
        <v/>
      </c>
      <c r="B168" s="984">
        <v>160</v>
      </c>
      <c r="C168" s="1035"/>
      <c r="D168" s="1067"/>
      <c r="E168" s="976"/>
      <c r="F168" s="1035"/>
      <c r="G168" s="977"/>
      <c r="H168" s="975"/>
      <c r="I168" s="978"/>
      <c r="J168" s="975" t="str">
        <f t="shared" si="19"/>
        <v/>
      </c>
      <c r="K168" s="979"/>
      <c r="L168" s="979"/>
      <c r="M168" s="980" t="str">
        <f t="shared" si="26"/>
        <v/>
      </c>
      <c r="N168" s="1081"/>
      <c r="O168" s="982" t="str">
        <f t="shared" ca="1" si="20"/>
        <v/>
      </c>
      <c r="P168" s="991" t="str">
        <f t="shared" ca="1" si="21"/>
        <v/>
      </c>
      <c r="R168" s="1053"/>
      <c r="S168" s="1053" t="str">
        <f t="shared" si="22"/>
        <v/>
      </c>
      <c r="T168" s="1053" t="str">
        <f t="shared" ca="1" si="23"/>
        <v/>
      </c>
      <c r="U168" s="1053" t="str">
        <f t="shared" ca="1" si="24"/>
        <v/>
      </c>
      <c r="V168" s="1053"/>
      <c r="W168" s="1053" t="str">
        <f t="shared" si="25"/>
        <v/>
      </c>
    </row>
    <row r="169" spans="1:23" s="147" customFormat="1" ht="14.4" x14ac:dyDescent="0.3">
      <c r="A169" s="139" t="str">
        <f t="shared" si="18"/>
        <v/>
      </c>
      <c r="B169" s="984">
        <v>161</v>
      </c>
      <c r="C169" s="1035"/>
      <c r="D169" s="1067"/>
      <c r="E169" s="976"/>
      <c r="F169" s="1035"/>
      <c r="G169" s="977"/>
      <c r="H169" s="975"/>
      <c r="I169" s="978"/>
      <c r="J169" s="975" t="str">
        <f t="shared" si="19"/>
        <v/>
      </c>
      <c r="K169" s="979"/>
      <c r="L169" s="979"/>
      <c r="M169" s="980" t="str">
        <f t="shared" si="26"/>
        <v/>
      </c>
      <c r="N169" s="1081"/>
      <c r="O169" s="982" t="str">
        <f t="shared" ca="1" si="20"/>
        <v/>
      </c>
      <c r="P169" s="991" t="str">
        <f t="shared" ca="1" si="21"/>
        <v/>
      </c>
      <c r="R169" s="1053"/>
      <c r="S169" s="1053" t="str">
        <f t="shared" si="22"/>
        <v/>
      </c>
      <c r="T169" s="1053" t="str">
        <f t="shared" ca="1" si="23"/>
        <v/>
      </c>
      <c r="U169" s="1053" t="str">
        <f t="shared" ca="1" si="24"/>
        <v/>
      </c>
      <c r="V169" s="1053"/>
      <c r="W169" s="1053" t="str">
        <f t="shared" si="25"/>
        <v/>
      </c>
    </row>
    <row r="170" spans="1:23" s="147" customFormat="1" ht="14.4" x14ac:dyDescent="0.3">
      <c r="A170" s="139" t="str">
        <f t="shared" si="18"/>
        <v/>
      </c>
      <c r="B170" s="984">
        <v>162</v>
      </c>
      <c r="C170" s="1035"/>
      <c r="D170" s="1067"/>
      <c r="E170" s="976"/>
      <c r="F170" s="1035"/>
      <c r="G170" s="977"/>
      <c r="H170" s="975"/>
      <c r="I170" s="978"/>
      <c r="J170" s="975" t="str">
        <f t="shared" si="19"/>
        <v/>
      </c>
      <c r="K170" s="979"/>
      <c r="L170" s="979"/>
      <c r="M170" s="980" t="str">
        <f t="shared" si="26"/>
        <v/>
      </c>
      <c r="N170" s="1081"/>
      <c r="O170" s="982" t="str">
        <f t="shared" ca="1" si="20"/>
        <v/>
      </c>
      <c r="P170" s="991" t="str">
        <f t="shared" ca="1" si="21"/>
        <v/>
      </c>
      <c r="R170" s="1053"/>
      <c r="S170" s="1053" t="str">
        <f t="shared" si="22"/>
        <v/>
      </c>
      <c r="T170" s="1053" t="str">
        <f t="shared" ca="1" si="23"/>
        <v/>
      </c>
      <c r="U170" s="1053" t="str">
        <f t="shared" ca="1" si="24"/>
        <v/>
      </c>
      <c r="V170" s="1053"/>
      <c r="W170" s="1053" t="str">
        <f t="shared" si="25"/>
        <v/>
      </c>
    </row>
    <row r="171" spans="1:23" s="147" customFormat="1" ht="14.4" x14ac:dyDescent="0.3">
      <c r="A171" s="139" t="str">
        <f t="shared" si="18"/>
        <v/>
      </c>
      <c r="B171" s="984">
        <v>163</v>
      </c>
      <c r="C171" s="1035"/>
      <c r="D171" s="1067"/>
      <c r="E171" s="976"/>
      <c r="F171" s="1035"/>
      <c r="G171" s="977"/>
      <c r="H171" s="975"/>
      <c r="I171" s="978"/>
      <c r="J171" s="975" t="str">
        <f t="shared" si="19"/>
        <v/>
      </c>
      <c r="K171" s="979"/>
      <c r="L171" s="979"/>
      <c r="M171" s="980" t="str">
        <f t="shared" si="26"/>
        <v/>
      </c>
      <c r="N171" s="1081"/>
      <c r="O171" s="982" t="str">
        <f t="shared" ca="1" si="20"/>
        <v/>
      </c>
      <c r="P171" s="991" t="str">
        <f t="shared" ca="1" si="21"/>
        <v/>
      </c>
      <c r="R171" s="1053"/>
      <c r="S171" s="1053" t="str">
        <f t="shared" si="22"/>
        <v/>
      </c>
      <c r="T171" s="1053" t="str">
        <f t="shared" ca="1" si="23"/>
        <v/>
      </c>
      <c r="U171" s="1053" t="str">
        <f t="shared" ca="1" si="24"/>
        <v/>
      </c>
      <c r="V171" s="1053"/>
      <c r="W171" s="1053" t="str">
        <f t="shared" si="25"/>
        <v/>
      </c>
    </row>
    <row r="172" spans="1:23" s="147" customFormat="1" ht="14.4" x14ac:dyDescent="0.3">
      <c r="A172" s="139" t="str">
        <f t="shared" si="18"/>
        <v/>
      </c>
      <c r="B172" s="984">
        <v>164</v>
      </c>
      <c r="C172" s="1035"/>
      <c r="D172" s="1067"/>
      <c r="E172" s="976"/>
      <c r="F172" s="1035"/>
      <c r="G172" s="977"/>
      <c r="H172" s="975"/>
      <c r="I172" s="978"/>
      <c r="J172" s="975" t="str">
        <f t="shared" si="19"/>
        <v/>
      </c>
      <c r="K172" s="979"/>
      <c r="L172" s="979"/>
      <c r="M172" s="980" t="str">
        <f t="shared" si="26"/>
        <v/>
      </c>
      <c r="N172" s="1081"/>
      <c r="O172" s="982" t="str">
        <f t="shared" ca="1" si="20"/>
        <v/>
      </c>
      <c r="P172" s="991" t="str">
        <f t="shared" ca="1" si="21"/>
        <v/>
      </c>
      <c r="R172" s="1053"/>
      <c r="S172" s="1053" t="str">
        <f t="shared" si="22"/>
        <v/>
      </c>
      <c r="T172" s="1053" t="str">
        <f t="shared" ca="1" si="23"/>
        <v/>
      </c>
      <c r="U172" s="1053" t="str">
        <f t="shared" ca="1" si="24"/>
        <v/>
      </c>
      <c r="V172" s="1053"/>
      <c r="W172" s="1053" t="str">
        <f t="shared" si="25"/>
        <v/>
      </c>
    </row>
    <row r="173" spans="1:23" s="147" customFormat="1" ht="14.4" x14ac:dyDescent="0.3">
      <c r="A173" s="139" t="str">
        <f t="shared" si="18"/>
        <v/>
      </c>
      <c r="B173" s="984">
        <v>165</v>
      </c>
      <c r="C173" s="1035"/>
      <c r="D173" s="1067"/>
      <c r="E173" s="976"/>
      <c r="F173" s="1035"/>
      <c r="G173" s="977"/>
      <c r="H173" s="975"/>
      <c r="I173" s="978"/>
      <c r="J173" s="975" t="str">
        <f t="shared" si="19"/>
        <v/>
      </c>
      <c r="K173" s="979"/>
      <c r="L173" s="979"/>
      <c r="M173" s="980" t="str">
        <f t="shared" si="26"/>
        <v/>
      </c>
      <c r="N173" s="1081"/>
      <c r="O173" s="982" t="str">
        <f t="shared" ca="1" si="20"/>
        <v/>
      </c>
      <c r="P173" s="991" t="str">
        <f t="shared" ca="1" si="21"/>
        <v/>
      </c>
      <c r="R173" s="1053"/>
      <c r="S173" s="1053" t="str">
        <f t="shared" si="22"/>
        <v/>
      </c>
      <c r="T173" s="1053" t="str">
        <f t="shared" ca="1" si="23"/>
        <v/>
      </c>
      <c r="U173" s="1053" t="str">
        <f t="shared" ca="1" si="24"/>
        <v/>
      </c>
      <c r="V173" s="1053"/>
      <c r="W173" s="1053" t="str">
        <f t="shared" si="25"/>
        <v/>
      </c>
    </row>
    <row r="174" spans="1:23" s="147" customFormat="1" ht="14.4" x14ac:dyDescent="0.3">
      <c r="A174" s="139" t="str">
        <f t="shared" si="18"/>
        <v/>
      </c>
      <c r="B174" s="984">
        <v>166</v>
      </c>
      <c r="C174" s="1035"/>
      <c r="D174" s="1067"/>
      <c r="E174" s="976"/>
      <c r="F174" s="1035"/>
      <c r="G174" s="977"/>
      <c r="H174" s="975"/>
      <c r="I174" s="978"/>
      <c r="J174" s="975" t="str">
        <f t="shared" si="19"/>
        <v/>
      </c>
      <c r="K174" s="979"/>
      <c r="L174" s="979"/>
      <c r="M174" s="980" t="str">
        <f t="shared" si="26"/>
        <v/>
      </c>
      <c r="N174" s="1081"/>
      <c r="O174" s="982" t="str">
        <f t="shared" ca="1" si="20"/>
        <v/>
      </c>
      <c r="P174" s="991" t="str">
        <f t="shared" ca="1" si="21"/>
        <v/>
      </c>
      <c r="R174" s="1053"/>
      <c r="S174" s="1053" t="str">
        <f t="shared" si="22"/>
        <v/>
      </c>
      <c r="T174" s="1053" t="str">
        <f t="shared" ca="1" si="23"/>
        <v/>
      </c>
      <c r="U174" s="1053" t="str">
        <f t="shared" ca="1" si="24"/>
        <v/>
      </c>
      <c r="V174" s="1053"/>
      <c r="W174" s="1053" t="str">
        <f t="shared" si="25"/>
        <v/>
      </c>
    </row>
    <row r="175" spans="1:23" s="147" customFormat="1" ht="14.4" x14ac:dyDescent="0.3">
      <c r="A175" s="139" t="str">
        <f t="shared" si="18"/>
        <v/>
      </c>
      <c r="B175" s="984">
        <v>167</v>
      </c>
      <c r="C175" s="1035"/>
      <c r="D175" s="1067"/>
      <c r="E175" s="976"/>
      <c r="F175" s="1035"/>
      <c r="G175" s="977"/>
      <c r="H175" s="975"/>
      <c r="I175" s="978"/>
      <c r="J175" s="975" t="str">
        <f t="shared" si="19"/>
        <v/>
      </c>
      <c r="K175" s="979"/>
      <c r="L175" s="979"/>
      <c r="M175" s="980" t="str">
        <f t="shared" si="26"/>
        <v/>
      </c>
      <c r="N175" s="1081"/>
      <c r="O175" s="982" t="str">
        <f t="shared" ca="1" si="20"/>
        <v/>
      </c>
      <c r="P175" s="991" t="str">
        <f t="shared" ca="1" si="21"/>
        <v/>
      </c>
      <c r="R175" s="1053"/>
      <c r="S175" s="1053" t="str">
        <f t="shared" si="22"/>
        <v/>
      </c>
      <c r="T175" s="1053" t="str">
        <f t="shared" ca="1" si="23"/>
        <v/>
      </c>
      <c r="U175" s="1053" t="str">
        <f t="shared" ca="1" si="24"/>
        <v/>
      </c>
      <c r="V175" s="1053"/>
      <c r="W175" s="1053" t="str">
        <f t="shared" si="25"/>
        <v/>
      </c>
    </row>
    <row r="176" spans="1:23" s="147" customFormat="1" ht="14.4" x14ac:dyDescent="0.3">
      <c r="A176" s="139" t="str">
        <f t="shared" si="18"/>
        <v/>
      </c>
      <c r="B176" s="984">
        <v>168</v>
      </c>
      <c r="C176" s="1035"/>
      <c r="D176" s="1067"/>
      <c r="E176" s="976"/>
      <c r="F176" s="1035"/>
      <c r="G176" s="977"/>
      <c r="H176" s="975"/>
      <c r="I176" s="978"/>
      <c r="J176" s="975" t="str">
        <f t="shared" si="19"/>
        <v/>
      </c>
      <c r="K176" s="979"/>
      <c r="L176" s="979"/>
      <c r="M176" s="980" t="str">
        <f t="shared" si="26"/>
        <v/>
      </c>
      <c r="N176" s="1081"/>
      <c r="O176" s="982" t="str">
        <f t="shared" ca="1" si="20"/>
        <v/>
      </c>
      <c r="P176" s="991" t="str">
        <f t="shared" ca="1" si="21"/>
        <v/>
      </c>
      <c r="R176" s="1053"/>
      <c r="S176" s="1053" t="str">
        <f t="shared" si="22"/>
        <v/>
      </c>
      <c r="T176" s="1053" t="str">
        <f t="shared" ca="1" si="23"/>
        <v/>
      </c>
      <c r="U176" s="1053" t="str">
        <f t="shared" ca="1" si="24"/>
        <v/>
      </c>
      <c r="V176" s="1053"/>
      <c r="W176" s="1053" t="str">
        <f t="shared" si="25"/>
        <v/>
      </c>
    </row>
    <row r="177" spans="1:23" s="147" customFormat="1" ht="14.4" x14ac:dyDescent="0.3">
      <c r="A177" s="139" t="str">
        <f t="shared" si="18"/>
        <v/>
      </c>
      <c r="B177" s="984">
        <v>169</v>
      </c>
      <c r="C177" s="1035"/>
      <c r="D177" s="1067"/>
      <c r="E177" s="976"/>
      <c r="F177" s="1035"/>
      <c r="G177" s="977"/>
      <c r="H177" s="975"/>
      <c r="I177" s="978"/>
      <c r="J177" s="975" t="str">
        <f t="shared" si="19"/>
        <v/>
      </c>
      <c r="K177" s="979"/>
      <c r="L177" s="979"/>
      <c r="M177" s="980" t="str">
        <f t="shared" si="26"/>
        <v/>
      </c>
      <c r="N177" s="1081"/>
      <c r="O177" s="982" t="str">
        <f t="shared" ca="1" si="20"/>
        <v/>
      </c>
      <c r="P177" s="991" t="str">
        <f t="shared" ca="1" si="21"/>
        <v/>
      </c>
      <c r="R177" s="1053"/>
      <c r="S177" s="1053" t="str">
        <f t="shared" si="22"/>
        <v/>
      </c>
      <c r="T177" s="1053" t="str">
        <f t="shared" ca="1" si="23"/>
        <v/>
      </c>
      <c r="U177" s="1053" t="str">
        <f t="shared" ca="1" si="24"/>
        <v/>
      </c>
      <c r="V177" s="1053"/>
      <c r="W177" s="1053" t="str">
        <f t="shared" si="25"/>
        <v/>
      </c>
    </row>
    <row r="178" spans="1:23" s="147" customFormat="1" ht="14.4" x14ac:dyDescent="0.3">
      <c r="A178" s="139" t="str">
        <f t="shared" si="18"/>
        <v/>
      </c>
      <c r="B178" s="984">
        <v>170</v>
      </c>
      <c r="C178" s="1035"/>
      <c r="D178" s="1067"/>
      <c r="E178" s="976"/>
      <c r="F178" s="1035"/>
      <c r="G178" s="977"/>
      <c r="H178" s="975"/>
      <c r="I178" s="978"/>
      <c r="J178" s="975" t="str">
        <f t="shared" si="19"/>
        <v/>
      </c>
      <c r="K178" s="979"/>
      <c r="L178" s="979"/>
      <c r="M178" s="980" t="str">
        <f t="shared" si="26"/>
        <v/>
      </c>
      <c r="N178" s="1081"/>
      <c r="O178" s="982" t="str">
        <f t="shared" ca="1" si="20"/>
        <v/>
      </c>
      <c r="P178" s="991" t="str">
        <f t="shared" ca="1" si="21"/>
        <v/>
      </c>
      <c r="R178" s="1053"/>
      <c r="S178" s="1053" t="str">
        <f t="shared" si="22"/>
        <v/>
      </c>
      <c r="T178" s="1053" t="str">
        <f t="shared" ca="1" si="23"/>
        <v/>
      </c>
      <c r="U178" s="1053" t="str">
        <f t="shared" ca="1" si="24"/>
        <v/>
      </c>
      <c r="V178" s="1053"/>
      <c r="W178" s="1053" t="str">
        <f t="shared" si="25"/>
        <v/>
      </c>
    </row>
    <row r="179" spans="1:23" s="147" customFormat="1" ht="14.4" x14ac:dyDescent="0.3">
      <c r="A179" s="139" t="str">
        <f t="shared" si="18"/>
        <v/>
      </c>
      <c r="B179" s="984">
        <v>171</v>
      </c>
      <c r="C179" s="1035"/>
      <c r="D179" s="1067"/>
      <c r="E179" s="976"/>
      <c r="F179" s="1035"/>
      <c r="G179" s="977"/>
      <c r="H179" s="975"/>
      <c r="I179" s="978"/>
      <c r="J179" s="975" t="str">
        <f t="shared" si="19"/>
        <v/>
      </c>
      <c r="K179" s="979"/>
      <c r="L179" s="979"/>
      <c r="M179" s="980" t="str">
        <f t="shared" si="26"/>
        <v/>
      </c>
      <c r="N179" s="1081"/>
      <c r="O179" s="982" t="str">
        <f t="shared" ca="1" si="20"/>
        <v/>
      </c>
      <c r="P179" s="991" t="str">
        <f t="shared" ca="1" si="21"/>
        <v/>
      </c>
      <c r="R179" s="1053"/>
      <c r="S179" s="1053" t="str">
        <f t="shared" si="22"/>
        <v/>
      </c>
      <c r="T179" s="1053" t="str">
        <f t="shared" ca="1" si="23"/>
        <v/>
      </c>
      <c r="U179" s="1053" t="str">
        <f t="shared" ca="1" si="24"/>
        <v/>
      </c>
      <c r="V179" s="1053"/>
      <c r="W179" s="1053" t="str">
        <f t="shared" si="25"/>
        <v/>
      </c>
    </row>
    <row r="180" spans="1:23" s="147" customFormat="1" ht="14.4" x14ac:dyDescent="0.3">
      <c r="A180" s="139" t="str">
        <f t="shared" si="18"/>
        <v/>
      </c>
      <c r="B180" s="984">
        <v>172</v>
      </c>
      <c r="C180" s="1035"/>
      <c r="D180" s="1067"/>
      <c r="E180" s="976"/>
      <c r="F180" s="1035"/>
      <c r="G180" s="977"/>
      <c r="H180" s="975"/>
      <c r="I180" s="978"/>
      <c r="J180" s="975" t="str">
        <f t="shared" si="19"/>
        <v/>
      </c>
      <c r="K180" s="979"/>
      <c r="L180" s="979"/>
      <c r="M180" s="980" t="str">
        <f t="shared" si="26"/>
        <v/>
      </c>
      <c r="N180" s="1081"/>
      <c r="O180" s="982" t="str">
        <f t="shared" ca="1" si="20"/>
        <v/>
      </c>
      <c r="P180" s="991" t="str">
        <f t="shared" ca="1" si="21"/>
        <v/>
      </c>
      <c r="R180" s="1053"/>
      <c r="S180" s="1053" t="str">
        <f t="shared" si="22"/>
        <v/>
      </c>
      <c r="T180" s="1053" t="str">
        <f t="shared" ca="1" si="23"/>
        <v/>
      </c>
      <c r="U180" s="1053" t="str">
        <f t="shared" ca="1" si="24"/>
        <v/>
      </c>
      <c r="V180" s="1053"/>
      <c r="W180" s="1053" t="str">
        <f t="shared" si="25"/>
        <v/>
      </c>
    </row>
    <row r="181" spans="1:23" s="147" customFormat="1" ht="14.4" x14ac:dyDescent="0.3">
      <c r="A181" s="139" t="str">
        <f t="shared" si="18"/>
        <v/>
      </c>
      <c r="B181" s="984">
        <v>173</v>
      </c>
      <c r="C181" s="1035"/>
      <c r="D181" s="1067"/>
      <c r="E181" s="976"/>
      <c r="F181" s="1035"/>
      <c r="G181" s="977"/>
      <c r="H181" s="975"/>
      <c r="I181" s="978"/>
      <c r="J181" s="975" t="str">
        <f t="shared" si="19"/>
        <v/>
      </c>
      <c r="K181" s="979"/>
      <c r="L181" s="979"/>
      <c r="M181" s="980" t="str">
        <f t="shared" si="26"/>
        <v/>
      </c>
      <c r="N181" s="1081"/>
      <c r="O181" s="982" t="str">
        <f t="shared" ca="1" si="20"/>
        <v/>
      </c>
      <c r="P181" s="991" t="str">
        <f t="shared" ca="1" si="21"/>
        <v/>
      </c>
      <c r="R181" s="1053"/>
      <c r="S181" s="1053" t="str">
        <f t="shared" si="22"/>
        <v/>
      </c>
      <c r="T181" s="1053" t="str">
        <f t="shared" ca="1" si="23"/>
        <v/>
      </c>
      <c r="U181" s="1053" t="str">
        <f t="shared" ca="1" si="24"/>
        <v/>
      </c>
      <c r="V181" s="1053"/>
      <c r="W181" s="1053" t="str">
        <f t="shared" si="25"/>
        <v/>
      </c>
    </row>
    <row r="182" spans="1:23" s="147" customFormat="1" ht="14.4" x14ac:dyDescent="0.3">
      <c r="A182" s="139" t="str">
        <f t="shared" si="18"/>
        <v/>
      </c>
      <c r="B182" s="984">
        <v>174</v>
      </c>
      <c r="C182" s="1035"/>
      <c r="D182" s="1067"/>
      <c r="E182" s="976"/>
      <c r="F182" s="1035"/>
      <c r="G182" s="977"/>
      <c r="H182" s="975"/>
      <c r="I182" s="978"/>
      <c r="J182" s="975" t="str">
        <f t="shared" si="19"/>
        <v/>
      </c>
      <c r="K182" s="979"/>
      <c r="L182" s="979"/>
      <c r="M182" s="980" t="str">
        <f t="shared" si="26"/>
        <v/>
      </c>
      <c r="N182" s="1081"/>
      <c r="O182" s="982" t="str">
        <f t="shared" ca="1" si="20"/>
        <v/>
      </c>
      <c r="P182" s="991" t="str">
        <f t="shared" ca="1" si="21"/>
        <v/>
      </c>
      <c r="R182" s="1053"/>
      <c r="S182" s="1053" t="str">
        <f t="shared" si="22"/>
        <v/>
      </c>
      <c r="T182" s="1053" t="str">
        <f t="shared" ca="1" si="23"/>
        <v/>
      </c>
      <c r="U182" s="1053" t="str">
        <f t="shared" ca="1" si="24"/>
        <v/>
      </c>
      <c r="V182" s="1053"/>
      <c r="W182" s="1053" t="str">
        <f t="shared" si="25"/>
        <v/>
      </c>
    </row>
    <row r="183" spans="1:23" s="147" customFormat="1" ht="14.4" x14ac:dyDescent="0.3">
      <c r="A183" s="139" t="str">
        <f t="shared" si="18"/>
        <v/>
      </c>
      <c r="B183" s="984">
        <v>175</v>
      </c>
      <c r="C183" s="1035"/>
      <c r="D183" s="1067"/>
      <c r="E183" s="976"/>
      <c r="F183" s="1035"/>
      <c r="G183" s="977"/>
      <c r="H183" s="975"/>
      <c r="I183" s="978"/>
      <c r="J183" s="975" t="str">
        <f t="shared" si="19"/>
        <v/>
      </c>
      <c r="K183" s="979"/>
      <c r="L183" s="979"/>
      <c r="M183" s="980" t="str">
        <f t="shared" si="26"/>
        <v/>
      </c>
      <c r="N183" s="1081"/>
      <c r="O183" s="982" t="str">
        <f t="shared" ca="1" si="20"/>
        <v/>
      </c>
      <c r="P183" s="991" t="str">
        <f t="shared" ca="1" si="21"/>
        <v/>
      </c>
      <c r="R183" s="1053"/>
      <c r="S183" s="1053" t="str">
        <f t="shared" si="22"/>
        <v/>
      </c>
      <c r="T183" s="1053" t="str">
        <f t="shared" ca="1" si="23"/>
        <v/>
      </c>
      <c r="U183" s="1053" t="str">
        <f t="shared" ca="1" si="24"/>
        <v/>
      </c>
      <c r="V183" s="1053"/>
      <c r="W183" s="1053" t="str">
        <f t="shared" si="25"/>
        <v/>
      </c>
    </row>
    <row r="184" spans="1:23" s="147" customFormat="1" ht="14.4" x14ac:dyDescent="0.3">
      <c r="A184" s="139" t="str">
        <f t="shared" si="18"/>
        <v/>
      </c>
      <c r="B184" s="984">
        <v>176</v>
      </c>
      <c r="C184" s="1035"/>
      <c r="D184" s="1067"/>
      <c r="E184" s="976"/>
      <c r="F184" s="1035"/>
      <c r="G184" s="977"/>
      <c r="H184" s="975"/>
      <c r="I184" s="978"/>
      <c r="J184" s="975" t="str">
        <f t="shared" si="19"/>
        <v/>
      </c>
      <c r="K184" s="979"/>
      <c r="L184" s="979"/>
      <c r="M184" s="980" t="str">
        <f t="shared" si="26"/>
        <v/>
      </c>
      <c r="N184" s="1081"/>
      <c r="O184" s="982" t="str">
        <f t="shared" ca="1" si="20"/>
        <v/>
      </c>
      <c r="P184" s="991" t="str">
        <f t="shared" ca="1" si="21"/>
        <v/>
      </c>
      <c r="R184" s="1053"/>
      <c r="S184" s="1053" t="str">
        <f t="shared" si="22"/>
        <v/>
      </c>
      <c r="T184" s="1053" t="str">
        <f t="shared" ca="1" si="23"/>
        <v/>
      </c>
      <c r="U184" s="1053" t="str">
        <f t="shared" ca="1" si="24"/>
        <v/>
      </c>
      <c r="V184" s="1053"/>
      <c r="W184" s="1053" t="str">
        <f t="shared" si="25"/>
        <v/>
      </c>
    </row>
    <row r="185" spans="1:23" s="147" customFormat="1" ht="14.4" x14ac:dyDescent="0.3">
      <c r="A185" s="139" t="str">
        <f t="shared" si="18"/>
        <v/>
      </c>
      <c r="B185" s="984">
        <v>177</v>
      </c>
      <c r="C185" s="1035"/>
      <c r="D185" s="1067"/>
      <c r="E185" s="976"/>
      <c r="F185" s="1035"/>
      <c r="G185" s="977"/>
      <c r="H185" s="975"/>
      <c r="I185" s="978"/>
      <c r="J185" s="975" t="str">
        <f t="shared" si="19"/>
        <v/>
      </c>
      <c r="K185" s="979"/>
      <c r="L185" s="979"/>
      <c r="M185" s="980" t="str">
        <f t="shared" si="26"/>
        <v/>
      </c>
      <c r="N185" s="1081"/>
      <c r="O185" s="982" t="str">
        <f t="shared" ca="1" si="20"/>
        <v/>
      </c>
      <c r="P185" s="991" t="str">
        <f t="shared" ca="1" si="21"/>
        <v/>
      </c>
      <c r="R185" s="1053"/>
      <c r="S185" s="1053" t="str">
        <f t="shared" si="22"/>
        <v/>
      </c>
      <c r="T185" s="1053" t="str">
        <f t="shared" ca="1" si="23"/>
        <v/>
      </c>
      <c r="U185" s="1053" t="str">
        <f t="shared" ca="1" si="24"/>
        <v/>
      </c>
      <c r="V185" s="1053"/>
      <c r="W185" s="1053" t="str">
        <f t="shared" si="25"/>
        <v/>
      </c>
    </row>
    <row r="186" spans="1:23" s="147" customFormat="1" ht="14.4" x14ac:dyDescent="0.3">
      <c r="A186" s="139" t="str">
        <f t="shared" si="18"/>
        <v/>
      </c>
      <c r="B186" s="984">
        <v>178</v>
      </c>
      <c r="C186" s="1035"/>
      <c r="D186" s="1067"/>
      <c r="E186" s="976"/>
      <c r="F186" s="1035"/>
      <c r="G186" s="977"/>
      <c r="H186" s="975"/>
      <c r="I186" s="978"/>
      <c r="J186" s="975" t="str">
        <f t="shared" si="19"/>
        <v/>
      </c>
      <c r="K186" s="979"/>
      <c r="L186" s="979"/>
      <c r="M186" s="980" t="str">
        <f t="shared" si="26"/>
        <v/>
      </c>
      <c r="N186" s="1081"/>
      <c r="O186" s="982" t="str">
        <f t="shared" ca="1" si="20"/>
        <v/>
      </c>
      <c r="P186" s="991" t="str">
        <f t="shared" ca="1" si="21"/>
        <v/>
      </c>
      <c r="R186" s="1053"/>
      <c r="S186" s="1053" t="str">
        <f t="shared" si="22"/>
        <v/>
      </c>
      <c r="T186" s="1053" t="str">
        <f t="shared" ca="1" si="23"/>
        <v/>
      </c>
      <c r="U186" s="1053" t="str">
        <f t="shared" ca="1" si="24"/>
        <v/>
      </c>
      <c r="V186" s="1053"/>
      <c r="W186" s="1053" t="str">
        <f t="shared" si="25"/>
        <v/>
      </c>
    </row>
    <row r="187" spans="1:23" s="147" customFormat="1" ht="14.4" x14ac:dyDescent="0.3">
      <c r="A187" s="139" t="str">
        <f t="shared" si="18"/>
        <v/>
      </c>
      <c r="B187" s="984">
        <v>179</v>
      </c>
      <c r="C187" s="1035"/>
      <c r="D187" s="1067"/>
      <c r="E187" s="976"/>
      <c r="F187" s="1035"/>
      <c r="G187" s="977"/>
      <c r="H187" s="975"/>
      <c r="I187" s="978"/>
      <c r="J187" s="975" t="str">
        <f t="shared" si="19"/>
        <v/>
      </c>
      <c r="K187" s="979"/>
      <c r="L187" s="979"/>
      <c r="M187" s="980" t="str">
        <f t="shared" si="26"/>
        <v/>
      </c>
      <c r="N187" s="1081"/>
      <c r="O187" s="982" t="str">
        <f t="shared" ca="1" si="20"/>
        <v/>
      </c>
      <c r="P187" s="991" t="str">
        <f t="shared" ca="1" si="21"/>
        <v/>
      </c>
      <c r="R187" s="1053"/>
      <c r="S187" s="1053" t="str">
        <f t="shared" si="22"/>
        <v/>
      </c>
      <c r="T187" s="1053" t="str">
        <f t="shared" ca="1" si="23"/>
        <v/>
      </c>
      <c r="U187" s="1053" t="str">
        <f t="shared" ca="1" si="24"/>
        <v/>
      </c>
      <c r="V187" s="1053"/>
      <c r="W187" s="1053" t="str">
        <f t="shared" si="25"/>
        <v/>
      </c>
    </row>
    <row r="188" spans="1:23" s="147" customFormat="1" ht="14.4" x14ac:dyDescent="0.3">
      <c r="A188" s="139" t="str">
        <f t="shared" si="18"/>
        <v/>
      </c>
      <c r="B188" s="984">
        <v>180</v>
      </c>
      <c r="C188" s="1035"/>
      <c r="D188" s="1067"/>
      <c r="E188" s="976"/>
      <c r="F188" s="1035"/>
      <c r="G188" s="977"/>
      <c r="H188" s="975"/>
      <c r="I188" s="978"/>
      <c r="J188" s="975" t="str">
        <f t="shared" si="19"/>
        <v/>
      </c>
      <c r="K188" s="979"/>
      <c r="L188" s="979"/>
      <c r="M188" s="980" t="str">
        <f t="shared" si="26"/>
        <v/>
      </c>
      <c r="N188" s="1081"/>
      <c r="O188" s="982" t="str">
        <f t="shared" ca="1" si="20"/>
        <v/>
      </c>
      <c r="P188" s="991" t="str">
        <f t="shared" ca="1" si="21"/>
        <v/>
      </c>
      <c r="R188" s="1053"/>
      <c r="S188" s="1053" t="str">
        <f t="shared" si="22"/>
        <v/>
      </c>
      <c r="T188" s="1053" t="str">
        <f t="shared" ca="1" si="23"/>
        <v/>
      </c>
      <c r="U188" s="1053" t="str">
        <f t="shared" ca="1" si="24"/>
        <v/>
      </c>
      <c r="V188" s="1053"/>
      <c r="W188" s="1053" t="str">
        <f t="shared" si="25"/>
        <v/>
      </c>
    </row>
    <row r="189" spans="1:23" s="147" customFormat="1" ht="14.4" x14ac:dyDescent="0.3">
      <c r="A189" s="139" t="str">
        <f t="shared" si="18"/>
        <v/>
      </c>
      <c r="B189" s="984">
        <v>181</v>
      </c>
      <c r="C189" s="1035"/>
      <c r="D189" s="1067"/>
      <c r="E189" s="976"/>
      <c r="F189" s="1035"/>
      <c r="G189" s="977"/>
      <c r="H189" s="975"/>
      <c r="I189" s="978"/>
      <c r="J189" s="975" t="str">
        <f t="shared" si="19"/>
        <v/>
      </c>
      <c r="K189" s="979"/>
      <c r="L189" s="979"/>
      <c r="M189" s="980" t="str">
        <f t="shared" si="26"/>
        <v/>
      </c>
      <c r="N189" s="1081"/>
      <c r="O189" s="982" t="str">
        <f t="shared" ca="1" si="20"/>
        <v/>
      </c>
      <c r="P189" s="991" t="str">
        <f t="shared" ca="1" si="21"/>
        <v/>
      </c>
      <c r="R189" s="1053"/>
      <c r="S189" s="1053" t="str">
        <f t="shared" si="22"/>
        <v/>
      </c>
      <c r="T189" s="1053" t="str">
        <f t="shared" ca="1" si="23"/>
        <v/>
      </c>
      <c r="U189" s="1053" t="str">
        <f t="shared" ca="1" si="24"/>
        <v/>
      </c>
      <c r="V189" s="1053"/>
      <c r="W189" s="1053" t="str">
        <f t="shared" si="25"/>
        <v/>
      </c>
    </row>
    <row r="190" spans="1:23" s="147" customFormat="1" ht="14.4" x14ac:dyDescent="0.3">
      <c r="A190" s="139" t="str">
        <f t="shared" si="18"/>
        <v/>
      </c>
      <c r="B190" s="984">
        <v>182</v>
      </c>
      <c r="C190" s="1035"/>
      <c r="D190" s="1067"/>
      <c r="E190" s="976"/>
      <c r="F190" s="1035"/>
      <c r="G190" s="977"/>
      <c r="H190" s="975"/>
      <c r="I190" s="978"/>
      <c r="J190" s="975" t="str">
        <f t="shared" si="19"/>
        <v/>
      </c>
      <c r="K190" s="979"/>
      <c r="L190" s="979"/>
      <c r="M190" s="980" t="str">
        <f t="shared" si="26"/>
        <v/>
      </c>
      <c r="N190" s="1081"/>
      <c r="O190" s="982" t="str">
        <f t="shared" ca="1" si="20"/>
        <v/>
      </c>
      <c r="P190" s="991" t="str">
        <f t="shared" ca="1" si="21"/>
        <v/>
      </c>
      <c r="R190" s="1053"/>
      <c r="S190" s="1053" t="str">
        <f t="shared" si="22"/>
        <v/>
      </c>
      <c r="T190" s="1053" t="str">
        <f t="shared" ca="1" si="23"/>
        <v/>
      </c>
      <c r="U190" s="1053" t="str">
        <f t="shared" ca="1" si="24"/>
        <v/>
      </c>
      <c r="V190" s="1053"/>
      <c r="W190" s="1053" t="str">
        <f t="shared" si="25"/>
        <v/>
      </c>
    </row>
    <row r="191" spans="1:23" s="147" customFormat="1" ht="14.4" x14ac:dyDescent="0.3">
      <c r="A191" s="139" t="str">
        <f t="shared" si="18"/>
        <v/>
      </c>
      <c r="B191" s="984">
        <v>183</v>
      </c>
      <c r="C191" s="1035"/>
      <c r="D191" s="1067"/>
      <c r="E191" s="976"/>
      <c r="F191" s="1035"/>
      <c r="G191" s="977"/>
      <c r="H191" s="975"/>
      <c r="I191" s="978"/>
      <c r="J191" s="975" t="str">
        <f t="shared" si="19"/>
        <v/>
      </c>
      <c r="K191" s="979"/>
      <c r="L191" s="979"/>
      <c r="M191" s="980" t="str">
        <f t="shared" si="26"/>
        <v/>
      </c>
      <c r="N191" s="1081"/>
      <c r="O191" s="982" t="str">
        <f t="shared" ca="1" si="20"/>
        <v/>
      </c>
      <c r="P191" s="991" t="str">
        <f t="shared" ca="1" si="21"/>
        <v/>
      </c>
      <c r="R191" s="1053"/>
      <c r="S191" s="1053" t="str">
        <f t="shared" si="22"/>
        <v/>
      </c>
      <c r="T191" s="1053" t="str">
        <f t="shared" ca="1" si="23"/>
        <v/>
      </c>
      <c r="U191" s="1053" t="str">
        <f t="shared" ca="1" si="24"/>
        <v/>
      </c>
      <c r="V191" s="1053"/>
      <c r="W191" s="1053" t="str">
        <f t="shared" si="25"/>
        <v/>
      </c>
    </row>
    <row r="192" spans="1:23" s="147" customFormat="1" ht="14.4" x14ac:dyDescent="0.3">
      <c r="A192" s="139" t="str">
        <f t="shared" si="18"/>
        <v/>
      </c>
      <c r="B192" s="984">
        <v>184</v>
      </c>
      <c r="C192" s="1035"/>
      <c r="D192" s="1067"/>
      <c r="E192" s="976"/>
      <c r="F192" s="1035"/>
      <c r="G192" s="977"/>
      <c r="H192" s="975"/>
      <c r="I192" s="978"/>
      <c r="J192" s="975" t="str">
        <f t="shared" si="19"/>
        <v/>
      </c>
      <c r="K192" s="979"/>
      <c r="L192" s="979"/>
      <c r="M192" s="980" t="str">
        <f t="shared" si="26"/>
        <v/>
      </c>
      <c r="N192" s="1081"/>
      <c r="O192" s="982" t="str">
        <f t="shared" ca="1" si="20"/>
        <v/>
      </c>
      <c r="P192" s="991" t="str">
        <f t="shared" ca="1" si="21"/>
        <v/>
      </c>
      <c r="R192" s="1053"/>
      <c r="S192" s="1053" t="str">
        <f t="shared" si="22"/>
        <v/>
      </c>
      <c r="T192" s="1053" t="str">
        <f t="shared" ca="1" si="23"/>
        <v/>
      </c>
      <c r="U192" s="1053" t="str">
        <f t="shared" ca="1" si="24"/>
        <v/>
      </c>
      <c r="V192" s="1053"/>
      <c r="W192" s="1053" t="str">
        <f t="shared" si="25"/>
        <v/>
      </c>
    </row>
    <row r="193" spans="1:23" s="147" customFormat="1" ht="14.4" x14ac:dyDescent="0.3">
      <c r="A193" s="139" t="str">
        <f t="shared" si="18"/>
        <v/>
      </c>
      <c r="B193" s="984">
        <v>185</v>
      </c>
      <c r="C193" s="1035"/>
      <c r="D193" s="1067"/>
      <c r="E193" s="976"/>
      <c r="F193" s="1035"/>
      <c r="G193" s="977"/>
      <c r="H193" s="975"/>
      <c r="I193" s="978"/>
      <c r="J193" s="975" t="str">
        <f t="shared" si="19"/>
        <v/>
      </c>
      <c r="K193" s="979"/>
      <c r="L193" s="979"/>
      <c r="M193" s="980" t="str">
        <f t="shared" si="26"/>
        <v/>
      </c>
      <c r="N193" s="1081"/>
      <c r="O193" s="982" t="str">
        <f t="shared" ca="1" si="20"/>
        <v/>
      </c>
      <c r="P193" s="991" t="str">
        <f t="shared" ca="1" si="21"/>
        <v/>
      </c>
      <c r="R193" s="1053"/>
      <c r="S193" s="1053" t="str">
        <f t="shared" si="22"/>
        <v/>
      </c>
      <c r="T193" s="1053" t="str">
        <f t="shared" ca="1" si="23"/>
        <v/>
      </c>
      <c r="U193" s="1053" t="str">
        <f t="shared" ca="1" si="24"/>
        <v/>
      </c>
      <c r="V193" s="1053"/>
      <c r="W193" s="1053" t="str">
        <f t="shared" si="25"/>
        <v/>
      </c>
    </row>
    <row r="194" spans="1:23" s="147" customFormat="1" ht="14.4" x14ac:dyDescent="0.3">
      <c r="A194" s="139" t="str">
        <f t="shared" si="18"/>
        <v/>
      </c>
      <c r="B194" s="984">
        <v>186</v>
      </c>
      <c r="C194" s="1035"/>
      <c r="D194" s="1067"/>
      <c r="E194" s="976"/>
      <c r="F194" s="1035"/>
      <c r="G194" s="977"/>
      <c r="H194" s="975"/>
      <c r="I194" s="978"/>
      <c r="J194" s="975" t="str">
        <f t="shared" si="19"/>
        <v/>
      </c>
      <c r="K194" s="979"/>
      <c r="L194" s="979"/>
      <c r="M194" s="980" t="str">
        <f t="shared" si="26"/>
        <v/>
      </c>
      <c r="N194" s="1081"/>
      <c r="O194" s="982" t="str">
        <f t="shared" ca="1" si="20"/>
        <v/>
      </c>
      <c r="P194" s="991" t="str">
        <f t="shared" ca="1" si="21"/>
        <v/>
      </c>
      <c r="R194" s="1053"/>
      <c r="S194" s="1053" t="str">
        <f t="shared" si="22"/>
        <v/>
      </c>
      <c r="T194" s="1053" t="str">
        <f t="shared" ca="1" si="23"/>
        <v/>
      </c>
      <c r="U194" s="1053" t="str">
        <f t="shared" ca="1" si="24"/>
        <v/>
      </c>
      <c r="V194" s="1053"/>
      <c r="W194" s="1053" t="str">
        <f t="shared" si="25"/>
        <v/>
      </c>
    </row>
    <row r="195" spans="1:23" s="147" customFormat="1" ht="14.4" x14ac:dyDescent="0.3">
      <c r="A195" s="139" t="str">
        <f t="shared" si="18"/>
        <v/>
      </c>
      <c r="B195" s="984">
        <v>187</v>
      </c>
      <c r="C195" s="1035"/>
      <c r="D195" s="1067"/>
      <c r="E195" s="976"/>
      <c r="F195" s="1035"/>
      <c r="G195" s="977"/>
      <c r="H195" s="975"/>
      <c r="I195" s="978"/>
      <c r="J195" s="975" t="str">
        <f t="shared" si="19"/>
        <v/>
      </c>
      <c r="K195" s="979"/>
      <c r="L195" s="979"/>
      <c r="M195" s="980" t="str">
        <f t="shared" si="26"/>
        <v/>
      </c>
      <c r="N195" s="1081"/>
      <c r="O195" s="982" t="str">
        <f t="shared" ca="1" si="20"/>
        <v/>
      </c>
      <c r="P195" s="991" t="str">
        <f t="shared" ca="1" si="21"/>
        <v/>
      </c>
      <c r="R195" s="1053"/>
      <c r="S195" s="1053" t="str">
        <f t="shared" si="22"/>
        <v/>
      </c>
      <c r="T195" s="1053" t="str">
        <f t="shared" ca="1" si="23"/>
        <v/>
      </c>
      <c r="U195" s="1053" t="str">
        <f t="shared" ca="1" si="24"/>
        <v/>
      </c>
      <c r="V195" s="1053"/>
      <c r="W195" s="1053" t="str">
        <f t="shared" si="25"/>
        <v/>
      </c>
    </row>
    <row r="196" spans="1:23" s="147" customFormat="1" ht="14.4" x14ac:dyDescent="0.3">
      <c r="A196" s="139" t="str">
        <f t="shared" si="18"/>
        <v/>
      </c>
      <c r="B196" s="984">
        <v>188</v>
      </c>
      <c r="C196" s="1035"/>
      <c r="D196" s="1067"/>
      <c r="E196" s="976"/>
      <c r="F196" s="1035"/>
      <c r="G196" s="977"/>
      <c r="H196" s="975"/>
      <c r="I196" s="978"/>
      <c r="J196" s="975" t="str">
        <f t="shared" si="19"/>
        <v/>
      </c>
      <c r="K196" s="979"/>
      <c r="L196" s="979"/>
      <c r="M196" s="980" t="str">
        <f t="shared" si="26"/>
        <v/>
      </c>
      <c r="N196" s="1081"/>
      <c r="O196" s="982" t="str">
        <f t="shared" ca="1" si="20"/>
        <v/>
      </c>
      <c r="P196" s="991" t="str">
        <f t="shared" ca="1" si="21"/>
        <v/>
      </c>
      <c r="R196" s="1053"/>
      <c r="S196" s="1053" t="str">
        <f t="shared" si="22"/>
        <v/>
      </c>
      <c r="T196" s="1053" t="str">
        <f t="shared" ca="1" si="23"/>
        <v/>
      </c>
      <c r="U196" s="1053" t="str">
        <f t="shared" ca="1" si="24"/>
        <v/>
      </c>
      <c r="V196" s="1053"/>
      <c r="W196" s="1053" t="str">
        <f t="shared" si="25"/>
        <v/>
      </c>
    </row>
    <row r="197" spans="1:23" s="147" customFormat="1" ht="14.4" x14ac:dyDescent="0.3">
      <c r="A197" s="139" t="str">
        <f t="shared" si="18"/>
        <v/>
      </c>
      <c r="B197" s="984">
        <v>189</v>
      </c>
      <c r="C197" s="1035"/>
      <c r="D197" s="1067"/>
      <c r="E197" s="976"/>
      <c r="F197" s="1035"/>
      <c r="G197" s="977"/>
      <c r="H197" s="975"/>
      <c r="I197" s="978"/>
      <c r="J197" s="975" t="str">
        <f t="shared" si="19"/>
        <v/>
      </c>
      <c r="K197" s="979"/>
      <c r="L197" s="979"/>
      <c r="M197" s="980" t="str">
        <f t="shared" si="26"/>
        <v/>
      </c>
      <c r="N197" s="1081"/>
      <c r="O197" s="982" t="str">
        <f t="shared" ca="1" si="20"/>
        <v/>
      </c>
      <c r="P197" s="991" t="str">
        <f t="shared" ca="1" si="21"/>
        <v/>
      </c>
      <c r="R197" s="1053"/>
      <c r="S197" s="1053" t="str">
        <f t="shared" si="22"/>
        <v/>
      </c>
      <c r="T197" s="1053" t="str">
        <f t="shared" ca="1" si="23"/>
        <v/>
      </c>
      <c r="U197" s="1053" t="str">
        <f t="shared" ca="1" si="24"/>
        <v/>
      </c>
      <c r="V197" s="1053"/>
      <c r="W197" s="1053" t="str">
        <f t="shared" si="25"/>
        <v/>
      </c>
    </row>
    <row r="198" spans="1:23" s="147" customFormat="1" ht="14.4" x14ac:dyDescent="0.3">
      <c r="A198" s="139" t="str">
        <f t="shared" si="18"/>
        <v/>
      </c>
      <c r="B198" s="984">
        <v>190</v>
      </c>
      <c r="C198" s="1035"/>
      <c r="D198" s="1067"/>
      <c r="E198" s="976"/>
      <c r="F198" s="1035"/>
      <c r="G198" s="977"/>
      <c r="H198" s="975"/>
      <c r="I198" s="978"/>
      <c r="J198" s="975" t="str">
        <f t="shared" si="19"/>
        <v/>
      </c>
      <c r="K198" s="979"/>
      <c r="L198" s="979"/>
      <c r="M198" s="980" t="str">
        <f t="shared" si="26"/>
        <v/>
      </c>
      <c r="N198" s="1081"/>
      <c r="O198" s="982" t="str">
        <f t="shared" ca="1" si="20"/>
        <v/>
      </c>
      <c r="P198" s="991" t="str">
        <f t="shared" ca="1" si="21"/>
        <v/>
      </c>
      <c r="R198" s="1053"/>
      <c r="S198" s="1053" t="str">
        <f t="shared" si="22"/>
        <v/>
      </c>
      <c r="T198" s="1053" t="str">
        <f t="shared" ca="1" si="23"/>
        <v/>
      </c>
      <c r="U198" s="1053" t="str">
        <f t="shared" ca="1" si="24"/>
        <v/>
      </c>
      <c r="V198" s="1053"/>
      <c r="W198" s="1053" t="str">
        <f t="shared" si="25"/>
        <v/>
      </c>
    </row>
    <row r="199" spans="1:23" s="147" customFormat="1" ht="14.4" x14ac:dyDescent="0.3">
      <c r="A199" s="139" t="str">
        <f t="shared" si="18"/>
        <v/>
      </c>
      <c r="B199" s="984">
        <v>191</v>
      </c>
      <c r="C199" s="1035"/>
      <c r="D199" s="1067"/>
      <c r="E199" s="976"/>
      <c r="F199" s="1035"/>
      <c r="G199" s="977"/>
      <c r="H199" s="975"/>
      <c r="I199" s="978"/>
      <c r="J199" s="975" t="str">
        <f t="shared" si="19"/>
        <v/>
      </c>
      <c r="K199" s="979"/>
      <c r="L199" s="979"/>
      <c r="M199" s="980" t="str">
        <f t="shared" si="26"/>
        <v/>
      </c>
      <c r="N199" s="1081"/>
      <c r="O199" s="982" t="str">
        <f t="shared" ca="1" si="20"/>
        <v/>
      </c>
      <c r="P199" s="991" t="str">
        <f t="shared" ca="1" si="21"/>
        <v/>
      </c>
      <c r="R199" s="1053"/>
      <c r="S199" s="1053" t="str">
        <f t="shared" si="22"/>
        <v/>
      </c>
      <c r="T199" s="1053" t="str">
        <f t="shared" ca="1" si="23"/>
        <v/>
      </c>
      <c r="U199" s="1053" t="str">
        <f t="shared" ca="1" si="24"/>
        <v/>
      </c>
      <c r="V199" s="1053"/>
      <c r="W199" s="1053" t="str">
        <f t="shared" si="25"/>
        <v/>
      </c>
    </row>
    <row r="200" spans="1:23" s="147" customFormat="1" ht="14.4" x14ac:dyDescent="0.3">
      <c r="A200" s="139" t="str">
        <f t="shared" si="18"/>
        <v/>
      </c>
      <c r="B200" s="984">
        <v>192</v>
      </c>
      <c r="C200" s="1035"/>
      <c r="D200" s="1067"/>
      <c r="E200" s="976"/>
      <c r="F200" s="1035"/>
      <c r="G200" s="977"/>
      <c r="H200" s="975"/>
      <c r="I200" s="978"/>
      <c r="J200" s="975" t="str">
        <f t="shared" si="19"/>
        <v/>
      </c>
      <c r="K200" s="979"/>
      <c r="L200" s="979"/>
      <c r="M200" s="980" t="str">
        <f t="shared" si="26"/>
        <v/>
      </c>
      <c r="N200" s="1081"/>
      <c r="O200" s="982" t="str">
        <f t="shared" ca="1" si="20"/>
        <v/>
      </c>
      <c r="P200" s="991" t="str">
        <f t="shared" ca="1" si="21"/>
        <v/>
      </c>
      <c r="R200" s="1053"/>
      <c r="S200" s="1053" t="str">
        <f t="shared" si="22"/>
        <v/>
      </c>
      <c r="T200" s="1053" t="str">
        <f t="shared" ca="1" si="23"/>
        <v/>
      </c>
      <c r="U200" s="1053" t="str">
        <f t="shared" ca="1" si="24"/>
        <v/>
      </c>
      <c r="V200" s="1053"/>
      <c r="W200" s="1053" t="str">
        <f t="shared" si="25"/>
        <v/>
      </c>
    </row>
    <row r="201" spans="1:23" s="147" customFormat="1" ht="14.4" x14ac:dyDescent="0.3">
      <c r="A201" s="139" t="str">
        <f t="shared" ref="A201:A221" si="27">IF(M201=1,N201,"")</f>
        <v/>
      </c>
      <c r="B201" s="984">
        <v>193</v>
      </c>
      <c r="C201" s="1035"/>
      <c r="D201" s="1067"/>
      <c r="E201" s="976"/>
      <c r="F201" s="1035"/>
      <c r="G201" s="977"/>
      <c r="H201" s="975"/>
      <c r="I201" s="978"/>
      <c r="J201" s="975" t="str">
        <f t="shared" ref="J201:J222" si="28">IF(I201&lt;&gt;"",H201-1+INT(I201),"")</f>
        <v/>
      </c>
      <c r="K201" s="979"/>
      <c r="L201" s="979"/>
      <c r="M201" s="980" t="str">
        <f t="shared" si="26"/>
        <v/>
      </c>
      <c r="N201" s="1081"/>
      <c r="O201" s="982" t="str">
        <f t="shared" ref="O201:O223" ca="1" si="29">IF(J201&lt;&gt;"",
IF(J201&gt;TODAY(),
IF((TODAY()-H201)/(J201-H201)&gt;0,(TODAY()-H201)/(J201-H201),0),100%),"")</f>
        <v/>
      </c>
      <c r="P201" s="991" t="str">
        <f t="shared" ref="P201:P223" ca="1" si="30">IF(T201&gt;0,U201,"0/"&amp;S201)</f>
        <v/>
      </c>
      <c r="R201" s="1053"/>
      <c r="S201" s="1053" t="str">
        <f t="shared" si="22"/>
        <v/>
      </c>
      <c r="T201" s="1053" t="str">
        <f t="shared" ca="1" si="23"/>
        <v/>
      </c>
      <c r="U201" s="1053" t="str">
        <f t="shared" ca="1" si="24"/>
        <v/>
      </c>
      <c r="V201" s="1053"/>
      <c r="W201" s="1053" t="str">
        <f t="shared" si="25"/>
        <v/>
      </c>
    </row>
    <row r="202" spans="1:23" s="147" customFormat="1" ht="14.4" x14ac:dyDescent="0.3">
      <c r="A202" s="139" t="str">
        <f t="shared" si="27"/>
        <v/>
      </c>
      <c r="B202" s="984">
        <v>194</v>
      </c>
      <c r="C202" s="1035"/>
      <c r="D202" s="1067"/>
      <c r="E202" s="976"/>
      <c r="F202" s="1035"/>
      <c r="G202" s="977"/>
      <c r="H202" s="975"/>
      <c r="I202" s="978"/>
      <c r="J202" s="975" t="str">
        <f t="shared" si="28"/>
        <v/>
      </c>
      <c r="K202" s="979"/>
      <c r="L202" s="979"/>
      <c r="M202" s="980" t="str">
        <f t="shared" si="26"/>
        <v/>
      </c>
      <c r="N202" s="1081"/>
      <c r="O202" s="982" t="str">
        <f t="shared" ca="1" si="29"/>
        <v/>
      </c>
      <c r="P202" s="991" t="str">
        <f t="shared" ca="1" si="30"/>
        <v/>
      </c>
      <c r="R202" s="1053"/>
      <c r="S202" s="1053" t="str">
        <f t="shared" ref="S202:S223" si="31">IF(J202&lt;&gt;"",J202-H202+1,"")</f>
        <v/>
      </c>
      <c r="T202" s="1053" t="str">
        <f t="shared" ref="T202:T223" ca="1" si="32">IF(H202&lt;&gt;"",(TODAY()-H202),"")</f>
        <v/>
      </c>
      <c r="U202" s="1053" t="str">
        <f t="shared" ref="U202:U223" ca="1" si="33">IF(T202&lt;&gt;"",T202&amp;"/"&amp;S202,"")</f>
        <v/>
      </c>
      <c r="V202" s="1053"/>
      <c r="W202" s="1053" t="str">
        <f t="shared" ref="W202:W223" si="34">IF(E202&lt;&gt;"",B202&amp;" "&amp;E202,"")</f>
        <v/>
      </c>
    </row>
    <row r="203" spans="1:23" s="147" customFormat="1" ht="14.4" x14ac:dyDescent="0.3">
      <c r="A203" s="139" t="str">
        <f t="shared" si="27"/>
        <v/>
      </c>
      <c r="B203" s="984">
        <v>195</v>
      </c>
      <c r="C203" s="1035"/>
      <c r="D203" s="1067"/>
      <c r="E203" s="976"/>
      <c r="F203" s="1035"/>
      <c r="G203" s="977"/>
      <c r="H203" s="975"/>
      <c r="I203" s="978"/>
      <c r="J203" s="975" t="str">
        <f t="shared" si="28"/>
        <v/>
      </c>
      <c r="K203" s="979"/>
      <c r="L203" s="979"/>
      <c r="M203" s="980" t="str">
        <f t="shared" si="26"/>
        <v/>
      </c>
      <c r="N203" s="1081"/>
      <c r="O203" s="982" t="str">
        <f t="shared" ca="1" si="29"/>
        <v/>
      </c>
      <c r="P203" s="991" t="str">
        <f t="shared" ca="1" si="30"/>
        <v/>
      </c>
      <c r="R203" s="1053"/>
      <c r="S203" s="1053" t="str">
        <f t="shared" si="31"/>
        <v/>
      </c>
      <c r="T203" s="1053" t="str">
        <f t="shared" ca="1" si="32"/>
        <v/>
      </c>
      <c r="U203" s="1053" t="str">
        <f t="shared" ca="1" si="33"/>
        <v/>
      </c>
      <c r="V203" s="1053"/>
      <c r="W203" s="1053" t="str">
        <f t="shared" si="34"/>
        <v/>
      </c>
    </row>
    <row r="204" spans="1:23" s="147" customFormat="1" ht="14.4" x14ac:dyDescent="0.3">
      <c r="A204" s="139" t="str">
        <f t="shared" si="27"/>
        <v/>
      </c>
      <c r="B204" s="984">
        <v>196</v>
      </c>
      <c r="C204" s="1035"/>
      <c r="D204" s="1067"/>
      <c r="E204" s="976"/>
      <c r="F204" s="1035"/>
      <c r="G204" s="977"/>
      <c r="H204" s="975"/>
      <c r="I204" s="978"/>
      <c r="J204" s="975" t="str">
        <f t="shared" si="28"/>
        <v/>
      </c>
      <c r="K204" s="979"/>
      <c r="L204" s="979"/>
      <c r="M204" s="980" t="str">
        <f t="shared" ref="M204:M222" si="35">IF(N204&lt;&gt;0,3,"")</f>
        <v/>
      </c>
      <c r="N204" s="1081"/>
      <c r="O204" s="982" t="str">
        <f t="shared" ca="1" si="29"/>
        <v/>
      </c>
      <c r="P204" s="991" t="str">
        <f t="shared" ca="1" si="30"/>
        <v/>
      </c>
      <c r="R204" s="1053"/>
      <c r="S204" s="1053" t="str">
        <f t="shared" si="31"/>
        <v/>
      </c>
      <c r="T204" s="1053" t="str">
        <f t="shared" ca="1" si="32"/>
        <v/>
      </c>
      <c r="U204" s="1053" t="str">
        <f t="shared" ca="1" si="33"/>
        <v/>
      </c>
      <c r="V204" s="1053"/>
      <c r="W204" s="1053" t="str">
        <f t="shared" si="34"/>
        <v/>
      </c>
    </row>
    <row r="205" spans="1:23" s="147" customFormat="1" ht="14.4" x14ac:dyDescent="0.3">
      <c r="A205" s="139" t="str">
        <f t="shared" si="27"/>
        <v/>
      </c>
      <c r="B205" s="984">
        <v>197</v>
      </c>
      <c r="C205" s="1035"/>
      <c r="D205" s="1067"/>
      <c r="E205" s="976"/>
      <c r="F205" s="1035"/>
      <c r="G205" s="977"/>
      <c r="H205" s="975"/>
      <c r="I205" s="978"/>
      <c r="J205" s="975" t="str">
        <f t="shared" si="28"/>
        <v/>
      </c>
      <c r="K205" s="979"/>
      <c r="L205" s="979"/>
      <c r="M205" s="980" t="str">
        <f t="shared" si="35"/>
        <v/>
      </c>
      <c r="N205" s="1081"/>
      <c r="O205" s="982" t="str">
        <f t="shared" ca="1" si="29"/>
        <v/>
      </c>
      <c r="P205" s="991" t="str">
        <f t="shared" ca="1" si="30"/>
        <v/>
      </c>
      <c r="R205" s="1053"/>
      <c r="S205" s="1053" t="str">
        <f t="shared" si="31"/>
        <v/>
      </c>
      <c r="T205" s="1053" t="str">
        <f t="shared" ca="1" si="32"/>
        <v/>
      </c>
      <c r="U205" s="1053" t="str">
        <f t="shared" ca="1" si="33"/>
        <v/>
      </c>
      <c r="V205" s="1053"/>
      <c r="W205" s="1053" t="str">
        <f t="shared" si="34"/>
        <v/>
      </c>
    </row>
    <row r="206" spans="1:23" s="147" customFormat="1" ht="14.4" x14ac:dyDescent="0.3">
      <c r="A206" s="139" t="str">
        <f t="shared" si="27"/>
        <v/>
      </c>
      <c r="B206" s="984">
        <v>198</v>
      </c>
      <c r="C206" s="1035"/>
      <c r="D206" s="1067"/>
      <c r="E206" s="976"/>
      <c r="F206" s="1035"/>
      <c r="G206" s="977"/>
      <c r="H206" s="975"/>
      <c r="I206" s="978"/>
      <c r="J206" s="975" t="str">
        <f t="shared" si="28"/>
        <v/>
      </c>
      <c r="K206" s="979"/>
      <c r="L206" s="979"/>
      <c r="M206" s="980" t="str">
        <f t="shared" si="35"/>
        <v/>
      </c>
      <c r="N206" s="1081"/>
      <c r="O206" s="982" t="str">
        <f t="shared" ca="1" si="29"/>
        <v/>
      </c>
      <c r="P206" s="991" t="str">
        <f t="shared" ca="1" si="30"/>
        <v/>
      </c>
      <c r="R206" s="1053"/>
      <c r="S206" s="1053" t="str">
        <f t="shared" si="31"/>
        <v/>
      </c>
      <c r="T206" s="1053" t="str">
        <f t="shared" ca="1" si="32"/>
        <v/>
      </c>
      <c r="U206" s="1053" t="str">
        <f t="shared" ca="1" si="33"/>
        <v/>
      </c>
      <c r="V206" s="1053"/>
      <c r="W206" s="1053" t="str">
        <f t="shared" si="34"/>
        <v/>
      </c>
    </row>
    <row r="207" spans="1:23" s="147" customFormat="1" ht="14.4" x14ac:dyDescent="0.3">
      <c r="A207" s="139" t="str">
        <f t="shared" si="27"/>
        <v/>
      </c>
      <c r="B207" s="984">
        <v>199</v>
      </c>
      <c r="C207" s="1035"/>
      <c r="D207" s="1067"/>
      <c r="E207" s="976"/>
      <c r="F207" s="1035"/>
      <c r="G207" s="977"/>
      <c r="H207" s="975"/>
      <c r="I207" s="978"/>
      <c r="J207" s="975" t="str">
        <f t="shared" si="28"/>
        <v/>
      </c>
      <c r="K207" s="979"/>
      <c r="L207" s="979"/>
      <c r="M207" s="980" t="str">
        <f t="shared" si="35"/>
        <v/>
      </c>
      <c r="N207" s="1081"/>
      <c r="O207" s="982" t="str">
        <f t="shared" ca="1" si="29"/>
        <v/>
      </c>
      <c r="P207" s="991" t="str">
        <f t="shared" ca="1" si="30"/>
        <v/>
      </c>
      <c r="R207" s="1053"/>
      <c r="S207" s="1053" t="str">
        <f t="shared" si="31"/>
        <v/>
      </c>
      <c r="T207" s="1053" t="str">
        <f t="shared" ca="1" si="32"/>
        <v/>
      </c>
      <c r="U207" s="1053" t="str">
        <f t="shared" ca="1" si="33"/>
        <v/>
      </c>
      <c r="V207" s="1053"/>
      <c r="W207" s="1053" t="str">
        <f t="shared" si="34"/>
        <v/>
      </c>
    </row>
    <row r="208" spans="1:23" s="147" customFormat="1" ht="14.4" x14ac:dyDescent="0.3">
      <c r="A208" s="139" t="str">
        <f t="shared" si="27"/>
        <v/>
      </c>
      <c r="B208" s="984">
        <v>200</v>
      </c>
      <c r="C208" s="1035"/>
      <c r="D208" s="1067"/>
      <c r="E208" s="976"/>
      <c r="F208" s="1035"/>
      <c r="G208" s="977"/>
      <c r="H208" s="975"/>
      <c r="I208" s="978"/>
      <c r="J208" s="975" t="str">
        <f t="shared" si="28"/>
        <v/>
      </c>
      <c r="K208" s="979"/>
      <c r="L208" s="979"/>
      <c r="M208" s="980" t="str">
        <f t="shared" si="35"/>
        <v/>
      </c>
      <c r="N208" s="1081"/>
      <c r="O208" s="982" t="str">
        <f t="shared" ca="1" si="29"/>
        <v/>
      </c>
      <c r="P208" s="991" t="str">
        <f t="shared" ca="1" si="30"/>
        <v/>
      </c>
      <c r="R208" s="1053"/>
      <c r="S208" s="1053" t="str">
        <f t="shared" si="31"/>
        <v/>
      </c>
      <c r="T208" s="1053" t="str">
        <f t="shared" ca="1" si="32"/>
        <v/>
      </c>
      <c r="U208" s="1053" t="str">
        <f t="shared" ca="1" si="33"/>
        <v/>
      </c>
      <c r="V208" s="1053"/>
      <c r="W208" s="1053" t="str">
        <f t="shared" si="34"/>
        <v/>
      </c>
    </row>
    <row r="209" spans="1:23" s="147" customFormat="1" ht="14.4" x14ac:dyDescent="0.3">
      <c r="A209" s="139" t="str">
        <f t="shared" si="27"/>
        <v/>
      </c>
      <c r="B209" s="984">
        <v>201</v>
      </c>
      <c r="C209" s="1035"/>
      <c r="D209" s="1067"/>
      <c r="E209" s="976"/>
      <c r="F209" s="1035"/>
      <c r="G209" s="977"/>
      <c r="H209" s="975"/>
      <c r="I209" s="978"/>
      <c r="J209" s="975" t="str">
        <f t="shared" si="28"/>
        <v/>
      </c>
      <c r="K209" s="979"/>
      <c r="L209" s="979"/>
      <c r="M209" s="980" t="str">
        <f t="shared" si="35"/>
        <v/>
      </c>
      <c r="N209" s="1081"/>
      <c r="O209" s="982" t="str">
        <f t="shared" ca="1" si="29"/>
        <v/>
      </c>
      <c r="P209" s="991" t="str">
        <f t="shared" ca="1" si="30"/>
        <v/>
      </c>
      <c r="R209" s="1053"/>
      <c r="S209" s="1053" t="str">
        <f t="shared" si="31"/>
        <v/>
      </c>
      <c r="T209" s="1053" t="str">
        <f t="shared" ca="1" si="32"/>
        <v/>
      </c>
      <c r="U209" s="1053" t="str">
        <f t="shared" ca="1" si="33"/>
        <v/>
      </c>
      <c r="V209" s="1053"/>
      <c r="W209" s="1053" t="str">
        <f t="shared" si="34"/>
        <v/>
      </c>
    </row>
    <row r="210" spans="1:23" s="147" customFormat="1" ht="14.4" x14ac:dyDescent="0.3">
      <c r="A210" s="139" t="str">
        <f t="shared" si="27"/>
        <v/>
      </c>
      <c r="B210" s="984">
        <v>202</v>
      </c>
      <c r="C210" s="1035"/>
      <c r="D210" s="1067"/>
      <c r="E210" s="976"/>
      <c r="F210" s="1035"/>
      <c r="G210" s="977"/>
      <c r="H210" s="975"/>
      <c r="I210" s="978"/>
      <c r="J210" s="975" t="str">
        <f t="shared" si="28"/>
        <v/>
      </c>
      <c r="K210" s="979"/>
      <c r="L210" s="979"/>
      <c r="M210" s="980" t="str">
        <f t="shared" si="35"/>
        <v/>
      </c>
      <c r="N210" s="1081"/>
      <c r="O210" s="982" t="str">
        <f t="shared" ca="1" si="29"/>
        <v/>
      </c>
      <c r="P210" s="991" t="str">
        <f t="shared" ca="1" si="30"/>
        <v/>
      </c>
      <c r="R210" s="1053"/>
      <c r="S210" s="1053" t="str">
        <f t="shared" si="31"/>
        <v/>
      </c>
      <c r="T210" s="1053" t="str">
        <f t="shared" ca="1" si="32"/>
        <v/>
      </c>
      <c r="U210" s="1053" t="str">
        <f t="shared" ca="1" si="33"/>
        <v/>
      </c>
      <c r="V210" s="1053"/>
      <c r="W210" s="1053" t="str">
        <f t="shared" si="34"/>
        <v/>
      </c>
    </row>
    <row r="211" spans="1:23" s="147" customFormat="1" ht="14.4" x14ac:dyDescent="0.3">
      <c r="A211" s="139" t="str">
        <f t="shared" si="27"/>
        <v/>
      </c>
      <c r="B211" s="984">
        <v>203</v>
      </c>
      <c r="C211" s="1035"/>
      <c r="D211" s="1067"/>
      <c r="E211" s="976"/>
      <c r="F211" s="1035"/>
      <c r="G211" s="977"/>
      <c r="H211" s="975"/>
      <c r="I211" s="978"/>
      <c r="J211" s="975" t="str">
        <f t="shared" si="28"/>
        <v/>
      </c>
      <c r="K211" s="979"/>
      <c r="L211" s="979"/>
      <c r="M211" s="980" t="str">
        <f t="shared" si="35"/>
        <v/>
      </c>
      <c r="N211" s="1081"/>
      <c r="O211" s="982" t="str">
        <f t="shared" ca="1" si="29"/>
        <v/>
      </c>
      <c r="P211" s="991" t="str">
        <f t="shared" ca="1" si="30"/>
        <v/>
      </c>
      <c r="R211" s="1053"/>
      <c r="S211" s="1053" t="str">
        <f t="shared" si="31"/>
        <v/>
      </c>
      <c r="T211" s="1053" t="str">
        <f t="shared" ca="1" si="32"/>
        <v/>
      </c>
      <c r="U211" s="1053" t="str">
        <f t="shared" ca="1" si="33"/>
        <v/>
      </c>
      <c r="V211" s="1053"/>
      <c r="W211" s="1053" t="str">
        <f t="shared" si="34"/>
        <v/>
      </c>
    </row>
    <row r="212" spans="1:23" s="147" customFormat="1" ht="14.4" x14ac:dyDescent="0.3">
      <c r="A212" s="139" t="str">
        <f t="shared" si="27"/>
        <v/>
      </c>
      <c r="B212" s="984">
        <v>204</v>
      </c>
      <c r="C212" s="1035"/>
      <c r="D212" s="1067"/>
      <c r="E212" s="976"/>
      <c r="F212" s="1035"/>
      <c r="G212" s="977"/>
      <c r="H212" s="975"/>
      <c r="I212" s="978"/>
      <c r="J212" s="975" t="str">
        <f t="shared" si="28"/>
        <v/>
      </c>
      <c r="K212" s="979"/>
      <c r="L212" s="979"/>
      <c r="M212" s="980" t="str">
        <f t="shared" si="35"/>
        <v/>
      </c>
      <c r="N212" s="1081"/>
      <c r="O212" s="982" t="str">
        <f t="shared" ca="1" si="29"/>
        <v/>
      </c>
      <c r="P212" s="991" t="str">
        <f t="shared" ca="1" si="30"/>
        <v/>
      </c>
      <c r="R212" s="1053"/>
      <c r="S212" s="1053" t="str">
        <f t="shared" si="31"/>
        <v/>
      </c>
      <c r="T212" s="1053" t="str">
        <f t="shared" ca="1" si="32"/>
        <v/>
      </c>
      <c r="U212" s="1053" t="str">
        <f t="shared" ca="1" si="33"/>
        <v/>
      </c>
      <c r="V212" s="1053"/>
      <c r="W212" s="1053" t="str">
        <f t="shared" si="34"/>
        <v/>
      </c>
    </row>
    <row r="213" spans="1:23" s="147" customFormat="1" ht="14.4" x14ac:dyDescent="0.3">
      <c r="A213" s="139" t="str">
        <f t="shared" si="27"/>
        <v/>
      </c>
      <c r="B213" s="984">
        <v>205</v>
      </c>
      <c r="C213" s="1035"/>
      <c r="D213" s="1067"/>
      <c r="E213" s="976"/>
      <c r="F213" s="1035"/>
      <c r="G213" s="977"/>
      <c r="H213" s="975"/>
      <c r="I213" s="978"/>
      <c r="J213" s="975" t="str">
        <f t="shared" si="28"/>
        <v/>
      </c>
      <c r="K213" s="979"/>
      <c r="L213" s="979"/>
      <c r="M213" s="980" t="str">
        <f t="shared" si="35"/>
        <v/>
      </c>
      <c r="N213" s="1081"/>
      <c r="O213" s="982" t="str">
        <f t="shared" ca="1" si="29"/>
        <v/>
      </c>
      <c r="P213" s="991" t="str">
        <f t="shared" ca="1" si="30"/>
        <v/>
      </c>
      <c r="R213" s="1053"/>
      <c r="S213" s="1053" t="str">
        <f t="shared" si="31"/>
        <v/>
      </c>
      <c r="T213" s="1053" t="str">
        <f t="shared" ca="1" si="32"/>
        <v/>
      </c>
      <c r="U213" s="1053" t="str">
        <f t="shared" ca="1" si="33"/>
        <v/>
      </c>
      <c r="V213" s="1053"/>
      <c r="W213" s="1053" t="str">
        <f t="shared" si="34"/>
        <v/>
      </c>
    </row>
    <row r="214" spans="1:23" s="147" customFormat="1" ht="14.4" x14ac:dyDescent="0.3">
      <c r="A214" s="139" t="str">
        <f t="shared" si="27"/>
        <v/>
      </c>
      <c r="B214" s="984">
        <v>206</v>
      </c>
      <c r="C214" s="1035"/>
      <c r="D214" s="1067"/>
      <c r="E214" s="976"/>
      <c r="F214" s="1035"/>
      <c r="G214" s="977"/>
      <c r="H214" s="975"/>
      <c r="I214" s="978"/>
      <c r="J214" s="975" t="str">
        <f t="shared" si="28"/>
        <v/>
      </c>
      <c r="K214" s="979"/>
      <c r="L214" s="979"/>
      <c r="M214" s="980" t="str">
        <f t="shared" si="35"/>
        <v/>
      </c>
      <c r="N214" s="1081"/>
      <c r="O214" s="982" t="str">
        <f t="shared" ca="1" si="29"/>
        <v/>
      </c>
      <c r="P214" s="991" t="str">
        <f t="shared" ca="1" si="30"/>
        <v/>
      </c>
      <c r="R214" s="1053"/>
      <c r="S214" s="1053" t="str">
        <f t="shared" si="31"/>
        <v/>
      </c>
      <c r="T214" s="1053" t="str">
        <f t="shared" ca="1" si="32"/>
        <v/>
      </c>
      <c r="U214" s="1053" t="str">
        <f t="shared" ca="1" si="33"/>
        <v/>
      </c>
      <c r="V214" s="1053"/>
      <c r="W214" s="1053" t="str">
        <f t="shared" si="34"/>
        <v/>
      </c>
    </row>
    <row r="215" spans="1:23" s="147" customFormat="1" ht="14.4" x14ac:dyDescent="0.3">
      <c r="A215" s="139" t="str">
        <f t="shared" si="27"/>
        <v/>
      </c>
      <c r="B215" s="984">
        <v>207</v>
      </c>
      <c r="C215" s="1035"/>
      <c r="D215" s="1067"/>
      <c r="E215" s="976"/>
      <c r="F215" s="1035"/>
      <c r="G215" s="977"/>
      <c r="H215" s="975"/>
      <c r="I215" s="978"/>
      <c r="J215" s="975" t="str">
        <f t="shared" si="28"/>
        <v/>
      </c>
      <c r="K215" s="979"/>
      <c r="L215" s="979"/>
      <c r="M215" s="980" t="str">
        <f t="shared" si="35"/>
        <v/>
      </c>
      <c r="N215" s="1081"/>
      <c r="O215" s="982" t="str">
        <f t="shared" ca="1" si="29"/>
        <v/>
      </c>
      <c r="P215" s="991" t="str">
        <f t="shared" ca="1" si="30"/>
        <v/>
      </c>
      <c r="R215" s="1053"/>
      <c r="S215" s="1053" t="str">
        <f t="shared" si="31"/>
        <v/>
      </c>
      <c r="T215" s="1053" t="str">
        <f t="shared" ca="1" si="32"/>
        <v/>
      </c>
      <c r="U215" s="1053" t="str">
        <f t="shared" ca="1" si="33"/>
        <v/>
      </c>
      <c r="V215" s="1053"/>
      <c r="W215" s="1053" t="str">
        <f t="shared" si="34"/>
        <v/>
      </c>
    </row>
    <row r="216" spans="1:23" s="147" customFormat="1" ht="14.4" x14ac:dyDescent="0.3">
      <c r="A216" s="139" t="str">
        <f t="shared" si="27"/>
        <v/>
      </c>
      <c r="B216" s="984">
        <v>208</v>
      </c>
      <c r="C216" s="1035"/>
      <c r="D216" s="1067"/>
      <c r="E216" s="976"/>
      <c r="F216" s="1035"/>
      <c r="G216" s="977"/>
      <c r="H216" s="975"/>
      <c r="I216" s="978"/>
      <c r="J216" s="975" t="str">
        <f t="shared" si="28"/>
        <v/>
      </c>
      <c r="K216" s="979"/>
      <c r="L216" s="979"/>
      <c r="M216" s="980" t="str">
        <f t="shared" si="35"/>
        <v/>
      </c>
      <c r="N216" s="1081"/>
      <c r="O216" s="982" t="str">
        <f t="shared" ca="1" si="29"/>
        <v/>
      </c>
      <c r="P216" s="991" t="str">
        <f t="shared" ca="1" si="30"/>
        <v/>
      </c>
      <c r="R216" s="1053"/>
      <c r="S216" s="1053" t="str">
        <f t="shared" si="31"/>
        <v/>
      </c>
      <c r="T216" s="1053" t="str">
        <f t="shared" ca="1" si="32"/>
        <v/>
      </c>
      <c r="U216" s="1053" t="str">
        <f t="shared" ca="1" si="33"/>
        <v/>
      </c>
      <c r="V216" s="1053"/>
      <c r="W216" s="1053" t="str">
        <f t="shared" si="34"/>
        <v/>
      </c>
    </row>
    <row r="217" spans="1:23" s="147" customFormat="1" ht="14.4" x14ac:dyDescent="0.3">
      <c r="A217" s="139" t="str">
        <f t="shared" si="27"/>
        <v/>
      </c>
      <c r="B217" s="984">
        <v>209</v>
      </c>
      <c r="C217" s="1035"/>
      <c r="D217" s="1067"/>
      <c r="E217" s="976"/>
      <c r="F217" s="1035"/>
      <c r="G217" s="977"/>
      <c r="H217" s="975"/>
      <c r="I217" s="978"/>
      <c r="J217" s="975" t="str">
        <f t="shared" si="28"/>
        <v/>
      </c>
      <c r="K217" s="979"/>
      <c r="L217" s="979"/>
      <c r="M217" s="980" t="str">
        <f t="shared" si="35"/>
        <v/>
      </c>
      <c r="N217" s="1081"/>
      <c r="O217" s="982" t="str">
        <f t="shared" ca="1" si="29"/>
        <v/>
      </c>
      <c r="P217" s="991" t="str">
        <f t="shared" ca="1" si="30"/>
        <v/>
      </c>
      <c r="R217" s="1053"/>
      <c r="S217" s="1053" t="str">
        <f t="shared" si="31"/>
        <v/>
      </c>
      <c r="T217" s="1053" t="str">
        <f t="shared" ca="1" si="32"/>
        <v/>
      </c>
      <c r="U217" s="1053" t="str">
        <f t="shared" ca="1" si="33"/>
        <v/>
      </c>
      <c r="V217" s="1053"/>
      <c r="W217" s="1053" t="str">
        <f t="shared" si="34"/>
        <v/>
      </c>
    </row>
    <row r="218" spans="1:23" s="147" customFormat="1" ht="14.4" x14ac:dyDescent="0.3">
      <c r="A218" s="139" t="str">
        <f t="shared" si="27"/>
        <v/>
      </c>
      <c r="B218" s="984">
        <v>210</v>
      </c>
      <c r="C218" s="1035"/>
      <c r="D218" s="1067"/>
      <c r="E218" s="976"/>
      <c r="F218" s="1035"/>
      <c r="G218" s="977"/>
      <c r="H218" s="975"/>
      <c r="I218" s="978"/>
      <c r="J218" s="975" t="str">
        <f t="shared" si="28"/>
        <v/>
      </c>
      <c r="K218" s="979"/>
      <c r="L218" s="979"/>
      <c r="M218" s="980" t="str">
        <f t="shared" si="35"/>
        <v/>
      </c>
      <c r="N218" s="1081"/>
      <c r="O218" s="982" t="str">
        <f t="shared" ca="1" si="29"/>
        <v/>
      </c>
      <c r="P218" s="991" t="str">
        <f t="shared" ca="1" si="30"/>
        <v/>
      </c>
      <c r="R218" s="1053"/>
      <c r="S218" s="1053" t="str">
        <f t="shared" si="31"/>
        <v/>
      </c>
      <c r="T218" s="1053" t="str">
        <f t="shared" ca="1" si="32"/>
        <v/>
      </c>
      <c r="U218" s="1053" t="str">
        <f t="shared" ca="1" si="33"/>
        <v/>
      </c>
      <c r="V218" s="1053"/>
      <c r="W218" s="1053" t="str">
        <f t="shared" si="34"/>
        <v/>
      </c>
    </row>
    <row r="219" spans="1:23" s="147" customFormat="1" ht="14.4" x14ac:dyDescent="0.3">
      <c r="A219" s="139" t="str">
        <f t="shared" si="27"/>
        <v/>
      </c>
      <c r="B219" s="984">
        <v>211</v>
      </c>
      <c r="C219" s="1035"/>
      <c r="D219" s="1067"/>
      <c r="E219" s="976"/>
      <c r="F219" s="1035"/>
      <c r="G219" s="977"/>
      <c r="H219" s="975"/>
      <c r="I219" s="978"/>
      <c r="J219" s="975" t="str">
        <f t="shared" si="28"/>
        <v/>
      </c>
      <c r="K219" s="979"/>
      <c r="L219" s="979"/>
      <c r="M219" s="980" t="str">
        <f t="shared" si="35"/>
        <v/>
      </c>
      <c r="N219" s="1081"/>
      <c r="O219" s="982" t="str">
        <f t="shared" ca="1" si="29"/>
        <v/>
      </c>
      <c r="P219" s="991" t="str">
        <f t="shared" ca="1" si="30"/>
        <v/>
      </c>
      <c r="R219" s="1053"/>
      <c r="S219" s="1053" t="str">
        <f t="shared" si="31"/>
        <v/>
      </c>
      <c r="T219" s="1053" t="str">
        <f t="shared" ca="1" si="32"/>
        <v/>
      </c>
      <c r="U219" s="1053" t="str">
        <f t="shared" ca="1" si="33"/>
        <v/>
      </c>
      <c r="V219" s="1053"/>
      <c r="W219" s="1053" t="str">
        <f t="shared" si="34"/>
        <v/>
      </c>
    </row>
    <row r="220" spans="1:23" s="147" customFormat="1" ht="14.4" x14ac:dyDescent="0.3">
      <c r="A220" s="139" t="str">
        <f t="shared" si="27"/>
        <v/>
      </c>
      <c r="B220" s="984">
        <v>212</v>
      </c>
      <c r="C220" s="1035"/>
      <c r="D220" s="1067"/>
      <c r="E220" s="987"/>
      <c r="F220" s="1037"/>
      <c r="G220" s="988"/>
      <c r="H220" s="975"/>
      <c r="I220" s="978"/>
      <c r="J220" s="975" t="str">
        <f t="shared" si="28"/>
        <v/>
      </c>
      <c r="K220" s="979"/>
      <c r="L220" s="979"/>
      <c r="M220" s="980" t="str">
        <f t="shared" si="35"/>
        <v/>
      </c>
      <c r="N220" s="1081"/>
      <c r="O220" s="982" t="str">
        <f t="shared" ca="1" si="29"/>
        <v/>
      </c>
      <c r="P220" s="991" t="str">
        <f t="shared" ca="1" si="30"/>
        <v/>
      </c>
      <c r="R220" s="1053"/>
      <c r="S220" s="1053" t="str">
        <f t="shared" si="31"/>
        <v/>
      </c>
      <c r="T220" s="1053" t="str">
        <f t="shared" ca="1" si="32"/>
        <v/>
      </c>
      <c r="U220" s="1053" t="str">
        <f t="shared" ca="1" si="33"/>
        <v/>
      </c>
      <c r="V220" s="1053"/>
      <c r="W220" s="1053" t="str">
        <f t="shared" si="34"/>
        <v/>
      </c>
    </row>
    <row r="221" spans="1:23" s="147" customFormat="1" ht="14.4" x14ac:dyDescent="0.3">
      <c r="A221" s="139" t="str">
        <f t="shared" si="27"/>
        <v/>
      </c>
      <c r="B221" s="984">
        <v>213</v>
      </c>
      <c r="C221" s="1035"/>
      <c r="D221" s="1067"/>
      <c r="E221" s="976"/>
      <c r="F221" s="1035"/>
      <c r="G221" s="977"/>
      <c r="H221" s="975"/>
      <c r="I221" s="978"/>
      <c r="J221" s="975" t="str">
        <f t="shared" si="28"/>
        <v/>
      </c>
      <c r="K221" s="979"/>
      <c r="L221" s="979"/>
      <c r="M221" s="980" t="str">
        <f t="shared" si="35"/>
        <v/>
      </c>
      <c r="N221" s="1081"/>
      <c r="O221" s="982" t="str">
        <f t="shared" ca="1" si="29"/>
        <v/>
      </c>
      <c r="P221" s="991" t="str">
        <f t="shared" ca="1" si="30"/>
        <v/>
      </c>
      <c r="R221" s="1053"/>
      <c r="S221" s="1053" t="str">
        <f t="shared" si="31"/>
        <v/>
      </c>
      <c r="T221" s="1053" t="str">
        <f t="shared" ca="1" si="32"/>
        <v/>
      </c>
      <c r="U221" s="1053" t="str">
        <f t="shared" ca="1" si="33"/>
        <v/>
      </c>
      <c r="V221" s="1053"/>
      <c r="W221" s="1053" t="str">
        <f t="shared" si="34"/>
        <v/>
      </c>
    </row>
    <row r="222" spans="1:23" s="147" customFormat="1" ht="14.4" x14ac:dyDescent="0.3">
      <c r="A222" s="139"/>
      <c r="B222" s="984">
        <v>214</v>
      </c>
      <c r="C222" s="1035"/>
      <c r="D222" s="1067"/>
      <c r="E222" s="987"/>
      <c r="F222" s="1037"/>
      <c r="G222" s="988"/>
      <c r="H222" s="975"/>
      <c r="I222" s="978"/>
      <c r="J222" s="975" t="str">
        <f t="shared" si="28"/>
        <v/>
      </c>
      <c r="K222" s="979"/>
      <c r="L222" s="979"/>
      <c r="M222" s="980" t="str">
        <f t="shared" si="35"/>
        <v/>
      </c>
      <c r="N222" s="1081"/>
      <c r="O222" s="982" t="str">
        <f t="shared" ca="1" si="29"/>
        <v/>
      </c>
      <c r="P222" s="991" t="str">
        <f t="shared" ca="1" si="30"/>
        <v/>
      </c>
      <c r="R222" s="1053"/>
      <c r="S222" s="1053" t="str">
        <f t="shared" si="31"/>
        <v/>
      </c>
      <c r="T222" s="1053" t="str">
        <f t="shared" ca="1" si="32"/>
        <v/>
      </c>
      <c r="U222" s="1053" t="str">
        <f t="shared" ca="1" si="33"/>
        <v/>
      </c>
      <c r="V222" s="1053"/>
      <c r="W222" s="1053" t="str">
        <f t="shared" si="34"/>
        <v/>
      </c>
    </row>
    <row r="223" spans="1:23" s="147" customFormat="1" ht="14.4" x14ac:dyDescent="0.3">
      <c r="A223" s="139" t="str">
        <f>IF(M223=1,N223,"")</f>
        <v/>
      </c>
      <c r="B223" s="984">
        <v>215</v>
      </c>
      <c r="C223" s="1035"/>
      <c r="D223" s="1067"/>
      <c r="E223" s="976"/>
      <c r="F223" s="1035"/>
      <c r="G223" s="977"/>
      <c r="H223" s="975"/>
      <c r="I223" s="978"/>
      <c r="J223" s="975"/>
      <c r="K223" s="979"/>
      <c r="L223" s="979"/>
      <c r="M223" s="980"/>
      <c r="N223" s="1081"/>
      <c r="O223" s="982" t="str">
        <f t="shared" ca="1" si="29"/>
        <v/>
      </c>
      <c r="P223" s="991" t="str">
        <f t="shared" ca="1" si="30"/>
        <v/>
      </c>
      <c r="R223" s="1053"/>
      <c r="S223" s="1053" t="str">
        <f t="shared" si="31"/>
        <v/>
      </c>
      <c r="T223" s="1053" t="str">
        <f t="shared" ca="1" si="32"/>
        <v/>
      </c>
      <c r="U223" s="1053" t="str">
        <f t="shared" ca="1" si="33"/>
        <v/>
      </c>
      <c r="V223" s="1053"/>
      <c r="W223" s="1053" t="str">
        <f t="shared" si="34"/>
        <v/>
      </c>
    </row>
    <row r="224" spans="1:23" x14ac:dyDescent="0.3">
      <c r="B224" s="129" t="s">
        <v>1136</v>
      </c>
      <c r="C224" s="129"/>
      <c r="D224" s="129"/>
      <c r="M224" s="149"/>
    </row>
  </sheetData>
  <sheetProtection sheet="1" objects="1" scenarios="1" formatCells="0" formatColumns="0" formatRows="0" insertHyperlinks="0" sort="0" autoFilter="0"/>
  <autoFilter ref="B8:P224" xr:uid="{00000000-0009-0000-0000-000005000000}"/>
  <sortState xmlns:xlrd2="http://schemas.microsoft.com/office/spreadsheetml/2017/richdata2" ref="B9:P223">
    <sortCondition ref="B9:B223"/>
    <sortCondition ref="H9:H223"/>
    <sortCondition ref="J9:J223"/>
  </sortState>
  <mergeCells count="1">
    <mergeCell ref="J4:P4"/>
  </mergeCells>
  <conditionalFormatting sqref="O9:O223 T8">
    <cfRule type="dataBar" priority="8">
      <dataBar>
        <cfvo type="min"/>
        <cfvo type="max"/>
        <color rgb="FFA5B7D3"/>
      </dataBar>
      <extLst>
        <ext xmlns:x14="http://schemas.microsoft.com/office/spreadsheetml/2009/9/main" uri="{B025F937-C7B1-47D3-B67F-A62EFF666E3E}">
          <x14:id>{C1302C95-AC1C-4BA8-861A-B7D9F5841E91}</x14:id>
        </ext>
      </extLst>
    </cfRule>
  </conditionalFormatting>
  <conditionalFormatting sqref="J10">
    <cfRule type="expression" dxfId="165" priority="7">
      <formula>AND(J10&lt;&gt;"",H16&lt;&gt;1,J16&lt;TODAY())</formula>
    </cfRule>
  </conditionalFormatting>
  <conditionalFormatting sqref="J9:J223">
    <cfRule type="expression" dxfId="164" priority="5">
      <formula>AND(H9&lt;&gt;"",M9&lt;&gt;1,J9&lt;TODAY())</formula>
    </cfRule>
    <cfRule type="expression" dxfId="163" priority="6">
      <formula>AND(H9&lt;&gt;"",M9&lt;&gt;1,$J9&lt;(TODAY()+7))</formula>
    </cfRule>
  </conditionalFormatting>
  <conditionalFormatting sqref="N9:N223">
    <cfRule type="expression" dxfId="162" priority="2">
      <formula>AND(G9&lt;&gt;"",N9&lt;&gt;1,N9&gt;G9)</formula>
    </cfRule>
  </conditionalFormatting>
  <conditionalFormatting sqref="P9:P223">
    <cfRule type="expression" dxfId="161" priority="1">
      <formula>AND(H9&lt;&gt;"",M9&lt;&gt;1,J9&lt;TODAY())</formula>
    </cfRule>
  </conditionalFormatting>
  <dataValidations count="5">
    <dataValidation allowBlank="1" showInputMessage="1" showErrorMessage="1" errorTitle="Please choose from the list" sqref="T8 O9:O223" xr:uid="{71DB94E6-FF19-4684-A539-30E332212409}"/>
    <dataValidation errorStyle="warning" allowBlank="1" showInputMessage="1" showErrorMessage="1" sqref="E5:G5" xr:uid="{8FAFAE27-957C-4EFB-A906-27DDA68CE650}"/>
    <dataValidation type="date" allowBlank="1" showInputMessage="1" showErrorMessage="1" errorTitle="Date formatting" error="Pleas check the date formatting" sqref="H113:H223 H9:H111 J9:J223" xr:uid="{FB18956A-39FC-481F-A0DA-256F3F583E76}">
      <formula1>40179</formula1>
      <formula2>402133</formula2>
    </dataValidation>
    <dataValidation type="list" allowBlank="1" showInputMessage="1" showErrorMessage="1" errorTitle="Sorry" error="Please choose 1,2 or 3" sqref="M9:M223" xr:uid="{C0F8C19C-59B8-4CE7-AF7E-149C48B8318B}">
      <formula1>"1,2,3"</formula1>
    </dataValidation>
    <dataValidation showInputMessage="1" promptTitle="Liste Projektteam" sqref="B6:D6" xr:uid="{0380E0BC-62C8-4038-84B4-4CE684212B02}"/>
  </dataValidations>
  <pageMargins left="0.78740157480314965" right="0.19685039370078741" top="0.51181102362204722" bottom="0.82677165354330717" header="0" footer="0.19685039370078741"/>
  <pageSetup paperSize="8" orientation="landscape" r:id="rId1"/>
  <headerFooter scaleWithDoc="0">
    <oddFooter>&amp;L&amp;8&amp;K01+049(c) s. imboden&amp;C&amp;8&amp;K01+049printed &amp;D&amp;R&amp;8&amp;K03+000&amp;P/&amp;N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C1302C95-AC1C-4BA8-861A-B7D9F5841E91}">
            <x14:dataBar minLength="0" maxLength="100" direction="leftToRight">
              <x14:cfvo type="autoMin"/>
              <x14:cfvo type="autoMax"/>
              <x14:negativeFillColor rgb="FFFF0000"/>
              <x14:axisColor rgb="FF000000"/>
            </x14:dataBar>
          </x14:cfRule>
          <xm:sqref>O9:O223 T8</xm:sqref>
        </x14:conditionalFormatting>
        <x14:conditionalFormatting xmlns:xm="http://schemas.microsoft.com/office/excel/2006/main">
          <x14:cfRule type="iconSet" priority="9" id="{F8B660D2-F7B9-4780-BB7E-020522A89671}">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M9:M223</xm:sqref>
        </x14:conditionalFormatting>
        <x14:conditionalFormatting xmlns:xm="http://schemas.microsoft.com/office/excel/2006/main">
          <x14:cfRule type="iconSet" priority="10" id="{D8C8DE09-C500-42A0-849D-F7E9410F02DA}">
            <x14:iconSet iconSet="3Symbols" showValue="0" custom="1">
              <x14:cfvo type="percent">
                <xm:f>0</xm:f>
              </x14:cfvo>
              <x14:cfvo type="num">
                <xm:f>0</xm:f>
              </x14:cfvo>
              <x14:cfvo type="num">
                <xm:f>0</xm:f>
              </x14:cfvo>
              <x14:cfIcon iconSet="3Symbols" iconId="2"/>
              <x14:cfIcon iconSet="3Symbols" iconId="2"/>
              <x14:cfIcon iconSet="3Symbols" iconId="2"/>
            </x14:iconSet>
          </x14:cfRule>
          <xm:sqref>M7</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259F63F8-FCB4-4034-9930-3DC0A45666D6}">
          <x14:formula1>
            <xm:f>Logo!$B$21:$B$29</xm:f>
          </x14:formula1>
          <xm:sqref>L9:L223</xm:sqref>
        </x14:dataValidation>
        <x14:dataValidation type="list" errorStyle="warning" allowBlank="1" showInputMessage="1" showErrorMessage="1" xr:uid="{B3DC6AC1-FC7F-408F-B7E6-6125FAC9EB3D}">
          <x14:formula1>
            <xm:f>Projektteam!$BB$1:$BB$31</xm:f>
          </x14:formula1>
          <xm:sqref>K5</xm:sqref>
        </x14:dataValidation>
        <x14:dataValidation type="list" allowBlank="1" showInputMessage="1" showErrorMessage="1" errorTitle="Name is not in the list!" error="Um einen Namen in der Liste hinzuzufügen vervollstgändigen Sie die Liste mit dem Projektteam._x000a__x000a_Pour ajouter un nom dans la liste, veuillez ajouter cette personne dans la liste de l'équipe de projet." xr:uid="{FC06C469-4F38-4B4F-A1F2-F17E0AEB92FB}">
          <x14:formula1>
            <xm:f>Projektteam!$AO$1:$AO$26</xm:f>
          </x14:formula1>
          <xm:sqref>K9:K223</xm:sqref>
        </x14:dataValidation>
        <x14:dataValidation type="list" allowBlank="1" showInputMessage="1" showErrorMessage="1" xr:uid="{FAA9012A-6A41-4F3C-BD0B-907CDD53BB36}">
          <x14:formula1>
            <xm:f>Detailplan!$D$9:$D$223</xm:f>
          </x14:formula1>
          <xm:sqref>D9:D10 D223</xm:sqref>
        </x14:dataValidation>
        <x14:dataValidation type="list" allowBlank="1" showInputMessage="1" showErrorMessage="1" xr:uid="{820E65D9-EBD5-41CE-9D00-C546CDCA0597}">
          <x14:formula1>
            <xm:f>Detailplan!$D$8:$D$223</xm:f>
          </x14:formula1>
          <xm:sqref>D11:D222</xm:sqref>
        </x14:dataValidation>
        <x14:dataValidation type="list" allowBlank="1" showInputMessage="1" showErrorMessage="1" xr:uid="{820AAB08-31C1-4AA2-AE3A-11D27EC84E04}">
          <x14:formula1>
            <xm:f>Detailplan!$E$8:$E$223</xm:f>
          </x14:formula1>
          <xm:sqref>E9:E223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E689B-8664-4B7E-B378-EDF5005443B3}">
  <sheetPr codeName="Detailplan2">
    <tabColor theme="3" tint="0.59999389629810485"/>
  </sheetPr>
  <dimension ref="A1:F12"/>
  <sheetViews>
    <sheetView showGridLines="0" zoomScaleNormal="100" workbookViewId="0">
      <pane xSplit="6" ySplit="6" topLeftCell="G7" activePane="bottomRight" state="frozen"/>
      <selection activeCell="C28" sqref="C28"/>
      <selection pane="topRight" activeCell="C28" sqref="C28"/>
      <selection pane="bottomLeft" activeCell="C28" sqref="C28"/>
      <selection pane="bottomRight"/>
    </sheetView>
  </sheetViews>
  <sheetFormatPr baseColWidth="10" defaultColWidth="3.88671875" defaultRowHeight="14.4" x14ac:dyDescent="0.3"/>
  <cols>
    <col min="1" max="1" width="7.88671875" style="139" customWidth="1"/>
    <col min="2" max="6" width="39.5546875" style="141" customWidth="1"/>
    <col min="7" max="7" width="6.44140625" style="142" customWidth="1"/>
    <col min="8" max="21" width="3.88671875" style="142"/>
    <col min="22" max="22" width="13.5546875" style="142" customWidth="1"/>
    <col min="23" max="23" width="9.5546875" style="142" customWidth="1"/>
    <col min="24" max="277" width="3.88671875" style="142"/>
    <col min="278" max="278" width="13.5546875" style="142" customWidth="1"/>
    <col min="279" max="279" width="9.5546875" style="142" customWidth="1"/>
    <col min="280" max="533" width="3.88671875" style="142"/>
    <col min="534" max="534" width="13.5546875" style="142" customWidth="1"/>
    <col min="535" max="535" width="9.5546875" style="142" customWidth="1"/>
    <col min="536" max="789" width="3.88671875" style="142"/>
    <col min="790" max="790" width="13.5546875" style="142" customWidth="1"/>
    <col min="791" max="791" width="9.5546875" style="142" customWidth="1"/>
    <col min="792" max="1045" width="3.88671875" style="142"/>
    <col min="1046" max="1046" width="13.5546875" style="142" customWidth="1"/>
    <col min="1047" max="1047" width="9.5546875" style="142" customWidth="1"/>
    <col min="1048" max="1301" width="3.88671875" style="142"/>
    <col min="1302" max="1302" width="13.5546875" style="142" customWidth="1"/>
    <col min="1303" max="1303" width="9.5546875" style="142" customWidth="1"/>
    <col min="1304" max="1557" width="3.88671875" style="142"/>
    <col min="1558" max="1558" width="13.5546875" style="142" customWidth="1"/>
    <col min="1559" max="1559" width="9.5546875" style="142" customWidth="1"/>
    <col min="1560" max="1813" width="3.88671875" style="142"/>
    <col min="1814" max="1814" width="13.5546875" style="142" customWidth="1"/>
    <col min="1815" max="1815" width="9.5546875" style="142" customWidth="1"/>
    <col min="1816" max="2069" width="3.88671875" style="142"/>
    <col min="2070" max="2070" width="13.5546875" style="142" customWidth="1"/>
    <col min="2071" max="2071" width="9.5546875" style="142" customWidth="1"/>
    <col min="2072" max="2325" width="3.88671875" style="142"/>
    <col min="2326" max="2326" width="13.5546875" style="142" customWidth="1"/>
    <col min="2327" max="2327" width="9.5546875" style="142" customWidth="1"/>
    <col min="2328" max="2581" width="3.88671875" style="142"/>
    <col min="2582" max="2582" width="13.5546875" style="142" customWidth="1"/>
    <col min="2583" max="2583" width="9.5546875" style="142" customWidth="1"/>
    <col min="2584" max="2837" width="3.88671875" style="142"/>
    <col min="2838" max="2838" width="13.5546875" style="142" customWidth="1"/>
    <col min="2839" max="2839" width="9.5546875" style="142" customWidth="1"/>
    <col min="2840" max="3093" width="3.88671875" style="142"/>
    <col min="3094" max="3094" width="13.5546875" style="142" customWidth="1"/>
    <col min="3095" max="3095" width="9.5546875" style="142" customWidth="1"/>
    <col min="3096" max="3349" width="3.88671875" style="142"/>
    <col min="3350" max="3350" width="13.5546875" style="142" customWidth="1"/>
    <col min="3351" max="3351" width="9.5546875" style="142" customWidth="1"/>
    <col min="3352" max="3605" width="3.88671875" style="142"/>
    <col min="3606" max="3606" width="13.5546875" style="142" customWidth="1"/>
    <col min="3607" max="3607" width="9.5546875" style="142" customWidth="1"/>
    <col min="3608" max="3861" width="3.88671875" style="142"/>
    <col min="3862" max="3862" width="13.5546875" style="142" customWidth="1"/>
    <col min="3863" max="3863" width="9.5546875" style="142" customWidth="1"/>
    <col min="3864" max="4117" width="3.88671875" style="142"/>
    <col min="4118" max="4118" width="13.5546875" style="142" customWidth="1"/>
    <col min="4119" max="4119" width="9.5546875" style="142" customWidth="1"/>
    <col min="4120" max="4373" width="3.88671875" style="142"/>
    <col min="4374" max="4374" width="13.5546875" style="142" customWidth="1"/>
    <col min="4375" max="4375" width="9.5546875" style="142" customWidth="1"/>
    <col min="4376" max="4629" width="3.88671875" style="142"/>
    <col min="4630" max="4630" width="13.5546875" style="142" customWidth="1"/>
    <col min="4631" max="4631" width="9.5546875" style="142" customWidth="1"/>
    <col min="4632" max="4885" width="3.88671875" style="142"/>
    <col min="4886" max="4886" width="13.5546875" style="142" customWidth="1"/>
    <col min="4887" max="4887" width="9.5546875" style="142" customWidth="1"/>
    <col min="4888" max="5141" width="3.88671875" style="142"/>
    <col min="5142" max="5142" width="13.5546875" style="142" customWidth="1"/>
    <col min="5143" max="5143" width="9.5546875" style="142" customWidth="1"/>
    <col min="5144" max="5397" width="3.88671875" style="142"/>
    <col min="5398" max="5398" width="13.5546875" style="142" customWidth="1"/>
    <col min="5399" max="5399" width="9.5546875" style="142" customWidth="1"/>
    <col min="5400" max="5653" width="3.88671875" style="142"/>
    <col min="5654" max="5654" width="13.5546875" style="142" customWidth="1"/>
    <col min="5655" max="5655" width="9.5546875" style="142" customWidth="1"/>
    <col min="5656" max="5909" width="3.88671875" style="142"/>
    <col min="5910" max="5910" width="13.5546875" style="142" customWidth="1"/>
    <col min="5911" max="5911" width="9.5546875" style="142" customWidth="1"/>
    <col min="5912" max="6165" width="3.88671875" style="142"/>
    <col min="6166" max="6166" width="13.5546875" style="142" customWidth="1"/>
    <col min="6167" max="6167" width="9.5546875" style="142" customWidth="1"/>
    <col min="6168" max="6421" width="3.88671875" style="142"/>
    <col min="6422" max="6422" width="13.5546875" style="142" customWidth="1"/>
    <col min="6423" max="6423" width="9.5546875" style="142" customWidth="1"/>
    <col min="6424" max="6677" width="3.88671875" style="142"/>
    <col min="6678" max="6678" width="13.5546875" style="142" customWidth="1"/>
    <col min="6679" max="6679" width="9.5546875" style="142" customWidth="1"/>
    <col min="6680" max="6933" width="3.88671875" style="142"/>
    <col min="6934" max="6934" width="13.5546875" style="142" customWidth="1"/>
    <col min="6935" max="6935" width="9.5546875" style="142" customWidth="1"/>
    <col min="6936" max="7189" width="3.88671875" style="142"/>
    <col min="7190" max="7190" width="13.5546875" style="142" customWidth="1"/>
    <col min="7191" max="7191" width="9.5546875" style="142" customWidth="1"/>
    <col min="7192" max="7445" width="3.88671875" style="142"/>
    <col min="7446" max="7446" width="13.5546875" style="142" customWidth="1"/>
    <col min="7447" max="7447" width="9.5546875" style="142" customWidth="1"/>
    <col min="7448" max="7701" width="3.88671875" style="142"/>
    <col min="7702" max="7702" width="13.5546875" style="142" customWidth="1"/>
    <col min="7703" max="7703" width="9.5546875" style="142" customWidth="1"/>
    <col min="7704" max="7957" width="3.88671875" style="142"/>
    <col min="7958" max="7958" width="13.5546875" style="142" customWidth="1"/>
    <col min="7959" max="7959" width="9.5546875" style="142" customWidth="1"/>
    <col min="7960" max="8213" width="3.88671875" style="142"/>
    <col min="8214" max="8214" width="13.5546875" style="142" customWidth="1"/>
    <col min="8215" max="8215" width="9.5546875" style="142" customWidth="1"/>
    <col min="8216" max="8469" width="3.88671875" style="142"/>
    <col min="8470" max="8470" width="13.5546875" style="142" customWidth="1"/>
    <col min="8471" max="8471" width="9.5546875" style="142" customWidth="1"/>
    <col min="8472" max="8725" width="3.88671875" style="142"/>
    <col min="8726" max="8726" width="13.5546875" style="142" customWidth="1"/>
    <col min="8727" max="8727" width="9.5546875" style="142" customWidth="1"/>
    <col min="8728" max="8981" width="3.88671875" style="142"/>
    <col min="8982" max="8982" width="13.5546875" style="142" customWidth="1"/>
    <col min="8983" max="8983" width="9.5546875" style="142" customWidth="1"/>
    <col min="8984" max="9237" width="3.88671875" style="142"/>
    <col min="9238" max="9238" width="13.5546875" style="142" customWidth="1"/>
    <col min="9239" max="9239" width="9.5546875" style="142" customWidth="1"/>
    <col min="9240" max="9493" width="3.88671875" style="142"/>
    <col min="9494" max="9494" width="13.5546875" style="142" customWidth="1"/>
    <col min="9495" max="9495" width="9.5546875" style="142" customWidth="1"/>
    <col min="9496" max="9749" width="3.88671875" style="142"/>
    <col min="9750" max="9750" width="13.5546875" style="142" customWidth="1"/>
    <col min="9751" max="9751" width="9.5546875" style="142" customWidth="1"/>
    <col min="9752" max="10005" width="3.88671875" style="142"/>
    <col min="10006" max="10006" width="13.5546875" style="142" customWidth="1"/>
    <col min="10007" max="10007" width="9.5546875" style="142" customWidth="1"/>
    <col min="10008" max="10261" width="3.88671875" style="142"/>
    <col min="10262" max="10262" width="13.5546875" style="142" customWidth="1"/>
    <col min="10263" max="10263" width="9.5546875" style="142" customWidth="1"/>
    <col min="10264" max="10517" width="3.88671875" style="142"/>
    <col min="10518" max="10518" width="13.5546875" style="142" customWidth="1"/>
    <col min="10519" max="10519" width="9.5546875" style="142" customWidth="1"/>
    <col min="10520" max="10773" width="3.88671875" style="142"/>
    <col min="10774" max="10774" width="13.5546875" style="142" customWidth="1"/>
    <col min="10775" max="10775" width="9.5546875" style="142" customWidth="1"/>
    <col min="10776" max="11029" width="3.88671875" style="142"/>
    <col min="11030" max="11030" width="13.5546875" style="142" customWidth="1"/>
    <col min="11031" max="11031" width="9.5546875" style="142" customWidth="1"/>
    <col min="11032" max="11285" width="3.88671875" style="142"/>
    <col min="11286" max="11286" width="13.5546875" style="142" customWidth="1"/>
    <col min="11287" max="11287" width="9.5546875" style="142" customWidth="1"/>
    <col min="11288" max="11541" width="3.88671875" style="142"/>
    <col min="11542" max="11542" width="13.5546875" style="142" customWidth="1"/>
    <col min="11543" max="11543" width="9.5546875" style="142" customWidth="1"/>
    <col min="11544" max="11797" width="3.88671875" style="142"/>
    <col min="11798" max="11798" width="13.5546875" style="142" customWidth="1"/>
    <col min="11799" max="11799" width="9.5546875" style="142" customWidth="1"/>
    <col min="11800" max="12053" width="3.88671875" style="142"/>
    <col min="12054" max="12054" width="13.5546875" style="142" customWidth="1"/>
    <col min="12055" max="12055" width="9.5546875" style="142" customWidth="1"/>
    <col min="12056" max="12309" width="3.88671875" style="142"/>
    <col min="12310" max="12310" width="13.5546875" style="142" customWidth="1"/>
    <col min="12311" max="12311" width="9.5546875" style="142" customWidth="1"/>
    <col min="12312" max="12565" width="3.88671875" style="142"/>
    <col min="12566" max="12566" width="13.5546875" style="142" customWidth="1"/>
    <col min="12567" max="12567" width="9.5546875" style="142" customWidth="1"/>
    <col min="12568" max="12821" width="3.88671875" style="142"/>
    <col min="12822" max="12822" width="13.5546875" style="142" customWidth="1"/>
    <col min="12823" max="12823" width="9.5546875" style="142" customWidth="1"/>
    <col min="12824" max="13077" width="3.88671875" style="142"/>
    <col min="13078" max="13078" width="13.5546875" style="142" customWidth="1"/>
    <col min="13079" max="13079" width="9.5546875" style="142" customWidth="1"/>
    <col min="13080" max="13333" width="3.88671875" style="142"/>
    <col min="13334" max="13334" width="13.5546875" style="142" customWidth="1"/>
    <col min="13335" max="13335" width="9.5546875" style="142" customWidth="1"/>
    <col min="13336" max="13589" width="3.88671875" style="142"/>
    <col min="13590" max="13590" width="13.5546875" style="142" customWidth="1"/>
    <col min="13591" max="13591" width="9.5546875" style="142" customWidth="1"/>
    <col min="13592" max="13845" width="3.88671875" style="142"/>
    <col min="13846" max="13846" width="13.5546875" style="142" customWidth="1"/>
    <col min="13847" max="13847" width="9.5546875" style="142" customWidth="1"/>
    <col min="13848" max="14101" width="3.88671875" style="142"/>
    <col min="14102" max="14102" width="13.5546875" style="142" customWidth="1"/>
    <col min="14103" max="14103" width="9.5546875" style="142" customWidth="1"/>
    <col min="14104" max="14357" width="3.88671875" style="142"/>
    <col min="14358" max="14358" width="13.5546875" style="142" customWidth="1"/>
    <col min="14359" max="14359" width="9.5546875" style="142" customWidth="1"/>
    <col min="14360" max="14613" width="3.88671875" style="142"/>
    <col min="14614" max="14614" width="13.5546875" style="142" customWidth="1"/>
    <col min="14615" max="14615" width="9.5546875" style="142" customWidth="1"/>
    <col min="14616" max="14869" width="3.88671875" style="142"/>
    <col min="14870" max="14870" width="13.5546875" style="142" customWidth="1"/>
    <col min="14871" max="14871" width="9.5546875" style="142" customWidth="1"/>
    <col min="14872" max="16384" width="3.88671875" style="142"/>
  </cols>
  <sheetData>
    <row r="1" spans="1:6" s="131" customFormat="1" ht="45" customHeight="1" x14ac:dyDescent="0.3">
      <c r="A1" s="130"/>
      <c r="B1" s="990" t="str">
        <f ca="1">' '!A151</f>
        <v>Sprint Backlog</v>
      </c>
      <c r="C1" s="990"/>
      <c r="D1" s="990"/>
      <c r="E1" s="990"/>
      <c r="F1" s="990"/>
    </row>
    <row r="2" spans="1:6" s="136" customFormat="1" ht="7.5" customHeight="1" x14ac:dyDescent="0.3">
      <c r="A2" s="133"/>
      <c r="B2" s="134"/>
      <c r="C2" s="134"/>
      <c r="D2" s="134"/>
      <c r="E2" s="134"/>
      <c r="F2" s="134"/>
    </row>
    <row r="3" spans="1:6" s="112" customFormat="1" ht="18" customHeight="1" x14ac:dyDescent="0.3">
      <c r="A3" s="138"/>
      <c r="B3" s="1012" t="str">
        <f>Projektauftrag!D4</f>
        <v>P1</v>
      </c>
      <c r="C3" s="1042" t="str">
        <f ca="1">Projektauftrag!E5&amp;"  "&amp;Projektauftrag!G5</f>
        <v>Procuct Owner:  xyz xxx</v>
      </c>
      <c r="D3" s="1044" t="str">
        <f ca="1">Projektauftrag!E6</f>
        <v>Modified on:</v>
      </c>
      <c r="E3" s="1045">
        <v>44562</v>
      </c>
      <c r="F3" s="1012"/>
    </row>
    <row r="4" spans="1:6" s="140" customFormat="1" ht="24" customHeight="1" x14ac:dyDescent="0.3">
      <c r="A4" s="139"/>
      <c r="B4" s="1041" t="str">
        <f>Projektauftrag!D5</f>
        <v>Projet Agile 1</v>
      </c>
      <c r="C4" s="1043" t="str">
        <f ca="1">Projektauftrag!H5&amp;"  "&amp;Projektauftrag!J5</f>
        <v>Scrum Master:  abc def (abc)</v>
      </c>
      <c r="D4" s="1043"/>
      <c r="E4" s="1043"/>
      <c r="F4" s="1019"/>
    </row>
    <row r="5" spans="1:6" s="140" customFormat="1" ht="28.5" customHeight="1" x14ac:dyDescent="0.3">
      <c r="A5" s="139"/>
      <c r="B5" s="1079" t="str">
        <f ca="1">' '!A147</f>
        <v>EPIC</v>
      </c>
      <c r="C5" s="1039" t="s">
        <v>1403</v>
      </c>
      <c r="D5" s="1040"/>
      <c r="E5" s="1040"/>
      <c r="F5" s="1040"/>
    </row>
    <row r="6" spans="1:6" s="693" customFormat="1" ht="15.75" customHeight="1" x14ac:dyDescent="0.2">
      <c r="A6" s="692"/>
    </row>
    <row r="7" spans="1:6" s="693" customFormat="1" ht="15.6" x14ac:dyDescent="0.2">
      <c r="A7" s="692"/>
      <c r="B7" s="1038" t="str">
        <f ca="1">' '!A160</f>
        <v>Target</v>
      </c>
      <c r="C7" s="1038" t="str">
        <f ca="1">' '!A157</f>
        <v>To Do</v>
      </c>
      <c r="D7" s="1038" t="str">
        <f ca="1">' '!A158</f>
        <v>In progress</v>
      </c>
      <c r="E7" s="1038" t="str">
        <f ca="1">' '!A159</f>
        <v>Accomplished</v>
      </c>
      <c r="F7" s="1038" t="str">
        <f ca="1">' '!A163</f>
        <v>Remarks/Lessons Learned</v>
      </c>
    </row>
    <row r="8" spans="1:6" s="693" customFormat="1" ht="150" customHeight="1" x14ac:dyDescent="0.3">
      <c r="A8" s="1064">
        <v>1</v>
      </c>
      <c r="B8" s="1061" t="s">
        <v>1407</v>
      </c>
      <c r="C8" s="1060"/>
      <c r="D8" s="1060"/>
      <c r="E8" s="1060"/>
      <c r="F8" s="1060"/>
    </row>
    <row r="9" spans="1:6" s="693" customFormat="1" ht="150" customHeight="1" x14ac:dyDescent="0.3">
      <c r="A9" s="1064">
        <v>2</v>
      </c>
      <c r="B9" s="1061" t="s">
        <v>1431</v>
      </c>
      <c r="C9" s="1060"/>
      <c r="D9" s="1060"/>
      <c r="E9" s="1060"/>
      <c r="F9" s="1060"/>
    </row>
    <row r="10" spans="1:6" s="693" customFormat="1" ht="150" customHeight="1" x14ac:dyDescent="0.3">
      <c r="A10" s="1064">
        <v>3</v>
      </c>
      <c r="B10" s="1061" t="s">
        <v>1395</v>
      </c>
      <c r="C10" s="1060"/>
      <c r="D10" s="1060"/>
      <c r="E10" s="1060"/>
      <c r="F10" s="1060"/>
    </row>
    <row r="11" spans="1:6" s="693" customFormat="1" ht="150" customHeight="1" x14ac:dyDescent="0.3">
      <c r="A11" s="1064">
        <v>4</v>
      </c>
      <c r="B11" s="1062"/>
      <c r="C11" s="1063"/>
      <c r="D11" s="1063"/>
      <c r="E11" s="1063"/>
      <c r="F11" s="1063"/>
    </row>
    <row r="12" spans="1:6" x14ac:dyDescent="0.3">
      <c r="B12" s="129" t="s">
        <v>1136</v>
      </c>
      <c r="C12" s="129"/>
      <c r="D12" s="129"/>
      <c r="E12" s="129"/>
      <c r="F12" s="129"/>
    </row>
  </sheetData>
  <sheetProtection sheet="1" objects="1" scenarios="1" formatCells="0" formatColumns="0" formatRows="0" insertHyperlinks="0" sort="0" autoFilter="0"/>
  <phoneticPr fontId="143" type="noConversion"/>
  <dataValidations count="2">
    <dataValidation errorStyle="warning" allowBlank="1" showInputMessage="1" showErrorMessage="1" sqref="E5:F5" xr:uid="{21FEC550-68B2-406B-9FD1-08050BA04C2B}"/>
    <dataValidation showInputMessage="1" promptTitle="Liste Projektteam" sqref="C6:D11 B5:B7" xr:uid="{1E729999-872A-49D2-AB83-22177DE3A44F}"/>
  </dataValidations>
  <pageMargins left="0.78740157480314965" right="0.19685039370078741" top="0.51181102362204722" bottom="0.82677165354330717" header="0" footer="0.19685039370078741"/>
  <pageSetup paperSize="8" orientation="landscape" r:id="rId1"/>
  <headerFooter scaleWithDoc="0">
    <oddFooter>&amp;L&amp;8&amp;K01+049(c) s. imboden&amp;C&amp;8&amp;K01+049printed &amp;D&amp;R&amp;8&amp;K03+000&amp;P/&amp;N</oddFooter>
  </headerFooter>
  <drawing r:id="rId2"/>
  <legacyDrawing r:id="rId3"/>
  <extLst>
    <ext xmlns:x14="http://schemas.microsoft.com/office/spreadsheetml/2009/9/main" uri="{CCE6A557-97BC-4b89-ADB6-D9C93CAAB3DF}">
      <x14:dataValidations xmlns:xm="http://schemas.microsoft.com/office/excel/2006/main" count="2">
        <x14:dataValidation type="list" showInputMessage="1" promptTitle="Liste Projektteam" xr:uid="{5797020A-16E5-41D2-9E3E-54FE5DD7D457}">
          <x14:formula1>
            <xm:f>Detailplan!$D$8:$D$223</xm:f>
          </x14:formula1>
          <xm:sqref>C5</xm:sqref>
        </x14:dataValidation>
        <x14:dataValidation type="list" showInputMessage="1" promptTitle="Liste Projektteam" xr:uid="{8DF024B8-5DC7-46B4-93CC-E52F83582B15}">
          <x14:formula1>
            <xm:f>SprintBacklog!$W$8:$W$223</xm:f>
          </x14:formula1>
          <xm:sqref>B8:B11</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29E1C-5917-46C1-93CC-F82432C58F4B}">
  <sheetPr codeName="Projektstand1">
    <tabColor theme="3" tint="0.59999389629810485"/>
    <pageSetUpPr fitToPage="1"/>
  </sheetPr>
  <dimension ref="A1:P64"/>
  <sheetViews>
    <sheetView showGridLines="0" zoomScaleNormal="100" zoomScaleSheetLayoutView="100" workbookViewId="0">
      <pane ySplit="1" topLeftCell="A2" activePane="bottomLeft" state="frozen"/>
      <selection activeCell="C28" sqref="C28"/>
      <selection pane="bottomLeft" activeCell="H5" sqref="H5:I5"/>
    </sheetView>
  </sheetViews>
  <sheetFormatPr baseColWidth="10" defaultColWidth="11.44140625" defaultRowHeight="14.4" x14ac:dyDescent="0.3"/>
  <cols>
    <col min="1" max="1" width="7" style="111" customWidth="1"/>
    <col min="2" max="2" width="12.88671875" style="112" customWidth="1"/>
    <col min="3" max="3" width="8.5546875" style="112" customWidth="1"/>
    <col min="4" max="4" width="18.88671875" style="112" customWidth="1"/>
    <col min="5" max="5" width="5.5546875" style="112" customWidth="1"/>
    <col min="6" max="6" width="4.44140625" style="112" customWidth="1"/>
    <col min="7" max="7" width="2.109375" style="112" customWidth="1"/>
    <col min="8" max="8" width="3.5546875" style="112" customWidth="1"/>
    <col min="9" max="9" width="12.44140625" style="112" customWidth="1"/>
    <col min="10" max="10" width="15.5546875" style="112" bestFit="1" customWidth="1"/>
    <col min="11" max="11" width="2.5546875" style="112" customWidth="1"/>
    <col min="12" max="12" width="17.109375" style="112" bestFit="1" customWidth="1"/>
    <col min="13" max="13" width="11.5546875" style="112" customWidth="1"/>
    <col min="14" max="16" width="0.109375" style="662" customWidth="1"/>
    <col min="17" max="17" width="11.5546875" style="112" customWidth="1"/>
    <col min="18" max="18" width="7.44140625" style="112" customWidth="1"/>
    <col min="19" max="27" width="3" style="112" customWidth="1"/>
    <col min="28" max="28" width="20.5546875" style="112" customWidth="1"/>
    <col min="29" max="53" width="3" style="112" customWidth="1"/>
    <col min="54" max="16384" width="11.44140625" style="112"/>
  </cols>
  <sheetData>
    <row r="1" spans="1:16" s="70" customFormat="1" ht="45" customHeight="1" x14ac:dyDescent="0.6">
      <c r="A1" s="102"/>
      <c r="B1" s="997" t="str">
        <f ca="1">' '!A105</f>
        <v>Sprint Retrospective</v>
      </c>
      <c r="C1" s="151"/>
      <c r="D1" s="151"/>
      <c r="E1" s="151"/>
      <c r="F1" s="152"/>
      <c r="G1" s="151"/>
      <c r="H1" s="152"/>
      <c r="I1" s="151"/>
      <c r="J1" s="152"/>
      <c r="K1" s="151"/>
      <c r="L1" s="153"/>
      <c r="N1" s="867"/>
      <c r="O1" s="867"/>
      <c r="P1" s="867"/>
    </row>
    <row r="2" spans="1:16" s="75" customFormat="1" ht="30" customHeight="1" x14ac:dyDescent="0.3">
      <c r="A2" s="105"/>
      <c r="B2" s="135"/>
      <c r="N2" s="155"/>
      <c r="O2" s="155"/>
      <c r="P2" s="155"/>
    </row>
    <row r="3" spans="1:16" ht="15" customHeight="1" x14ac:dyDescent="0.3">
      <c r="A3" s="78"/>
      <c r="B3" s="1168" t="str">
        <f ca="1">Projektauftrag!B4</f>
        <v>Project number:</v>
      </c>
      <c r="C3" s="1169"/>
      <c r="D3" s="722" t="str">
        <f>IF(Projektauftrag!D4&lt;&gt;"",Projektauftrag!D4,' '!A190)</f>
        <v>P1</v>
      </c>
      <c r="E3" s="1179" t="str">
        <f ca="1">Projektauftrag!E4</f>
        <v>Start:</v>
      </c>
      <c r="F3" s="1180"/>
      <c r="G3" s="1168">
        <f ca="1">Projektauftrag!G4</f>
        <v>46049</v>
      </c>
      <c r="H3" s="1181">
        <f ca="1">IF(Projektauftrag!G4&lt;&gt;"",Projektauftrag!G4,' '!A190)</f>
        <v>46049</v>
      </c>
      <c r="I3" s="1182"/>
      <c r="J3" s="1169" t="str">
        <f ca="1">Projektauftrag!H4</f>
        <v>Finish:</v>
      </c>
      <c r="K3" s="1169"/>
      <c r="L3" s="731">
        <f ca="1">IF(Projektauftrag!J4&lt;&gt;"",Projektauftrag!J4,' '!A190)</f>
        <v>46799</v>
      </c>
      <c r="N3" s="662">
        <f>COUNTIF($E$10:$E$13,1)</f>
        <v>3</v>
      </c>
      <c r="O3" s="662" t="s">
        <v>1143</v>
      </c>
      <c r="P3" s="866">
        <f>Logo!$D$15</f>
        <v>0.3</v>
      </c>
    </row>
    <row r="4" spans="1:16" ht="30" customHeight="1" x14ac:dyDescent="0.3">
      <c r="B4" s="1168" t="str">
        <f ca="1">Projektauftrag!B5</f>
        <v>Project title:</v>
      </c>
      <c r="C4" s="1169"/>
      <c r="D4" s="995" t="str">
        <f>IF(Projektauftrag!D5&lt;&gt;"",Projektauftrag!D5,' '!A190)</f>
        <v>Projet Agile 1</v>
      </c>
      <c r="E4" s="1170" t="str">
        <f ca="1">Projektauftrag!E5</f>
        <v>Procuct Owner:</v>
      </c>
      <c r="F4" s="1171"/>
      <c r="G4" s="1172"/>
      <c r="H4" s="1183" t="str">
        <f>IF(Projektauftrag!G5&lt;&gt;"",Projektauftrag!G5,' '!A190)</f>
        <v>xyz xxx</v>
      </c>
      <c r="I4" s="1183"/>
      <c r="J4" s="1174" t="str">
        <f ca="1">Projektauftrag!H5</f>
        <v>Scrum Master:</v>
      </c>
      <c r="K4" s="1174"/>
      <c r="L4" s="767" t="str">
        <f>IF(Projektauftrag!J5&lt;&gt;"",Projektauftrag!J5,' '!A190)</f>
        <v>abc def (abc)</v>
      </c>
      <c r="N4" s="662">
        <f>COUNTIF($E$10:$E$13,2)</f>
        <v>1</v>
      </c>
      <c r="O4" s="662" t="s">
        <v>1145</v>
      </c>
      <c r="P4" s="866">
        <f>Logo!D15</f>
        <v>0.3</v>
      </c>
    </row>
    <row r="5" spans="1:16" ht="15" customHeight="1" x14ac:dyDescent="0.3">
      <c r="B5" s="1168" t="str">
        <f ca="1">Projektauftrag!B6</f>
        <v>Department:</v>
      </c>
      <c r="C5" s="1169"/>
      <c r="D5" s="995" t="str">
        <f ca="1">IF(Projektauftrag!D6&lt;&gt;"",Projektauftrag!D6,' '!A190)</f>
        <v>see charter</v>
      </c>
      <c r="E5" s="1170" t="str">
        <f ca="1">Projektauftrag!E6</f>
        <v>Modified on:</v>
      </c>
      <c r="F5" s="1171"/>
      <c r="G5" s="1172"/>
      <c r="H5" s="1173"/>
      <c r="I5" s="1173"/>
      <c r="J5" s="1174" t="str">
        <f ca="1">Projektauftrag!H6</f>
        <v>Deputy:</v>
      </c>
      <c r="K5" s="1174"/>
      <c r="L5" s="767" t="str">
        <f>IF(Projektauftrag!J6&lt;&gt;"",Projektauftrag!J6,' '!A190)</f>
        <v>ghi jkl (ghi)</v>
      </c>
      <c r="N5" s="662">
        <f>COUNTIF($E$10:$E$13,3)</f>
        <v>0</v>
      </c>
      <c r="O5" s="662" t="s">
        <v>1147</v>
      </c>
      <c r="P5" s="866">
        <f>Logo!$D$14</f>
        <v>0.5</v>
      </c>
    </row>
    <row r="6" spans="1:16" ht="29.25" customHeight="1" x14ac:dyDescent="0.3">
      <c r="B6" s="1175" t="str">
        <f ca="1">' '!A108&amp;":"</f>
        <v>Sprint:</v>
      </c>
      <c r="C6" s="1176"/>
      <c r="D6" s="1177" t="s">
        <v>1381</v>
      </c>
      <c r="E6" s="1177"/>
      <c r="F6" s="1177"/>
      <c r="G6" s="1177"/>
      <c r="H6" s="1177"/>
      <c r="I6" s="1177"/>
      <c r="J6" s="1177"/>
      <c r="K6" s="1177"/>
      <c r="L6" s="1178"/>
      <c r="O6" s="868">
        <f>IF(N3=4,100%,
IF(N5=4,0%,
IF(N4=4,P5,
IF(AND(N3=3,N5=1),69%,
IF(AND(N3=2,N5=2),50%,
IF(AND(N3=1,N5=3),25%,
IF(AND(N3=3,N4=1),75%+P5/4,
IF(AND(N4=2,N3=2),50%+(P5/4*2),
IF(AND(N4=3,N3=1),25%+(P5/4*3),
IF(AND(N4=1,N5=3),P5/4,
IF(AND(N4=2,N5=2),P5/4*2,
IF(AND(N4=3,N5=1),P5/4*3,
IF(AND(N4=2,N5=1,N3=1),25%+(P5/4*2),
IF(AND(N4=1,N5=2,N3=1),25%+(P5/4),
IF(AND(N4=1,N5=1,N3=2),50%+(P5/4*1),0%)))))))))))))))</f>
        <v>0.875</v>
      </c>
    </row>
    <row r="7" spans="1:16" ht="7.5" customHeight="1" x14ac:dyDescent="0.3">
      <c r="B7" s="114"/>
      <c r="C7" s="114"/>
      <c r="D7" s="115"/>
      <c r="E7" s="115"/>
      <c r="F7" s="115"/>
      <c r="G7" s="115"/>
      <c r="H7" s="115"/>
      <c r="I7" s="115"/>
      <c r="J7" s="115"/>
      <c r="K7" s="115"/>
      <c r="L7" s="115"/>
      <c r="N7" s="868"/>
    </row>
    <row r="8" spans="1:16" s="117" customFormat="1" ht="15" customHeight="1" x14ac:dyDescent="0.3">
      <c r="A8" s="111"/>
      <c r="B8" s="1163" t="str">
        <f ca="1">' '!A173</f>
        <v>General Evaluation (1 = proceeding according to plan, 2 = be watchful = 3 critical)</v>
      </c>
      <c r="C8" s="1163"/>
      <c r="D8" s="1163"/>
      <c r="E8" s="1163"/>
      <c r="F8" s="1163"/>
      <c r="G8" s="1163"/>
      <c r="H8" s="1163"/>
      <c r="I8" s="1163"/>
      <c r="J8" s="1163"/>
      <c r="K8" s="1163"/>
      <c r="L8" s="1163"/>
      <c r="N8" s="156"/>
      <c r="O8" s="156"/>
      <c r="P8" s="156"/>
    </row>
    <row r="9" spans="1:16" s="117" customFormat="1" x14ac:dyDescent="0.3">
      <c r="A9" s="111"/>
      <c r="B9" s="154"/>
      <c r="C9" s="154"/>
      <c r="D9" s="154"/>
      <c r="E9" s="154"/>
      <c r="F9" s="154"/>
      <c r="G9" s="154"/>
      <c r="H9" s="154"/>
      <c r="I9" s="154"/>
      <c r="J9" s="154"/>
      <c r="K9" s="154"/>
      <c r="L9" s="154"/>
      <c r="N9" s="156"/>
      <c r="O9" s="155" t="s">
        <v>1146</v>
      </c>
      <c r="P9" s="869">
        <f>ABS(O6)</f>
        <v>0.875</v>
      </c>
    </row>
    <row r="10" spans="1:16" s="117" customFormat="1" ht="15" customHeight="1" x14ac:dyDescent="0.3">
      <c r="A10" s="111"/>
      <c r="B10" s="1166" t="str">
        <f ca="1">' '!A155</f>
        <v>Overall sprint</v>
      </c>
      <c r="C10" s="1166"/>
      <c r="D10" s="927" t="str">
        <f ca="1">IF($E10=1,' '!$A$181,
IF($E10=2,' '!$A$180,
IF($E10=3,' '!$A$179,"")))</f>
        <v>According to plan</v>
      </c>
      <c r="E10" s="928">
        <v>1</v>
      </c>
      <c r="F10" s="118"/>
      <c r="I10" s="154"/>
      <c r="J10" s="155"/>
      <c r="K10" s="155"/>
      <c r="L10" s="156"/>
      <c r="N10" s="156"/>
      <c r="O10" s="155" t="s">
        <v>1144</v>
      </c>
      <c r="P10" s="869">
        <v>3.0000000000000001E-3</v>
      </c>
    </row>
    <row r="11" spans="1:16" s="117" customFormat="1" ht="15" customHeight="1" x14ac:dyDescent="0.3">
      <c r="A11" s="111"/>
      <c r="B11" s="1166" t="str">
        <f ca="1">' '!A175</f>
        <v>Budget/Resources</v>
      </c>
      <c r="C11" s="1166"/>
      <c r="D11" s="927" t="str">
        <f ca="1">IF($E11=1,' '!$A$181,
IF($E11=2,' '!$A$180,
IF($E11=3,' '!$A$179,"")))</f>
        <v>Be watchful</v>
      </c>
      <c r="E11" s="928">
        <v>2</v>
      </c>
      <c r="F11" s="118"/>
      <c r="I11" s="154"/>
      <c r="J11" s="155"/>
      <c r="K11" s="155"/>
      <c r="L11" s="156"/>
      <c r="N11" s="156"/>
      <c r="O11" s="155" t="s">
        <v>64</v>
      </c>
      <c r="P11" s="869">
        <f>2-P9-P10</f>
        <v>1.1220000000000001</v>
      </c>
    </row>
    <row r="12" spans="1:16" s="117" customFormat="1" ht="15" customHeight="1" x14ac:dyDescent="0.3">
      <c r="A12" s="111"/>
      <c r="B12" s="1166" t="str">
        <f ca="1">' '!A176</f>
        <v>Quality/Goals</v>
      </c>
      <c r="C12" s="1166"/>
      <c r="D12" s="927" t="str">
        <f ca="1">IF($E12=1,' '!$A$181,
IF($E12=2,' '!$A$180,
IF($E12=3,' '!$A$179,"")))</f>
        <v>According to plan</v>
      </c>
      <c r="E12" s="928">
        <v>1</v>
      </c>
      <c r="F12" s="118"/>
      <c r="I12" s="154"/>
      <c r="J12" s="155"/>
      <c r="K12" s="155"/>
      <c r="L12" s="156"/>
      <c r="N12" s="156"/>
      <c r="O12" s="156"/>
      <c r="P12" s="156"/>
    </row>
    <row r="13" spans="1:16" s="117" customFormat="1" ht="15" customHeight="1" x14ac:dyDescent="0.3">
      <c r="A13" s="111"/>
      <c r="B13" s="1166" t="str">
        <f ca="1">' '!A177</f>
        <v>Deadlines/Planning</v>
      </c>
      <c r="C13" s="1166"/>
      <c r="D13" s="927" t="str">
        <f ca="1">IF($E13=1,' '!$A$181,
IF($E13=2,' '!$A$180,
IF($E13=3,' '!$A$179,"")))</f>
        <v>According to plan</v>
      </c>
      <c r="E13" s="928">
        <v>1</v>
      </c>
      <c r="F13" s="118"/>
      <c r="I13" s="154"/>
      <c r="J13" s="155"/>
      <c r="K13" s="155"/>
      <c r="L13" s="156"/>
      <c r="N13" s="156"/>
      <c r="O13" s="156"/>
      <c r="P13" s="870"/>
    </row>
    <row r="14" spans="1:16" s="117" customFormat="1" ht="8.25" customHeight="1" x14ac:dyDescent="0.3">
      <c r="A14" s="111"/>
      <c r="B14" s="154"/>
      <c r="C14" s="154"/>
      <c r="D14" s="154"/>
      <c r="E14" s="154"/>
      <c r="F14" s="154"/>
      <c r="G14" s="154"/>
      <c r="H14" s="154"/>
      <c r="I14" s="154"/>
      <c r="J14" s="154"/>
      <c r="K14" s="154"/>
      <c r="L14" s="154"/>
      <c r="N14" s="156"/>
      <c r="O14" s="156"/>
      <c r="P14" s="871"/>
    </row>
    <row r="15" spans="1:16" s="117" customFormat="1" x14ac:dyDescent="0.3">
      <c r="A15" s="111"/>
      <c r="B15" s="1163" t="str">
        <f ca="1">' '!A182</f>
        <v>Remarks</v>
      </c>
      <c r="C15" s="1163"/>
      <c r="D15" s="1163"/>
      <c r="E15" s="1163"/>
      <c r="F15" s="1163"/>
      <c r="G15" s="1163"/>
      <c r="H15" s="1163"/>
      <c r="I15" s="1163"/>
      <c r="J15" s="1163"/>
      <c r="K15" s="1163"/>
      <c r="L15" s="1163"/>
      <c r="N15" s="156"/>
      <c r="O15" s="156"/>
      <c r="P15" s="156"/>
    </row>
    <row r="16" spans="1:16" x14ac:dyDescent="0.3">
      <c r="B16" s="1134"/>
      <c r="C16" s="1134"/>
      <c r="D16" s="1134"/>
      <c r="E16" s="1134"/>
      <c r="F16" s="1134"/>
      <c r="G16" s="1134"/>
      <c r="H16" s="1134"/>
      <c r="I16" s="1134"/>
      <c r="J16" s="1134"/>
      <c r="K16" s="1134"/>
      <c r="L16" s="1134"/>
    </row>
    <row r="17" spans="1:12" x14ac:dyDescent="0.3">
      <c r="B17" s="1134"/>
      <c r="C17" s="1134"/>
      <c r="D17" s="1134"/>
      <c r="E17" s="1134"/>
      <c r="F17" s="1134"/>
      <c r="G17" s="1134"/>
      <c r="H17" s="1134"/>
      <c r="I17" s="1134"/>
      <c r="J17" s="1134"/>
      <c r="K17" s="1134"/>
      <c r="L17" s="1134"/>
    </row>
    <row r="18" spans="1:12" x14ac:dyDescent="0.3">
      <c r="B18" s="1134"/>
      <c r="C18" s="1134"/>
      <c r="D18" s="1134"/>
      <c r="E18" s="1134"/>
      <c r="F18" s="1134"/>
      <c r="G18" s="1134"/>
      <c r="H18" s="1134"/>
      <c r="I18" s="1134"/>
      <c r="J18" s="1134"/>
      <c r="K18" s="1134"/>
      <c r="L18" s="1134"/>
    </row>
    <row r="19" spans="1:12" x14ac:dyDescent="0.3">
      <c r="B19" s="1134"/>
      <c r="C19" s="1134"/>
      <c r="D19" s="1134"/>
      <c r="E19" s="1134"/>
      <c r="F19" s="1134"/>
      <c r="G19" s="1134"/>
      <c r="H19" s="1134"/>
      <c r="I19" s="1134"/>
      <c r="J19" s="1134"/>
      <c r="K19" s="1134"/>
      <c r="L19" s="1134"/>
    </row>
    <row r="20" spans="1:12" x14ac:dyDescent="0.3">
      <c r="B20" s="1134"/>
      <c r="C20" s="1134"/>
      <c r="D20" s="1134"/>
      <c r="E20" s="1134"/>
      <c r="F20" s="1134"/>
      <c r="G20" s="1134"/>
      <c r="H20" s="1134"/>
      <c r="I20" s="1134"/>
      <c r="J20" s="1134"/>
      <c r="K20" s="1134"/>
      <c r="L20" s="1134"/>
    </row>
    <row r="21" spans="1:12" x14ac:dyDescent="0.3">
      <c r="B21" s="1134"/>
      <c r="C21" s="1134"/>
      <c r="D21" s="1134"/>
      <c r="E21" s="1134"/>
      <c r="F21" s="1134"/>
      <c r="G21" s="1134"/>
      <c r="H21" s="1134"/>
      <c r="I21" s="1134"/>
      <c r="J21" s="1134"/>
      <c r="K21" s="1134"/>
      <c r="L21" s="1134"/>
    </row>
    <row r="22" spans="1:12" ht="3" customHeight="1" x14ac:dyDescent="0.3">
      <c r="B22" s="157"/>
      <c r="C22" s="157"/>
      <c r="D22" s="157"/>
      <c r="E22" s="157"/>
      <c r="F22" s="157"/>
      <c r="G22" s="157"/>
      <c r="H22" s="157"/>
      <c r="I22" s="157"/>
      <c r="J22" s="157"/>
      <c r="K22" s="157"/>
      <c r="L22" s="157"/>
    </row>
    <row r="23" spans="1:12" ht="15" customHeight="1" x14ac:dyDescent="0.3">
      <c r="B23" s="1163" t="str">
        <f ca="1">' '!A156</f>
        <v>Sprint goals</v>
      </c>
      <c r="C23" s="1163"/>
      <c r="D23" s="1163"/>
      <c r="E23" s="1163"/>
      <c r="F23" s="1163"/>
      <c r="G23" s="1163"/>
      <c r="H23" s="1163"/>
      <c r="I23" s="1163"/>
      <c r="J23" s="1163"/>
      <c r="K23" s="1003"/>
      <c r="L23" s="1010" t="str">
        <f ca="1">' '!A189</f>
        <v xml:space="preserve"> In %</v>
      </c>
    </row>
    <row r="24" spans="1:12" x14ac:dyDescent="0.3">
      <c r="A24" s="119" t="s">
        <v>12</v>
      </c>
      <c r="B24" s="1167" t="str">
        <f>IF(SprintReview!B8&lt;&gt;"",SprintReview!B8,"")</f>
        <v>1 iPhone users need access to a vertical view of the live feed when using the mobile app in order to see the whole picture.</v>
      </c>
      <c r="C24" s="1167"/>
      <c r="D24" s="1167"/>
      <c r="E24" s="1167"/>
      <c r="F24" s="1167"/>
      <c r="G24" s="1167"/>
      <c r="H24" s="1167"/>
      <c r="I24" s="1167"/>
      <c r="J24" s="1167"/>
      <c r="K24" s="1167"/>
      <c r="L24" s="929">
        <v>0.5</v>
      </c>
    </row>
    <row r="25" spans="1:12" x14ac:dyDescent="0.3">
      <c r="A25" s="119" t="s">
        <v>13</v>
      </c>
      <c r="B25" s="1167" t="str">
        <f>IF(SprintReview!B9&lt;&gt;"",SprintReview!B9,"")</f>
        <v>1.1 Desktop users need a “view fullscreen” button in the lower right-hand corner of the video player in order to see the whole picture.</v>
      </c>
      <c r="C25" s="1167"/>
      <c r="D25" s="1167"/>
      <c r="E25" s="1167"/>
      <c r="F25" s="1167"/>
      <c r="G25" s="1167"/>
      <c r="H25" s="1167"/>
      <c r="I25" s="1167"/>
      <c r="J25" s="1167"/>
      <c r="K25" s="1167"/>
      <c r="L25" s="929">
        <v>0.3</v>
      </c>
    </row>
    <row r="26" spans="1:12" x14ac:dyDescent="0.3">
      <c r="A26" s="119" t="s">
        <v>8</v>
      </c>
      <c r="B26" s="1167" t="str">
        <f>IF(SprintReview!B10&lt;&gt;"",SprintReview!B10,"")</f>
        <v>Target 3</v>
      </c>
      <c r="C26" s="1167"/>
      <c r="D26" s="1167"/>
      <c r="E26" s="1167"/>
      <c r="F26" s="1167"/>
      <c r="G26" s="1167"/>
      <c r="H26" s="1167"/>
      <c r="I26" s="1167"/>
      <c r="J26" s="1167"/>
      <c r="K26" s="1167"/>
      <c r="L26" s="158"/>
    </row>
    <row r="27" spans="1:12" x14ac:dyDescent="0.3">
      <c r="A27" s="119" t="s">
        <v>9</v>
      </c>
      <c r="B27" s="1167" t="str">
        <f>IF(SprintReview!B11&lt;&gt;"",SprintReview!B11,"")</f>
        <v/>
      </c>
      <c r="C27" s="1167"/>
      <c r="D27" s="1167"/>
      <c r="E27" s="1167"/>
      <c r="F27" s="1167"/>
      <c r="G27" s="1167"/>
      <c r="H27" s="1167"/>
      <c r="I27" s="1167"/>
      <c r="J27" s="1167"/>
      <c r="K27" s="1167"/>
      <c r="L27" s="158"/>
    </row>
    <row r="28" spans="1:12" s="117" customFormat="1" x14ac:dyDescent="0.3">
      <c r="A28" s="111"/>
      <c r="B28" s="1163" t="str">
        <f ca="1">' '!A183</f>
        <v>Achievements (last period)</v>
      </c>
      <c r="C28" s="1163"/>
      <c r="D28" s="1164"/>
      <c r="E28" s="1164"/>
      <c r="F28" s="1164"/>
      <c r="G28" s="1164"/>
      <c r="H28" s="1164"/>
      <c r="I28" s="1164"/>
      <c r="J28" s="1164"/>
      <c r="K28" s="1164"/>
      <c r="L28" s="1164"/>
    </row>
    <row r="29" spans="1:12" s="117" customFormat="1" x14ac:dyDescent="0.3">
      <c r="A29" s="119" t="s">
        <v>12</v>
      </c>
      <c r="B29" s="1134"/>
      <c r="C29" s="1134"/>
      <c r="D29" s="1134"/>
      <c r="E29" s="1134"/>
      <c r="F29" s="1134"/>
      <c r="G29" s="1134"/>
      <c r="H29" s="1134"/>
      <c r="I29" s="1134"/>
      <c r="J29" s="1134"/>
      <c r="K29" s="1134"/>
      <c r="L29" s="1134"/>
    </row>
    <row r="30" spans="1:12" s="117" customFormat="1" x14ac:dyDescent="0.3">
      <c r="A30" s="119" t="s">
        <v>13</v>
      </c>
      <c r="B30" s="1134"/>
      <c r="C30" s="1134"/>
      <c r="D30" s="1134"/>
      <c r="E30" s="1134"/>
      <c r="F30" s="1134"/>
      <c r="G30" s="1134"/>
      <c r="H30" s="1134"/>
      <c r="I30" s="1134"/>
      <c r="J30" s="1134"/>
      <c r="K30" s="1134"/>
      <c r="L30" s="1134"/>
    </row>
    <row r="31" spans="1:12" s="117" customFormat="1" x14ac:dyDescent="0.3">
      <c r="A31" s="119" t="s">
        <v>8</v>
      </c>
      <c r="B31" s="1134"/>
      <c r="C31" s="1134"/>
      <c r="D31" s="1134"/>
      <c r="E31" s="1134"/>
      <c r="F31" s="1134"/>
      <c r="G31" s="1134"/>
      <c r="H31" s="1134"/>
      <c r="I31" s="1134"/>
      <c r="J31" s="1134"/>
      <c r="K31" s="1134"/>
      <c r="L31" s="1134"/>
    </row>
    <row r="32" spans="1:12" s="117" customFormat="1" x14ac:dyDescent="0.3">
      <c r="A32" s="119" t="s">
        <v>9</v>
      </c>
      <c r="B32" s="1134"/>
      <c r="C32" s="1134"/>
      <c r="D32" s="1134"/>
      <c r="E32" s="1134"/>
      <c r="F32" s="1134"/>
      <c r="G32" s="1134"/>
      <c r="H32" s="1134"/>
      <c r="I32" s="1134"/>
      <c r="J32" s="1134"/>
      <c r="K32" s="1134"/>
      <c r="L32" s="1134"/>
    </row>
    <row r="33" spans="1:12" s="117" customFormat="1" x14ac:dyDescent="0.3">
      <c r="A33" s="119" t="s">
        <v>10</v>
      </c>
      <c r="B33" s="1134"/>
      <c r="C33" s="1134"/>
      <c r="D33" s="1134"/>
      <c r="E33" s="1134"/>
      <c r="F33" s="1134"/>
      <c r="G33" s="1134"/>
      <c r="H33" s="1134"/>
      <c r="I33" s="1134"/>
      <c r="J33" s="1134"/>
      <c r="K33" s="1134"/>
      <c r="L33" s="1134"/>
    </row>
    <row r="34" spans="1:12" s="117" customFormat="1" x14ac:dyDescent="0.3">
      <c r="A34" s="119" t="s">
        <v>11</v>
      </c>
      <c r="B34" s="1134"/>
      <c r="C34" s="1134"/>
      <c r="D34" s="1134"/>
      <c r="E34" s="1134"/>
      <c r="F34" s="1134"/>
      <c r="G34" s="1134"/>
      <c r="H34" s="1134"/>
      <c r="I34" s="1134"/>
      <c r="J34" s="1134"/>
      <c r="K34" s="1134"/>
      <c r="L34" s="1134"/>
    </row>
    <row r="35" spans="1:12" s="117" customFormat="1" ht="14.4" customHeight="1" x14ac:dyDescent="0.3">
      <c r="A35" s="119"/>
      <c r="B35" s="1005" t="str">
        <f ca="1">' '!A184</f>
        <v>Particular problems (last period)</v>
      </c>
      <c r="C35" s="1006"/>
      <c r="D35" s="1003"/>
      <c r="E35" s="1003"/>
      <c r="F35" s="1003"/>
      <c r="G35" s="1003"/>
      <c r="H35" s="1003"/>
      <c r="I35" s="1003"/>
      <c r="J35" s="1007"/>
      <c r="K35" s="1008"/>
      <c r="L35" s="1009"/>
    </row>
    <row r="36" spans="1:12" s="117" customFormat="1" x14ac:dyDescent="0.3">
      <c r="A36" s="119" t="s">
        <v>12</v>
      </c>
      <c r="B36" s="1134"/>
      <c r="C36" s="1134"/>
      <c r="D36" s="1134"/>
      <c r="E36" s="1134"/>
      <c r="F36" s="1134"/>
      <c r="G36" s="1134"/>
      <c r="H36" s="1134"/>
      <c r="I36" s="1134"/>
      <c r="J36" s="1134"/>
      <c r="K36" s="1134"/>
      <c r="L36" s="1134"/>
    </row>
    <row r="37" spans="1:12" s="117" customFormat="1" x14ac:dyDescent="0.3">
      <c r="A37" s="119" t="s">
        <v>13</v>
      </c>
      <c r="B37" s="1134"/>
      <c r="C37" s="1134"/>
      <c r="D37" s="1134"/>
      <c r="E37" s="1134"/>
      <c r="F37" s="1134"/>
      <c r="G37" s="1134"/>
      <c r="H37" s="1134"/>
      <c r="I37" s="1134"/>
      <c r="J37" s="1134"/>
      <c r="K37" s="1134"/>
      <c r="L37" s="1134"/>
    </row>
    <row r="38" spans="1:12" s="117" customFormat="1" x14ac:dyDescent="0.3">
      <c r="A38" s="119" t="s">
        <v>8</v>
      </c>
      <c r="B38" s="1134"/>
      <c r="C38" s="1134"/>
      <c r="D38" s="1134"/>
      <c r="E38" s="1134"/>
      <c r="F38" s="1134"/>
      <c r="G38" s="1134"/>
      <c r="H38" s="1134"/>
      <c r="I38" s="1134"/>
      <c r="J38" s="1134"/>
      <c r="K38" s="1134"/>
      <c r="L38" s="1134"/>
    </row>
    <row r="39" spans="1:12" s="117" customFormat="1" x14ac:dyDescent="0.3">
      <c r="A39" s="119" t="s">
        <v>9</v>
      </c>
      <c r="B39" s="1134"/>
      <c r="C39" s="1134"/>
      <c r="D39" s="1134"/>
      <c r="E39" s="1134"/>
      <c r="F39" s="1134"/>
      <c r="G39" s="1134"/>
      <c r="H39" s="1134"/>
      <c r="I39" s="1134"/>
      <c r="J39" s="1134"/>
      <c r="K39" s="1134"/>
      <c r="L39" s="1134"/>
    </row>
    <row r="40" spans="1:12" s="117" customFormat="1" x14ac:dyDescent="0.3">
      <c r="A40" s="119" t="s">
        <v>10</v>
      </c>
      <c r="B40" s="1134"/>
      <c r="C40" s="1134"/>
      <c r="D40" s="1134"/>
      <c r="E40" s="1134"/>
      <c r="F40" s="1134"/>
      <c r="G40" s="1134"/>
      <c r="H40" s="1134"/>
      <c r="I40" s="1134"/>
      <c r="J40" s="1134"/>
      <c r="K40" s="1134"/>
      <c r="L40" s="1134"/>
    </row>
    <row r="41" spans="1:12" s="117" customFormat="1" ht="15" customHeight="1" x14ac:dyDescent="0.3">
      <c r="A41" s="119"/>
      <c r="B41" s="1166" t="str">
        <f ca="1">' '!A185</f>
        <v>Challenges (next period)</v>
      </c>
      <c r="C41" s="1166"/>
      <c r="D41" s="1166"/>
      <c r="E41" s="1166"/>
      <c r="F41" s="1166"/>
      <c r="G41" s="1166"/>
      <c r="H41" s="1166"/>
      <c r="I41" s="1166"/>
      <c r="J41" s="1166"/>
      <c r="K41" s="1008"/>
      <c r="L41" s="1009"/>
    </row>
    <row r="42" spans="1:12" s="117" customFormat="1" x14ac:dyDescent="0.3">
      <c r="A42" s="119" t="s">
        <v>12</v>
      </c>
      <c r="B42" s="1134"/>
      <c r="C42" s="1134"/>
      <c r="D42" s="1134"/>
      <c r="E42" s="1134"/>
      <c r="F42" s="1134"/>
      <c r="G42" s="1134"/>
      <c r="H42" s="1134"/>
      <c r="I42" s="1134"/>
      <c r="J42" s="1134"/>
      <c r="K42" s="1134"/>
      <c r="L42" s="1134"/>
    </row>
    <row r="43" spans="1:12" s="117" customFormat="1" x14ac:dyDescent="0.3">
      <c r="A43" s="119" t="s">
        <v>13</v>
      </c>
      <c r="B43" s="1134"/>
      <c r="C43" s="1134"/>
      <c r="D43" s="1134"/>
      <c r="E43" s="1134"/>
      <c r="F43" s="1134"/>
      <c r="G43" s="1134"/>
      <c r="H43" s="1134"/>
      <c r="I43" s="1134"/>
      <c r="J43" s="1134"/>
      <c r="K43" s="1134"/>
      <c r="L43" s="1134"/>
    </row>
    <row r="44" spans="1:12" s="117" customFormat="1" x14ac:dyDescent="0.3">
      <c r="A44" s="119" t="s">
        <v>8</v>
      </c>
      <c r="B44" s="1134"/>
      <c r="C44" s="1134"/>
      <c r="D44" s="1134"/>
      <c r="E44" s="1134"/>
      <c r="F44" s="1134"/>
      <c r="G44" s="1134"/>
      <c r="H44" s="1134"/>
      <c r="I44" s="1134"/>
      <c r="J44" s="1134"/>
      <c r="K44" s="1134"/>
      <c r="L44" s="1134"/>
    </row>
    <row r="45" spans="1:12" s="117" customFormat="1" x14ac:dyDescent="0.3">
      <c r="A45" s="119" t="s">
        <v>9</v>
      </c>
      <c r="B45" s="1134"/>
      <c r="C45" s="1134"/>
      <c r="D45" s="1134"/>
      <c r="E45" s="1134"/>
      <c r="F45" s="1134"/>
      <c r="G45" s="1134"/>
      <c r="H45" s="1134"/>
      <c r="I45" s="1134"/>
      <c r="J45" s="1134"/>
      <c r="K45" s="1134"/>
      <c r="L45" s="1134"/>
    </row>
    <row r="46" spans="1:12" s="117" customFormat="1" ht="15" customHeight="1" x14ac:dyDescent="0.3">
      <c r="A46" s="159">
        <v>0</v>
      </c>
      <c r="B46" s="1160" t="str">
        <f ca="1">' '!A192</f>
        <v>Next milestone:</v>
      </c>
      <c r="C46" s="1161"/>
      <c r="D46" s="1162"/>
      <c r="E46" s="1162"/>
      <c r="F46" s="1162"/>
      <c r="G46" s="1162"/>
      <c r="H46" s="1162"/>
      <c r="I46" s="1162"/>
      <c r="J46" s="1162"/>
      <c r="K46" s="1162"/>
      <c r="L46" s="1162"/>
    </row>
    <row r="47" spans="1:12" s="117" customFormat="1" ht="3.75" customHeight="1" x14ac:dyDescent="0.3">
      <c r="A47" s="160"/>
      <c r="B47" s="161"/>
      <c r="C47" s="162"/>
      <c r="D47" s="994"/>
      <c r="E47" s="993"/>
      <c r="F47" s="993"/>
      <c r="G47" s="993"/>
      <c r="H47" s="993"/>
      <c r="I47" s="993"/>
      <c r="J47" s="993"/>
      <c r="K47" s="993"/>
      <c r="L47" s="993"/>
    </row>
    <row r="48" spans="1:12" s="117" customFormat="1" ht="15" customHeight="1" x14ac:dyDescent="0.3">
      <c r="A48" s="111"/>
      <c r="B48" s="1163" t="str">
        <f ca="1">Projektauftrag!B29</f>
        <v>Budget / Resources / Persons</v>
      </c>
      <c r="C48" s="1163"/>
      <c r="D48" s="1164"/>
      <c r="E48" s="1164"/>
      <c r="F48" s="1164"/>
      <c r="G48" s="1164"/>
      <c r="H48" s="1164"/>
      <c r="I48" s="1164"/>
      <c r="J48" s="1164"/>
      <c r="K48" s="1164"/>
      <c r="L48" s="1164"/>
    </row>
    <row r="49" spans="1:12" s="117" customFormat="1" ht="15" customHeight="1" x14ac:dyDescent="0.3">
      <c r="A49" s="111"/>
      <c r="B49" s="120"/>
      <c r="C49" s="120"/>
      <c r="D49" s="120"/>
      <c r="E49" s="120"/>
      <c r="F49" s="120"/>
      <c r="H49" s="1165" t="str">
        <f ca="1">Projektauftrag!$G$30</f>
        <v>Plan</v>
      </c>
      <c r="I49" s="1165"/>
      <c r="J49" s="723" t="str">
        <f ca="1">Projektauftrag!$H$30</f>
        <v>Actual state</v>
      </c>
      <c r="K49" s="996"/>
      <c r="L49" s="723" t="str">
        <f ca="1">Projektauftrag!$J$30</f>
        <v>Balance</v>
      </c>
    </row>
    <row r="50" spans="1:12" s="117" customFormat="1" ht="21" customHeight="1" x14ac:dyDescent="0.3">
      <c r="A50" s="111"/>
      <c r="B50" s="1001" t="str">
        <f ca="1">Projektauftrag!B31</f>
        <v>Internal resources [CHF]</v>
      </c>
      <c r="C50" s="1002"/>
      <c r="D50" s="1002"/>
      <c r="E50" s="1002"/>
      <c r="F50" s="1002"/>
      <c r="G50" s="1003"/>
      <c r="H50" s="1153">
        <f>Projektbudget!AT24</f>
        <v>500</v>
      </c>
      <c r="I50" s="1154"/>
      <c r="J50" s="1004">
        <f>Projektbudget!BJ24</f>
        <v>500</v>
      </c>
      <c r="K50" s="122">
        <f>IFERROR(IF(AND(H50&gt;0,(J50/H50*100)=100),80,
IF(H50&gt;0,(J50/H50*100),"")),0)</f>
        <v>80</v>
      </c>
      <c r="L50" s="1004">
        <f>Projektbudget!BZ24</f>
        <v>0</v>
      </c>
    </row>
    <row r="51" spans="1:12" s="117" customFormat="1" ht="6" customHeight="1" x14ac:dyDescent="0.3">
      <c r="A51" s="111"/>
      <c r="B51" s="120"/>
      <c r="C51" s="120"/>
      <c r="D51" s="120"/>
      <c r="E51" s="120"/>
      <c r="F51" s="120"/>
      <c r="H51" s="164"/>
      <c r="I51" s="165"/>
      <c r="J51" s="166"/>
      <c r="K51" s="125"/>
      <c r="L51" s="166"/>
    </row>
    <row r="52" spans="1:12" s="117" customFormat="1" ht="21" customHeight="1" x14ac:dyDescent="0.3">
      <c r="A52" s="111"/>
      <c r="B52" s="1001" t="str">
        <f ca="1">Projektauftrag!B33</f>
        <v>External resources [CHF]</v>
      </c>
      <c r="C52" s="1002"/>
      <c r="D52" s="1002"/>
      <c r="E52" s="1002"/>
      <c r="F52" s="1002"/>
      <c r="G52" s="1003"/>
      <c r="H52" s="1153">
        <f>Projektbudget!AT59</f>
        <v>0</v>
      </c>
      <c r="I52" s="1154">
        <f>Projektauftrag!$G$33</f>
        <v>0</v>
      </c>
      <c r="J52" s="1004">
        <f>Projektbudget!BJ59</f>
        <v>0</v>
      </c>
      <c r="K52" s="122">
        <f>IFERROR(IF(AND(H52&gt;0,(J52/H52*100)=100),80,
IF(H52&gt;0,(J52/H52*100),"")),0)</f>
        <v>0</v>
      </c>
      <c r="L52" s="1004">
        <f>Projektbudget!BZ59</f>
        <v>0</v>
      </c>
    </row>
    <row r="53" spans="1:12" s="117" customFormat="1" ht="6" customHeight="1" x14ac:dyDescent="0.3">
      <c r="A53" s="105"/>
      <c r="B53" s="120"/>
      <c r="C53" s="120"/>
      <c r="D53" s="120"/>
      <c r="E53" s="120"/>
      <c r="F53" s="120"/>
      <c r="H53" s="164"/>
      <c r="I53" s="165"/>
      <c r="J53" s="166"/>
      <c r="K53" s="125"/>
      <c r="L53" s="167"/>
    </row>
    <row r="54" spans="1:12" s="117" customFormat="1" ht="21" customHeight="1" x14ac:dyDescent="0.3">
      <c r="A54" s="111"/>
      <c r="B54" s="998" t="str">
        <f ca="1">Projektauftrag!B35</f>
        <v>TOTAL RESOURCES</v>
      </c>
      <c r="C54" s="1011"/>
      <c r="D54" s="1011"/>
      <c r="E54" s="1011"/>
      <c r="F54" s="1011"/>
      <c r="G54" s="999"/>
      <c r="H54" s="1155">
        <f>Projektbudget!AT61</f>
        <v>500</v>
      </c>
      <c r="I54" s="1156">
        <f>Projektauftrag!$G$35</f>
        <v>500</v>
      </c>
      <c r="J54" s="1000">
        <f>Projektbudget!BJ61</f>
        <v>500</v>
      </c>
      <c r="K54" s="122">
        <f>IFERROR(IF(AND(H54&gt;0,(J54/H54*100)=100),80,
IF(H54&gt;0,(J54/H54*100),"")),0)</f>
        <v>80</v>
      </c>
      <c r="L54" s="1000">
        <f>Projektbudget!BZ61</f>
        <v>0</v>
      </c>
    </row>
    <row r="55" spans="1:12" s="117" customFormat="1" ht="6" customHeight="1" x14ac:dyDescent="0.3">
      <c r="A55" s="111"/>
      <c r="B55" s="120"/>
      <c r="C55" s="120"/>
      <c r="D55" s="120"/>
      <c r="E55" s="120"/>
      <c r="F55" s="120"/>
      <c r="H55" s="164"/>
      <c r="I55" s="165"/>
      <c r="J55" s="166"/>
      <c r="K55" s="125"/>
      <c r="L55" s="166"/>
    </row>
    <row r="56" spans="1:12" s="117" customFormat="1" ht="21" customHeight="1" x14ac:dyDescent="0.3">
      <c r="A56" s="111"/>
      <c r="B56" s="1001" t="str">
        <f ca="1">' '!A236</f>
        <v>External financing (eg customers, subsidies etc.)</v>
      </c>
      <c r="C56" s="1002"/>
      <c r="D56" s="1002"/>
      <c r="E56" s="1002"/>
      <c r="F56" s="1002"/>
      <c r="G56" s="1003"/>
      <c r="H56" s="1153">
        <f>Projektbudget!AT77</f>
        <v>0</v>
      </c>
      <c r="I56" s="1154"/>
      <c r="J56" s="1004">
        <f>Projektbudget!BJ77</f>
        <v>0</v>
      </c>
      <c r="K56" s="122"/>
      <c r="L56" s="1004">
        <f>Projektbudget!BZ77</f>
        <v>0</v>
      </c>
    </row>
    <row r="57" spans="1:12" s="117" customFormat="1" ht="6" customHeight="1" x14ac:dyDescent="0.3">
      <c r="A57" s="105"/>
      <c r="B57" s="120"/>
      <c r="C57" s="120"/>
      <c r="D57" s="120"/>
      <c r="E57" s="120"/>
      <c r="F57" s="120"/>
      <c r="I57" s="127"/>
      <c r="J57" s="127"/>
      <c r="K57" s="125"/>
      <c r="L57" s="168"/>
    </row>
    <row r="58" spans="1:12" s="117" customFormat="1" x14ac:dyDescent="0.3">
      <c r="A58" s="111"/>
      <c r="B58" s="96" t="str">
        <f ca="1">Projektauftrag!B49</f>
        <v>Remarks / attachments</v>
      </c>
      <c r="C58" s="169"/>
      <c r="D58" s="169"/>
      <c r="E58" s="169"/>
      <c r="F58" s="169"/>
      <c r="G58" s="169"/>
      <c r="H58" s="169"/>
      <c r="I58" s="169"/>
      <c r="J58" s="169"/>
      <c r="K58" s="169"/>
      <c r="L58" s="169"/>
    </row>
    <row r="59" spans="1:12" s="117" customFormat="1" x14ac:dyDescent="0.3">
      <c r="A59" s="111"/>
      <c r="B59" s="1157"/>
      <c r="C59" s="1158"/>
      <c r="D59" s="1158"/>
      <c r="E59" s="1158"/>
      <c r="F59" s="1158"/>
      <c r="G59" s="1158"/>
      <c r="H59" s="1158"/>
      <c r="I59" s="1158"/>
      <c r="J59" s="1158"/>
      <c r="K59" s="1158"/>
      <c r="L59" s="1159"/>
    </row>
    <row r="60" spans="1:12" s="117" customFormat="1" x14ac:dyDescent="0.3">
      <c r="A60" s="111"/>
      <c r="B60" s="1148"/>
      <c r="C60" s="1141"/>
      <c r="D60" s="1141"/>
      <c r="E60" s="1141"/>
      <c r="F60" s="1141"/>
      <c r="G60" s="1141"/>
      <c r="H60" s="1141"/>
      <c r="I60" s="1141"/>
      <c r="J60" s="1141"/>
      <c r="K60" s="1141"/>
      <c r="L60" s="1149"/>
    </row>
    <row r="61" spans="1:12" s="117" customFormat="1" x14ac:dyDescent="0.3">
      <c r="A61" s="111"/>
      <c r="B61" s="1148"/>
      <c r="C61" s="1141"/>
      <c r="D61" s="1141"/>
      <c r="E61" s="1141"/>
      <c r="F61" s="1141"/>
      <c r="G61" s="1141"/>
      <c r="H61" s="1141"/>
      <c r="I61" s="1141"/>
      <c r="J61" s="1141"/>
      <c r="K61" s="1141"/>
      <c r="L61" s="1149"/>
    </row>
    <row r="62" spans="1:12" s="117" customFormat="1" x14ac:dyDescent="0.3">
      <c r="A62" s="111"/>
      <c r="B62" s="1148"/>
      <c r="C62" s="1141"/>
      <c r="D62" s="1141"/>
      <c r="E62" s="1141"/>
      <c r="F62" s="1141"/>
      <c r="G62" s="1141"/>
      <c r="H62" s="1141"/>
      <c r="I62" s="1141"/>
      <c r="J62" s="1141"/>
      <c r="K62" s="1141"/>
      <c r="L62" s="1149"/>
    </row>
    <row r="63" spans="1:12" s="117" customFormat="1" x14ac:dyDescent="0.3">
      <c r="A63" s="128"/>
      <c r="B63" s="1150"/>
      <c r="C63" s="1151"/>
      <c r="D63" s="1151"/>
      <c r="E63" s="1151"/>
      <c r="F63" s="1151"/>
      <c r="G63" s="1151"/>
      <c r="H63" s="1151"/>
      <c r="I63" s="1151"/>
      <c r="J63" s="1151"/>
      <c r="K63" s="1151"/>
      <c r="L63" s="1152"/>
    </row>
    <row r="64" spans="1:12" s="117" customFormat="1" x14ac:dyDescent="0.3">
      <c r="A64" s="111"/>
      <c r="B64" s="129" t="s">
        <v>1136</v>
      </c>
      <c r="C64" s="78"/>
    </row>
  </sheetData>
  <sheetProtection sheet="1" objects="1" scenarios="1" formatCells="0" formatColumns="0" formatRows="0" insertHyperlinks="0" selectLockedCells="1" sort="0" autoFilter="0"/>
  <mergeCells count="56">
    <mergeCell ref="B3:C3"/>
    <mergeCell ref="E3:G3"/>
    <mergeCell ref="H3:I3"/>
    <mergeCell ref="J3:K3"/>
    <mergeCell ref="B4:C4"/>
    <mergeCell ref="E4:G4"/>
    <mergeCell ref="H4:I4"/>
    <mergeCell ref="J4:K4"/>
    <mergeCell ref="B5:C5"/>
    <mergeCell ref="E5:G5"/>
    <mergeCell ref="H5:I5"/>
    <mergeCell ref="J5:K5"/>
    <mergeCell ref="B6:C6"/>
    <mergeCell ref="D6:L6"/>
    <mergeCell ref="B27:K27"/>
    <mergeCell ref="B8:L8"/>
    <mergeCell ref="B10:C10"/>
    <mergeCell ref="B11:C11"/>
    <mergeCell ref="B12:C12"/>
    <mergeCell ref="B13:C13"/>
    <mergeCell ref="B15:L15"/>
    <mergeCell ref="B16:L21"/>
    <mergeCell ref="B23:J23"/>
    <mergeCell ref="B24:K24"/>
    <mergeCell ref="B25:K25"/>
    <mergeCell ref="B26:K26"/>
    <mergeCell ref="B38:L38"/>
    <mergeCell ref="B28:L28"/>
    <mergeCell ref="B29:L29"/>
    <mergeCell ref="B30:L30"/>
    <mergeCell ref="B31:L31"/>
    <mergeCell ref="B32:L32"/>
    <mergeCell ref="B33:L33"/>
    <mergeCell ref="B34:L34"/>
    <mergeCell ref="B36:L36"/>
    <mergeCell ref="B37:L37"/>
    <mergeCell ref="B39:L39"/>
    <mergeCell ref="B40:L40"/>
    <mergeCell ref="B41:J41"/>
    <mergeCell ref="B42:L42"/>
    <mergeCell ref="B43:L43"/>
    <mergeCell ref="B62:L62"/>
    <mergeCell ref="B63:L63"/>
    <mergeCell ref="B44:L44"/>
    <mergeCell ref="H52:I52"/>
    <mergeCell ref="H54:I54"/>
    <mergeCell ref="H56:I56"/>
    <mergeCell ref="B59:L59"/>
    <mergeCell ref="B60:L60"/>
    <mergeCell ref="B61:L61"/>
    <mergeCell ref="B45:L45"/>
    <mergeCell ref="B46:C46"/>
    <mergeCell ref="D46:L46"/>
    <mergeCell ref="B48:L48"/>
    <mergeCell ref="H49:I49"/>
    <mergeCell ref="H50:I50"/>
  </mergeCells>
  <conditionalFormatting sqref="E10:E13">
    <cfRule type="iconSet" priority="19">
      <iconSet iconSet="3Symbols2" showValue="0" reverse="1">
        <cfvo type="percent" val="0"/>
        <cfvo type="num" val="1.25"/>
        <cfvo type="num" val="2.25"/>
      </iconSet>
    </cfRule>
  </conditionalFormatting>
  <conditionalFormatting sqref="L50 L52 L54">
    <cfRule type="cellIs" dxfId="160" priority="18" operator="lessThan">
      <formula>0</formula>
    </cfRule>
  </conditionalFormatting>
  <conditionalFormatting sqref="L56">
    <cfRule type="cellIs" dxfId="159" priority="15" operator="lessThan">
      <formula>0</formula>
    </cfRule>
  </conditionalFormatting>
  <conditionalFormatting sqref="L24:L27">
    <cfRule type="dataBar" priority="13">
      <dataBar>
        <cfvo type="num" val="0"/>
        <cfvo type="num" val="1"/>
        <color rgb="FF357A7F"/>
      </dataBar>
      <extLst>
        <ext xmlns:x14="http://schemas.microsoft.com/office/spreadsheetml/2009/9/main" uri="{B025F937-C7B1-47D3-B67F-A62EFF666E3E}">
          <x14:id>{F6DB2AC8-4887-4E32-894A-F4AAB449CDC7}</x14:id>
        </ext>
      </extLst>
    </cfRule>
  </conditionalFormatting>
  <conditionalFormatting sqref="M24:M27">
    <cfRule type="expression" dxfId="158" priority="1">
      <formula>$A24=1</formula>
    </cfRule>
    <cfRule type="expression" dxfId="157" priority="2">
      <formula>$A24=2</formula>
    </cfRule>
    <cfRule type="expression" dxfId="156" priority="3">
      <formula>$A24=3</formula>
    </cfRule>
    <cfRule type="expression" dxfId="155" priority="4">
      <formula>$A24=4</formula>
    </cfRule>
    <cfRule type="expression" dxfId="154" priority="5">
      <formula>$A24=5</formula>
    </cfRule>
    <cfRule type="expression" dxfId="153" priority="6">
      <formula>$A24=6</formula>
    </cfRule>
    <cfRule type="expression" dxfId="152" priority="7">
      <formula>$A24=7</formula>
    </cfRule>
    <cfRule type="expression" dxfId="151" priority="8">
      <formula>$A24=8</formula>
    </cfRule>
    <cfRule type="expression" dxfId="150" priority="9">
      <formula>$A24=9</formula>
    </cfRule>
    <cfRule type="expression" dxfId="149" priority="10">
      <formula>$A24=10</formula>
    </cfRule>
  </conditionalFormatting>
  <dataValidations count="2">
    <dataValidation type="date" errorStyle="warning" operator="greaterThanOrEqual" allowBlank="1" showInputMessage="1" showErrorMessage="1" errorTitle="Falsches Datum - Fausse date!" sqref="H5:I5" xr:uid="{D15569A8-88BB-4799-BE9E-67FD11EE5E84}">
      <formula1>TODAY()</formula1>
    </dataValidation>
    <dataValidation type="list" allowBlank="1" showInputMessage="1" showErrorMessage="1" sqref="E10:E13" xr:uid="{6102C73D-F6B7-4A01-B705-803EA5506F04}">
      <formula1>"1,2,3"</formula1>
    </dataValidation>
  </dataValidations>
  <pageMargins left="0.19685039370078741" right="0.19685039370078741" top="0.11811023622047245" bottom="0.23622047244094491" header="0" footer="0.19685039370078741"/>
  <pageSetup paperSize="9" scale="85" orientation="portrait" r:id="rId1"/>
  <headerFooter scaleWithDoc="0">
    <oddFooter>&amp;L&amp;8&amp;K01+049(c) s. imboden&amp;C&amp;8&amp;K01+049printed &amp;D&amp;R&amp;8&amp;K03+000&amp;P/&amp;N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F6DB2AC8-4887-4E32-894A-F4AAB449CDC7}">
            <x14:dataBar minLength="0" maxLength="100" border="1" negativeBarBorderColorSameAsPositive="0">
              <x14:cfvo type="num">
                <xm:f>0</xm:f>
              </x14:cfvo>
              <x14:cfvo type="num">
                <xm:f>1</xm:f>
              </x14:cfvo>
              <x14:borderColor rgb="FFD0D9E8"/>
              <x14:negativeFillColor rgb="FFFF0000"/>
              <x14:negativeBorderColor rgb="FFFF0000"/>
              <x14:axisColor rgb="FF000000"/>
            </x14:dataBar>
          </x14:cfRule>
          <xm:sqref>L24:L27</xm:sqref>
        </x14:conditionalFormatting>
        <x14:conditionalFormatting xmlns:xm="http://schemas.microsoft.com/office/excel/2006/main">
          <x14:cfRule type="expression" priority="17" id="{B0C68F14-5560-4BE4-AB18-9184CE9D7736}">
            <xm:f>AND(Projektauftrag!$G$4="")</xm:f>
            <x14:dxf>
              <fill>
                <patternFill>
                  <bgColor rgb="FFFF0000"/>
                </patternFill>
              </fill>
            </x14:dxf>
          </x14:cfRule>
          <xm:sqref>H3:I3</xm:sqref>
        </x14:conditionalFormatting>
        <x14:conditionalFormatting xmlns:xm="http://schemas.microsoft.com/office/excel/2006/main">
          <x14:cfRule type="expression" priority="16" id="{74FB193C-53F5-4490-B57F-E5E0ADED13C4}">
            <xm:f>AND(Projektauftrag!$J$4="")</xm:f>
            <x14:dxf>
              <fill>
                <patternFill>
                  <bgColor rgb="FFFF0000"/>
                </patternFill>
              </fill>
            </x14:dxf>
          </x14:cfRule>
          <xm:sqref>L3</xm:sqref>
        </x14:conditionalFormatting>
        <x14:conditionalFormatting xmlns:xm="http://schemas.microsoft.com/office/excel/2006/main">
          <x14:cfRule type="iconSet" priority="14" id="{5AAF12C5-B759-4026-9567-4BA1895E3EEA}">
            <x14:iconSet showValue="0" custom="1">
              <x14:cfvo type="percent">
                <xm:f>0</xm:f>
              </x14:cfvo>
              <x14:cfvo type="num">
                <xm:f>80</xm:f>
              </x14:cfvo>
              <x14:cfvo type="num">
                <xm:f>100</xm:f>
              </x14:cfvo>
              <x14:cfIcon iconSet="3Symbols" iconId="2"/>
              <x14:cfIcon iconSet="3Symbols" iconId="1"/>
              <x14:cfIcon iconSet="3Symbols" iconId="0"/>
            </x14:iconSet>
          </x14:cfRule>
          <xm:sqref>K56</xm:sqref>
        </x14:conditionalFormatting>
        <x14:conditionalFormatting xmlns:xm="http://schemas.microsoft.com/office/excel/2006/main">
          <x14:cfRule type="iconSet" priority="12" id="{B64A6CBC-574C-4F89-A258-83AC884D29B6}">
            <x14:iconSet iconSet="3Signs" showValue="0" custom="1">
              <x14:cfvo type="percent">
                <xm:f>0</xm:f>
              </x14:cfvo>
              <x14:cfvo type="num">
                <xm:f>0</xm:f>
              </x14:cfvo>
              <x14:cfvo type="num">
                <xm:f>0</xm:f>
              </x14:cfvo>
              <x14:cfIcon iconSet="3Signs" iconId="0"/>
              <x14:cfIcon iconSet="3Signs" iconId="0"/>
              <x14:cfIcon iconSet="3Signs" iconId="0"/>
            </x14:iconSet>
          </x14:cfRule>
          <xm:sqref>A46:A47</xm:sqref>
        </x14:conditionalFormatting>
        <x14:conditionalFormatting xmlns:xm="http://schemas.microsoft.com/office/excel/2006/main">
          <x14:cfRule type="iconSet" priority="11" id="{73733049-92E1-498D-964A-3433FC963376}">
            <x14:iconSet showValue="0" custom="1">
              <x14:cfvo type="percent">
                <xm:f>0</xm:f>
              </x14:cfvo>
              <x14:cfvo type="num" gte="0">
                <xm:f>90</xm:f>
              </x14:cfvo>
              <x14:cfvo type="num" gte="0">
                <xm:f>100</xm:f>
              </x14:cfvo>
              <x14:cfIcon iconSet="3Symbols" iconId="2"/>
              <x14:cfIcon iconSet="3Symbols" iconId="1"/>
              <x14:cfIcon iconSet="3Symbols" iconId="0"/>
            </x14:iconSet>
          </x14:cfRule>
          <xm:sqref>K50:K54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2360E3A-CD95-4A9E-A364-868CF09A332A}">
          <x14:formula1>
            <xm:f>SprintBacklog!$W$8:$W$223</xm:f>
          </x14:formula1>
          <xm:sqref>D6:L6</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bschluss">
    <tabColor theme="3" tint="0.59999389629810485"/>
    <pageSetUpPr fitToPage="1"/>
  </sheetPr>
  <dimension ref="A1:L56"/>
  <sheetViews>
    <sheetView showGridLines="0" zoomScaleNormal="100" zoomScaleSheetLayoutView="100" workbookViewId="0">
      <pane ySplit="1" topLeftCell="A2" activePane="bottomLeft" state="frozen"/>
      <selection activeCell="C28" sqref="C28"/>
      <selection pane="bottomLeft" activeCell="H5" sqref="H5:I5"/>
    </sheetView>
  </sheetViews>
  <sheetFormatPr baseColWidth="10" defaultColWidth="11.44140625" defaultRowHeight="14.4" x14ac:dyDescent="0.3"/>
  <cols>
    <col min="1" max="1" width="7" style="111" customWidth="1"/>
    <col min="2" max="2" width="12.88671875" style="112" customWidth="1"/>
    <col min="3" max="3" width="4.88671875" style="112" customWidth="1"/>
    <col min="4" max="4" width="19.109375" style="112" customWidth="1"/>
    <col min="5" max="6" width="5.5546875" style="112" customWidth="1"/>
    <col min="7" max="7" width="6.5546875" style="112" customWidth="1"/>
    <col min="8" max="8" width="3.88671875" style="112" customWidth="1"/>
    <col min="9" max="9" width="12.44140625" style="112" bestFit="1" customWidth="1"/>
    <col min="10" max="10" width="15.5546875" style="112" bestFit="1" customWidth="1"/>
    <col min="11" max="11" width="2.5546875" style="112" customWidth="1"/>
    <col min="12" max="12" width="16.44140625" style="112" customWidth="1"/>
    <col min="13" max="65" width="3" style="112" customWidth="1"/>
    <col min="66" max="16384" width="11.44140625" style="112"/>
  </cols>
  <sheetData>
    <row r="1" spans="1:12" s="70" customFormat="1" ht="45" customHeight="1" x14ac:dyDescent="0.6">
      <c r="A1" s="102"/>
      <c r="B1" s="828" t="str">
        <f ca="1">' '!A106</f>
        <v>Product Increment</v>
      </c>
      <c r="C1" s="668"/>
      <c r="D1" s="668"/>
      <c r="E1" s="668"/>
      <c r="F1" s="669"/>
      <c r="G1" s="668"/>
      <c r="H1" s="669"/>
      <c r="I1" s="668"/>
      <c r="J1" s="669"/>
      <c r="K1" s="668"/>
      <c r="L1" s="670"/>
    </row>
    <row r="2" spans="1:12" s="75" customFormat="1" ht="30.75" customHeight="1" x14ac:dyDescent="0.3">
      <c r="A2" s="105"/>
      <c r="B2" s="135"/>
    </row>
    <row r="3" spans="1:12" x14ac:dyDescent="0.3">
      <c r="A3" s="78"/>
      <c r="B3" s="1192" t="str">
        <f ca="1">Projektauftrag!B4</f>
        <v>Project number:</v>
      </c>
      <c r="C3" s="1192"/>
      <c r="D3" s="581" t="str">
        <f>IF(Projektauftrag!D4&lt;&gt;"",Projektauftrag!D4,' '!A190)</f>
        <v>P1</v>
      </c>
      <c r="E3" s="1192" t="str">
        <f ca="1">Projektauftrag!E4</f>
        <v>Start:</v>
      </c>
      <c r="F3" s="1192"/>
      <c r="G3" s="1192">
        <f ca="1">Projektauftrag!G4</f>
        <v>46049</v>
      </c>
      <c r="H3" s="1193">
        <f ca="1">IF(Projektauftrag!G4&lt;&gt;"",Projektauftrag!G4,' '!A190)</f>
        <v>46049</v>
      </c>
      <c r="I3" s="1194"/>
      <c r="J3" s="1192" t="str">
        <f ca="1">Projektauftrag!H4</f>
        <v>Finish:</v>
      </c>
      <c r="K3" s="1192"/>
      <c r="L3" s="583">
        <f ca="1">IF(Projektauftrag!J4&lt;&gt;"",Projektauftrag!J4,' '!A190)</f>
        <v>46799</v>
      </c>
    </row>
    <row r="4" spans="1:12" ht="24" customHeight="1" x14ac:dyDescent="0.3">
      <c r="B4" s="1185" t="str">
        <f ca="1">Projektauftrag!B5</f>
        <v>Project title:</v>
      </c>
      <c r="C4" s="1185"/>
      <c r="D4" s="589" t="str">
        <f>IF(Projektauftrag!D5&lt;&gt;"",Projektauftrag!D5,' '!A190)</f>
        <v>Projet Agile 1</v>
      </c>
      <c r="E4" s="1185" t="str">
        <f ca="1">Projektauftrag!E5</f>
        <v>Procuct Owner:</v>
      </c>
      <c r="F4" s="1185"/>
      <c r="G4" s="1185"/>
      <c r="H4" s="1186" t="str">
        <f>IF(Projektauftrag!G5&lt;&gt;"",Projektauftrag!G5,' '!A190)</f>
        <v>xyz xxx</v>
      </c>
      <c r="I4" s="1186"/>
      <c r="J4" s="1185" t="str">
        <f ca="1">Projektauftrag!H5</f>
        <v>Scrum Master:</v>
      </c>
      <c r="K4" s="1185"/>
      <c r="L4" s="591" t="str">
        <f>IF(Projektauftrag!J5&lt;&gt;"",Projektauftrag!J5,' '!A190)</f>
        <v>abc def (abc)</v>
      </c>
    </row>
    <row r="5" spans="1:12" x14ac:dyDescent="0.3">
      <c r="B5" s="1185" t="str">
        <f ca="1">Projektauftrag!B6</f>
        <v>Department:</v>
      </c>
      <c r="C5" s="1185"/>
      <c r="D5" s="591" t="str">
        <f ca="1">IF(Projektauftrag!D6&lt;&gt;"",Projektauftrag!D6,' '!A190)</f>
        <v>see charter</v>
      </c>
      <c r="E5" s="1185" t="str">
        <f ca="1">Projektauftrag!E6</f>
        <v>Modified on:</v>
      </c>
      <c r="F5" s="1185"/>
      <c r="G5" s="1185"/>
      <c r="H5" s="1121"/>
      <c r="I5" s="1121"/>
      <c r="J5" s="1185" t="str">
        <f ca="1">Projektauftrag!H6</f>
        <v>Deputy:</v>
      </c>
      <c r="K5" s="1185"/>
      <c r="L5" s="591" t="str">
        <f>IF(Projektauftrag!J6&lt;&gt;"",Projektauftrag!J6,' '!A190)</f>
        <v>ghi jkl (ghi)</v>
      </c>
    </row>
    <row r="6" spans="1:12" ht="33" customHeight="1" x14ac:dyDescent="0.3">
      <c r="B6" s="1195" t="str">
        <f ca="1">' '!A108&amp;":"</f>
        <v>Sprint:</v>
      </c>
      <c r="C6" s="1195"/>
      <c r="D6" s="1196" t="s">
        <v>1407</v>
      </c>
      <c r="E6" s="1196"/>
      <c r="F6" s="1196"/>
      <c r="G6" s="1196"/>
      <c r="H6" s="1196"/>
      <c r="I6" s="1196"/>
      <c r="J6" s="1196"/>
      <c r="K6" s="1196"/>
      <c r="L6" s="1196"/>
    </row>
    <row r="7" spans="1:12" x14ac:dyDescent="0.3">
      <c r="B7" s="114"/>
      <c r="C7" s="114"/>
      <c r="D7" s="115"/>
      <c r="E7" s="115"/>
      <c r="F7" s="115"/>
      <c r="G7" s="115"/>
      <c r="H7" s="115"/>
      <c r="I7" s="115"/>
      <c r="J7" s="115"/>
      <c r="K7" s="115"/>
      <c r="L7" s="115"/>
    </row>
    <row r="8" spans="1:12" s="117" customFormat="1" x14ac:dyDescent="0.3">
      <c r="A8" s="111"/>
      <c r="B8" s="1187" t="str">
        <f ca="1">' '!A162</f>
        <v>Is the (partial) product successful?</v>
      </c>
      <c r="C8" s="1187"/>
      <c r="D8" s="1187"/>
      <c r="E8" s="1188" t="str">
        <f ca="1">IF($H8=1,' '!$A$195,
IF($H8=2,' '!$A$198,
IF($H8=3,' '!$A$200)))</f>
        <v>Yes</v>
      </c>
      <c r="F8" s="1188"/>
      <c r="G8" s="1188"/>
      <c r="H8" s="671">
        <v>1</v>
      </c>
      <c r="I8" s="672"/>
      <c r="J8" s="672"/>
      <c r="K8" s="672"/>
      <c r="L8" s="672"/>
    </row>
    <row r="9" spans="1:12" s="117" customFormat="1" x14ac:dyDescent="0.3">
      <c r="A9" s="111"/>
      <c r="B9" s="673" t="str">
        <f ca="1">' '!A196</f>
        <v>Reason:</v>
      </c>
      <c r="C9" s="674"/>
      <c r="D9" s="674"/>
      <c r="E9" s="674"/>
      <c r="F9" s="674"/>
      <c r="G9" s="674"/>
      <c r="H9" s="674"/>
      <c r="I9" s="674"/>
      <c r="J9" s="674"/>
      <c r="K9" s="674"/>
      <c r="L9" s="674"/>
    </row>
    <row r="10" spans="1:12" s="117" customFormat="1" x14ac:dyDescent="0.3">
      <c r="A10" s="111"/>
      <c r="B10" s="1184"/>
      <c r="C10" s="1184"/>
      <c r="D10" s="1184"/>
      <c r="E10" s="1184"/>
      <c r="F10" s="1184"/>
      <c r="G10" s="1184"/>
      <c r="H10" s="1184"/>
      <c r="I10" s="1184"/>
      <c r="J10" s="1184"/>
      <c r="K10" s="1184"/>
      <c r="L10" s="1184"/>
    </row>
    <row r="11" spans="1:12" s="117" customFormat="1" x14ac:dyDescent="0.3">
      <c r="A11" s="111"/>
      <c r="B11" s="1184"/>
      <c r="C11" s="1184"/>
      <c r="D11" s="1184"/>
      <c r="E11" s="1184"/>
      <c r="F11" s="1184"/>
      <c r="G11" s="1184"/>
      <c r="H11" s="1184"/>
      <c r="I11" s="1184"/>
      <c r="J11" s="1184"/>
      <c r="K11" s="1184"/>
      <c r="L11" s="1184"/>
    </row>
    <row r="12" spans="1:12" s="117" customFormat="1" x14ac:dyDescent="0.3">
      <c r="A12" s="111"/>
      <c r="B12" s="1184"/>
      <c r="C12" s="1184"/>
      <c r="D12" s="1184"/>
      <c r="E12" s="1184"/>
      <c r="F12" s="1184"/>
      <c r="G12" s="1184"/>
      <c r="H12" s="1184"/>
      <c r="I12" s="1184"/>
      <c r="J12" s="1184"/>
      <c r="K12" s="1184"/>
      <c r="L12" s="1184"/>
    </row>
    <row r="13" spans="1:12" s="117" customFormat="1" x14ac:dyDescent="0.3">
      <c r="A13" s="111"/>
      <c r="B13" s="1184"/>
      <c r="C13" s="1184"/>
      <c r="D13" s="1184"/>
      <c r="E13" s="1184"/>
      <c r="F13" s="1184"/>
      <c r="G13" s="1184"/>
      <c r="H13" s="1184"/>
      <c r="I13" s="1184"/>
      <c r="J13" s="1184"/>
      <c r="K13" s="1184"/>
      <c r="L13" s="1184"/>
    </row>
    <row r="14" spans="1:12" s="117" customFormat="1" x14ac:dyDescent="0.3">
      <c r="A14" s="111"/>
      <c r="B14" s="1184"/>
      <c r="C14" s="1184"/>
      <c r="D14" s="1184"/>
      <c r="E14" s="1184"/>
      <c r="F14" s="1184"/>
      <c r="G14" s="1184"/>
      <c r="H14" s="1184"/>
      <c r="I14" s="1184"/>
      <c r="J14" s="1184"/>
      <c r="K14" s="1184"/>
      <c r="L14" s="1184"/>
    </row>
    <row r="15" spans="1:12" s="117" customFormat="1" x14ac:dyDescent="0.3">
      <c r="A15" s="111"/>
      <c r="B15" s="1184"/>
      <c r="C15" s="1184"/>
      <c r="D15" s="1184"/>
      <c r="E15" s="1184"/>
      <c r="F15" s="1184"/>
      <c r="G15" s="1184"/>
      <c r="H15" s="1184"/>
      <c r="I15" s="1184"/>
      <c r="J15" s="1184"/>
      <c r="K15" s="1184"/>
      <c r="L15" s="1184"/>
    </row>
    <row r="16" spans="1:12" s="117" customFormat="1" x14ac:dyDescent="0.3">
      <c r="A16" s="111"/>
      <c r="B16" s="1197" t="str">
        <f ca="1">' '!A197</f>
        <v>Are all customer needs satisfied?</v>
      </c>
      <c r="C16" s="1197"/>
      <c r="D16" s="1197"/>
      <c r="E16" s="1188" t="str">
        <f ca="1">IF($H16=1,' '!$A$195,
IF($H16=2,' '!$A$198,
IF($H16=3,' '!$A$200)))</f>
        <v>Yes</v>
      </c>
      <c r="F16" s="1188"/>
      <c r="G16" s="1188"/>
      <c r="H16" s="671">
        <v>1</v>
      </c>
      <c r="I16" s="672"/>
      <c r="J16" s="672"/>
      <c r="K16" s="672"/>
      <c r="L16" s="672"/>
    </row>
    <row r="17" spans="1:12" s="117" customFormat="1" x14ac:dyDescent="0.3">
      <c r="A17" s="111"/>
      <c r="B17" s="673" t="str">
        <f ca="1">B9</f>
        <v>Reason:</v>
      </c>
      <c r="C17" s="674"/>
      <c r="D17" s="674"/>
      <c r="E17" s="674"/>
      <c r="F17" s="674"/>
      <c r="G17" s="674"/>
      <c r="H17" s="674"/>
      <c r="I17" s="674"/>
      <c r="J17" s="674"/>
      <c r="K17" s="674"/>
      <c r="L17" s="674"/>
    </row>
    <row r="18" spans="1:12" s="117" customFormat="1" x14ac:dyDescent="0.3">
      <c r="A18" s="111"/>
      <c r="B18" s="1184"/>
      <c r="C18" s="1184"/>
      <c r="D18" s="1184"/>
      <c r="E18" s="1184"/>
      <c r="F18" s="1184"/>
      <c r="G18" s="1184"/>
      <c r="H18" s="1184"/>
      <c r="I18" s="1184"/>
      <c r="J18" s="1184"/>
      <c r="K18" s="1184"/>
      <c r="L18" s="1184"/>
    </row>
    <row r="19" spans="1:12" s="117" customFormat="1" x14ac:dyDescent="0.3">
      <c r="A19" s="111"/>
      <c r="B19" s="1184"/>
      <c r="C19" s="1184"/>
      <c r="D19" s="1184"/>
      <c r="E19" s="1184"/>
      <c r="F19" s="1184"/>
      <c r="G19" s="1184"/>
      <c r="H19" s="1184"/>
      <c r="I19" s="1184"/>
      <c r="J19" s="1184"/>
      <c r="K19" s="1184"/>
      <c r="L19" s="1184"/>
    </row>
    <row r="20" spans="1:12" s="117" customFormat="1" x14ac:dyDescent="0.3">
      <c r="A20" s="111"/>
      <c r="B20" s="1184"/>
      <c r="C20" s="1184"/>
      <c r="D20" s="1184"/>
      <c r="E20" s="1184"/>
      <c r="F20" s="1184"/>
      <c r="G20" s="1184"/>
      <c r="H20" s="1184"/>
      <c r="I20" s="1184"/>
      <c r="J20" s="1184"/>
      <c r="K20" s="1184"/>
      <c r="L20" s="1184"/>
    </row>
    <row r="21" spans="1:12" s="117" customFormat="1" x14ac:dyDescent="0.3">
      <c r="A21" s="111"/>
      <c r="B21" s="1184"/>
      <c r="C21" s="1184"/>
      <c r="D21" s="1184"/>
      <c r="E21" s="1184"/>
      <c r="F21" s="1184"/>
      <c r="G21" s="1184"/>
      <c r="H21" s="1184"/>
      <c r="I21" s="1184"/>
      <c r="J21" s="1184"/>
      <c r="K21" s="1184"/>
      <c r="L21" s="1184"/>
    </row>
    <row r="22" spans="1:12" s="117" customFormat="1" x14ac:dyDescent="0.3">
      <c r="A22" s="111"/>
      <c r="B22" s="1184"/>
      <c r="C22" s="1184"/>
      <c r="D22" s="1184"/>
      <c r="E22" s="1184"/>
      <c r="F22" s="1184"/>
      <c r="G22" s="1184"/>
      <c r="H22" s="1184"/>
      <c r="I22" s="1184"/>
      <c r="J22" s="1184"/>
      <c r="K22" s="1184"/>
      <c r="L22" s="1184"/>
    </row>
    <row r="23" spans="1:12" s="117" customFormat="1" x14ac:dyDescent="0.3">
      <c r="A23" s="111"/>
      <c r="B23" s="1184"/>
      <c r="C23" s="1184"/>
      <c r="D23" s="1184"/>
      <c r="E23" s="1184"/>
      <c r="F23" s="1184"/>
      <c r="G23" s="1184"/>
      <c r="H23" s="1184"/>
      <c r="I23" s="1184"/>
      <c r="J23" s="1184"/>
      <c r="K23" s="1184"/>
      <c r="L23" s="1184"/>
    </row>
    <row r="24" spans="1:12" s="117" customFormat="1" x14ac:dyDescent="0.3">
      <c r="A24" s="111"/>
      <c r="B24" s="1187" t="str">
        <f ca="1">' '!A199</f>
        <v>Was the budget observed?</v>
      </c>
      <c r="C24" s="1187"/>
      <c r="D24" s="1187"/>
      <c r="E24" s="1188" t="str">
        <f ca="1">IF($H24=1,' '!$A$195,
IF($H24=2,' '!$A$198,
IF($H24=3,' '!$A$200)))</f>
        <v>Yes</v>
      </c>
      <c r="F24" s="1188"/>
      <c r="G24" s="1188"/>
      <c r="H24" s="675">
        <v>1</v>
      </c>
      <c r="I24" s="672"/>
      <c r="J24" s="672"/>
      <c r="K24" s="672"/>
      <c r="L24" s="672"/>
    </row>
    <row r="25" spans="1:12" s="117" customFormat="1" ht="15" customHeight="1" x14ac:dyDescent="0.3">
      <c r="A25" s="111"/>
      <c r="B25" s="120"/>
      <c r="C25" s="120"/>
      <c r="D25" s="120"/>
      <c r="E25" s="120"/>
      <c r="F25" s="120"/>
      <c r="H25" s="1191" t="str">
        <f ca="1">Projektauftrag!$G$30</f>
        <v>Plan</v>
      </c>
      <c r="I25" s="1191"/>
      <c r="J25" s="163" t="str">
        <f ca="1">Projektauftrag!$H$30</f>
        <v>Actual state</v>
      </c>
      <c r="L25" s="121" t="str">
        <f ca="1">Projektauftrag!$J$30</f>
        <v>Balance</v>
      </c>
    </row>
    <row r="26" spans="1:12" s="117" customFormat="1" ht="21" customHeight="1" x14ac:dyDescent="0.3">
      <c r="A26" s="111"/>
      <c r="B26" s="676" t="str">
        <f ca="1">Projektauftrag!$B$31</f>
        <v>Internal resources [CHF]</v>
      </c>
      <c r="C26" s="677"/>
      <c r="D26" s="677"/>
      <c r="E26" s="677"/>
      <c r="F26" s="677"/>
      <c r="G26" s="678"/>
      <c r="H26" s="1189">
        <f>Projektbudget!AT24</f>
        <v>500</v>
      </c>
      <c r="I26" s="1189"/>
      <c r="J26" s="679">
        <f>Projektbudget!BJ24</f>
        <v>500</v>
      </c>
      <c r="K26" s="122">
        <f>IFERROR(IF(AND(H26&gt;0,(J26/H26*100)=100),80,
IF(H26&gt;0,(J26/H26*100),"")),0)</f>
        <v>80</v>
      </c>
      <c r="L26" s="680">
        <f>Projektbudget!BZ24</f>
        <v>0</v>
      </c>
    </row>
    <row r="27" spans="1:12" s="117" customFormat="1" ht="6" customHeight="1" x14ac:dyDescent="0.3">
      <c r="A27" s="111"/>
      <c r="B27" s="120"/>
      <c r="C27" s="120"/>
      <c r="D27" s="120"/>
      <c r="E27" s="120"/>
      <c r="F27" s="120"/>
      <c r="H27" s="681"/>
      <c r="I27" s="682"/>
      <c r="J27" s="683"/>
      <c r="K27" s="125"/>
      <c r="L27" s="126"/>
    </row>
    <row r="28" spans="1:12" s="117" customFormat="1" ht="21" customHeight="1" x14ac:dyDescent="0.3">
      <c r="A28" s="111"/>
      <c r="B28" s="676" t="str">
        <f ca="1">Projektauftrag!$B$33</f>
        <v>External resources [CHF]</v>
      </c>
      <c r="C28" s="677"/>
      <c r="D28" s="677"/>
      <c r="E28" s="677"/>
      <c r="F28" s="677"/>
      <c r="G28" s="678"/>
      <c r="H28" s="1189">
        <f>Projektbudget!AT59</f>
        <v>0</v>
      </c>
      <c r="I28" s="1189">
        <f>Projektauftrag!$G$33</f>
        <v>0</v>
      </c>
      <c r="J28" s="679">
        <f>Projektbudget!BJ59</f>
        <v>0</v>
      </c>
      <c r="K28" s="122">
        <f>IFERROR(IF(AND(H28&gt;0,(J28/H28*100)=100),80,
IF(H28&gt;0,(J28/H28*100),"")),0)</f>
        <v>0</v>
      </c>
      <c r="L28" s="680">
        <f>Projektbudget!BZ59</f>
        <v>0</v>
      </c>
    </row>
    <row r="29" spans="1:12" s="117" customFormat="1" ht="6" customHeight="1" x14ac:dyDescent="0.3">
      <c r="A29" s="111"/>
      <c r="B29" s="120"/>
      <c r="C29" s="120"/>
      <c r="D29" s="120"/>
      <c r="E29" s="120"/>
      <c r="F29" s="120"/>
      <c r="H29" s="681"/>
      <c r="I29" s="682"/>
      <c r="J29" s="683"/>
      <c r="K29" s="125"/>
      <c r="L29" s="684"/>
    </row>
    <row r="30" spans="1:12" s="117" customFormat="1" ht="21" customHeight="1" x14ac:dyDescent="0.3">
      <c r="A30" s="111"/>
      <c r="B30" s="685" t="str">
        <f ca="1">Projektauftrag!$B$35</f>
        <v>TOTAL RESOURCES</v>
      </c>
      <c r="C30" s="686"/>
      <c r="D30" s="686"/>
      <c r="E30" s="686"/>
      <c r="F30" s="686"/>
      <c r="G30" s="672"/>
      <c r="H30" s="1190">
        <f>Projektbudget!AT61</f>
        <v>500</v>
      </c>
      <c r="I30" s="1190">
        <f>Projektauftrag!$G$35</f>
        <v>500</v>
      </c>
      <c r="J30" s="687">
        <f>Projektbudget!BJ61</f>
        <v>500</v>
      </c>
      <c r="K30" s="122">
        <f>IFERROR(IF(AND(H30&gt;0,(J30/H30*100)=100),80,
IF(H30&gt;0,(J30/H30*100),"")),0)</f>
        <v>80</v>
      </c>
      <c r="L30" s="688">
        <f>Projektbudget!BZ61</f>
        <v>0</v>
      </c>
    </row>
    <row r="31" spans="1:12" s="117" customFormat="1" ht="6" customHeight="1" x14ac:dyDescent="0.3">
      <c r="A31" s="111"/>
      <c r="B31" s="120"/>
      <c r="C31" s="120"/>
      <c r="D31" s="120"/>
      <c r="E31" s="120"/>
      <c r="F31" s="120"/>
      <c r="H31" s="681"/>
      <c r="I31" s="682"/>
      <c r="J31" s="683"/>
      <c r="K31" s="125"/>
      <c r="L31" s="126"/>
    </row>
    <row r="32" spans="1:12" s="117" customFormat="1" ht="21" customHeight="1" x14ac:dyDescent="0.3">
      <c r="A32" s="111"/>
      <c r="B32" s="1065" t="str">
        <f ca="1">' '!A236</f>
        <v>External financing (eg customers, subsidies etc.)</v>
      </c>
      <c r="C32" s="677"/>
      <c r="D32" s="677"/>
      <c r="E32" s="677"/>
      <c r="F32" s="677"/>
      <c r="G32" s="678"/>
      <c r="H32" s="1189">
        <f>Projektbudget!AT77</f>
        <v>0</v>
      </c>
      <c r="I32" s="1189"/>
      <c r="J32" s="679">
        <f>Projektbudget!BJ77</f>
        <v>0</v>
      </c>
      <c r="K32" s="122"/>
      <c r="L32" s="680">
        <f>Projektbudget!BZ77</f>
        <v>0</v>
      </c>
    </row>
    <row r="33" spans="1:12" s="117" customFormat="1" ht="6" customHeight="1" x14ac:dyDescent="0.3">
      <c r="A33" s="111"/>
      <c r="B33" s="120"/>
      <c r="C33" s="120"/>
      <c r="D33" s="120"/>
      <c r="E33" s="120"/>
      <c r="F33" s="120"/>
      <c r="I33" s="127"/>
      <c r="J33" s="127"/>
      <c r="K33" s="125"/>
      <c r="L33" s="168"/>
    </row>
    <row r="34" spans="1:12" s="117" customFormat="1" x14ac:dyDescent="0.3">
      <c r="A34" s="111"/>
      <c r="B34" s="673" t="str">
        <f ca="1">B17</f>
        <v>Reason:</v>
      </c>
      <c r="C34" s="674"/>
      <c r="D34" s="674"/>
      <c r="E34" s="674"/>
      <c r="F34" s="674"/>
      <c r="G34" s="674"/>
      <c r="H34" s="674"/>
      <c r="I34" s="674"/>
      <c r="J34" s="674"/>
      <c r="K34" s="674"/>
      <c r="L34" s="674"/>
    </row>
    <row r="35" spans="1:12" s="117" customFormat="1" x14ac:dyDescent="0.3">
      <c r="A35" s="111"/>
      <c r="B35" s="1184"/>
      <c r="C35" s="1184"/>
      <c r="D35" s="1184"/>
      <c r="E35" s="1184"/>
      <c r="F35" s="1184"/>
      <c r="G35" s="1184"/>
      <c r="H35" s="1184"/>
      <c r="I35" s="1184"/>
      <c r="J35" s="1184"/>
      <c r="K35" s="1184"/>
      <c r="L35" s="1184"/>
    </row>
    <row r="36" spans="1:12" s="117" customFormat="1" x14ac:dyDescent="0.3">
      <c r="A36" s="111"/>
      <c r="B36" s="1184"/>
      <c r="C36" s="1184"/>
      <c r="D36" s="1184"/>
      <c r="E36" s="1184"/>
      <c r="F36" s="1184"/>
      <c r="G36" s="1184"/>
      <c r="H36" s="1184"/>
      <c r="I36" s="1184"/>
      <c r="J36" s="1184"/>
      <c r="K36" s="1184"/>
      <c r="L36" s="1184"/>
    </row>
    <row r="37" spans="1:12" s="117" customFormat="1" x14ac:dyDescent="0.3">
      <c r="A37" s="111"/>
      <c r="B37" s="1184"/>
      <c r="C37" s="1184"/>
      <c r="D37" s="1184"/>
      <c r="E37" s="1184"/>
      <c r="F37" s="1184"/>
      <c r="G37" s="1184"/>
      <c r="H37" s="1184"/>
      <c r="I37" s="1184"/>
      <c r="J37" s="1184"/>
      <c r="K37" s="1184"/>
      <c r="L37" s="1184"/>
    </row>
    <row r="38" spans="1:12" s="117" customFormat="1" x14ac:dyDescent="0.3">
      <c r="A38" s="111"/>
      <c r="B38" s="1184"/>
      <c r="C38" s="1184"/>
      <c r="D38" s="1184"/>
      <c r="E38" s="1184"/>
      <c r="F38" s="1184"/>
      <c r="G38" s="1184"/>
      <c r="H38" s="1184"/>
      <c r="I38" s="1184"/>
      <c r="J38" s="1184"/>
      <c r="K38" s="1184"/>
      <c r="L38" s="1184"/>
    </row>
    <row r="39" spans="1:12" s="117" customFormat="1" x14ac:dyDescent="0.3">
      <c r="A39" s="111"/>
      <c r="B39" s="1184"/>
      <c r="C39" s="1184"/>
      <c r="D39" s="1184"/>
      <c r="E39" s="1184"/>
      <c r="F39" s="1184"/>
      <c r="G39" s="1184"/>
      <c r="H39" s="1184"/>
      <c r="I39" s="1184"/>
      <c r="J39" s="1184"/>
      <c r="K39" s="1184"/>
      <c r="L39" s="1184"/>
    </row>
    <row r="40" spans="1:12" s="117" customFormat="1" x14ac:dyDescent="0.3">
      <c r="A40" s="111"/>
      <c r="B40" s="1187" t="str">
        <f ca="1">' '!A202</f>
        <v>What can be learnt from the project? (Lessons Learned)</v>
      </c>
      <c r="C40" s="1187"/>
      <c r="D40" s="1187"/>
      <c r="E40" s="1187"/>
      <c r="F40" s="1187"/>
      <c r="G40" s="1187"/>
      <c r="H40" s="1187"/>
      <c r="I40" s="1187"/>
      <c r="J40" s="1187"/>
      <c r="K40" s="1187"/>
      <c r="L40" s="1187"/>
    </row>
    <row r="41" spans="1:12" s="117" customFormat="1" x14ac:dyDescent="0.3">
      <c r="A41" s="119" t="s">
        <v>12</v>
      </c>
      <c r="B41" s="1184"/>
      <c r="C41" s="1184"/>
      <c r="D41" s="1184"/>
      <c r="E41" s="1184"/>
      <c r="F41" s="1184"/>
      <c r="G41" s="1184"/>
      <c r="H41" s="1184"/>
      <c r="I41" s="1184"/>
      <c r="J41" s="1184"/>
      <c r="K41" s="1184"/>
      <c r="L41" s="1184"/>
    </row>
    <row r="42" spans="1:12" s="117" customFormat="1" x14ac:dyDescent="0.3">
      <c r="A42" s="119" t="s">
        <v>13</v>
      </c>
      <c r="B42" s="1184"/>
      <c r="C42" s="1184"/>
      <c r="D42" s="1184"/>
      <c r="E42" s="1184"/>
      <c r="F42" s="1184"/>
      <c r="G42" s="1184"/>
      <c r="H42" s="1184"/>
      <c r="I42" s="1184"/>
      <c r="J42" s="1184"/>
      <c r="K42" s="1184"/>
      <c r="L42" s="1184"/>
    </row>
    <row r="43" spans="1:12" s="117" customFormat="1" x14ac:dyDescent="0.3">
      <c r="A43" s="119" t="s">
        <v>8</v>
      </c>
      <c r="B43" s="1184"/>
      <c r="C43" s="1184"/>
      <c r="D43" s="1184"/>
      <c r="E43" s="1184"/>
      <c r="F43" s="1184"/>
      <c r="G43" s="1184"/>
      <c r="H43" s="1184"/>
      <c r="I43" s="1184"/>
      <c r="J43" s="1184"/>
      <c r="K43" s="1184"/>
      <c r="L43" s="1184"/>
    </row>
    <row r="44" spans="1:12" s="117" customFormat="1" x14ac:dyDescent="0.3">
      <c r="A44" s="119" t="s">
        <v>9</v>
      </c>
      <c r="B44" s="1184"/>
      <c r="C44" s="1184"/>
      <c r="D44" s="1184"/>
      <c r="E44" s="1184"/>
      <c r="F44" s="1184"/>
      <c r="G44" s="1184"/>
      <c r="H44" s="1184"/>
      <c r="I44" s="1184"/>
      <c r="J44" s="1184"/>
      <c r="K44" s="1184"/>
      <c r="L44" s="1184"/>
    </row>
    <row r="45" spans="1:12" s="117" customFormat="1" x14ac:dyDescent="0.3">
      <c r="A45" s="119" t="s">
        <v>10</v>
      </c>
      <c r="B45" s="1184"/>
      <c r="C45" s="1184"/>
      <c r="D45" s="1184"/>
      <c r="E45" s="1184"/>
      <c r="F45" s="1184"/>
      <c r="G45" s="1184"/>
      <c r="H45" s="1184"/>
      <c r="I45" s="1184"/>
      <c r="J45" s="1184"/>
      <c r="K45" s="1184"/>
      <c r="L45" s="1184"/>
    </row>
    <row r="46" spans="1:12" s="117" customFormat="1" x14ac:dyDescent="0.3">
      <c r="A46" s="119" t="s">
        <v>11</v>
      </c>
      <c r="B46" s="1184"/>
      <c r="C46" s="1184"/>
      <c r="D46" s="1184"/>
      <c r="E46" s="1184"/>
      <c r="F46" s="1184"/>
      <c r="G46" s="1184"/>
      <c r="H46" s="1184"/>
      <c r="I46" s="1184"/>
      <c r="J46" s="1184"/>
      <c r="K46" s="1184"/>
      <c r="L46" s="1184"/>
    </row>
    <row r="47" spans="1:12" s="117" customFormat="1" x14ac:dyDescent="0.3">
      <c r="A47" s="111"/>
      <c r="B47" s="1187" t="str">
        <f ca="1">' '!A88</f>
        <v>Remarks / attachments</v>
      </c>
      <c r="C47" s="1187"/>
      <c r="D47" s="1187"/>
      <c r="E47" s="1187"/>
      <c r="F47" s="1187"/>
      <c r="G47" s="1187"/>
      <c r="H47" s="1187"/>
      <c r="I47" s="1187"/>
      <c r="J47" s="1187"/>
      <c r="K47" s="1187"/>
      <c r="L47" s="1187"/>
    </row>
    <row r="48" spans="1:12" s="117" customFormat="1" x14ac:dyDescent="0.3">
      <c r="A48" s="111"/>
      <c r="B48" s="1184"/>
      <c r="C48" s="1184"/>
      <c r="D48" s="1184"/>
      <c r="E48" s="1184"/>
      <c r="F48" s="1184"/>
      <c r="G48" s="1184"/>
      <c r="H48" s="1184"/>
      <c r="I48" s="1184"/>
      <c r="J48" s="1184"/>
      <c r="K48" s="1184"/>
      <c r="L48" s="1184"/>
    </row>
    <row r="49" spans="1:12" s="117" customFormat="1" x14ac:dyDescent="0.3">
      <c r="A49" s="111"/>
      <c r="B49" s="1184"/>
      <c r="C49" s="1184"/>
      <c r="D49" s="1184"/>
      <c r="E49" s="1184"/>
      <c r="F49" s="1184"/>
      <c r="G49" s="1184"/>
      <c r="H49" s="1184"/>
      <c r="I49" s="1184"/>
      <c r="J49" s="1184"/>
      <c r="K49" s="1184"/>
      <c r="L49" s="1184"/>
    </row>
    <row r="50" spans="1:12" s="117" customFormat="1" x14ac:dyDescent="0.3">
      <c r="A50" s="111"/>
      <c r="B50" s="1184"/>
      <c r="C50" s="1184"/>
      <c r="D50" s="1184"/>
      <c r="E50" s="1184"/>
      <c r="F50" s="1184"/>
      <c r="G50" s="1184"/>
      <c r="H50" s="1184"/>
      <c r="I50" s="1184"/>
      <c r="J50" s="1184"/>
      <c r="K50" s="1184"/>
      <c r="L50" s="1184"/>
    </row>
    <row r="51" spans="1:12" s="117" customFormat="1" x14ac:dyDescent="0.3">
      <c r="A51" s="111"/>
      <c r="B51" s="1184"/>
      <c r="C51" s="1184"/>
      <c r="D51" s="1184"/>
      <c r="E51" s="1184"/>
      <c r="F51" s="1184"/>
      <c r="G51" s="1184"/>
      <c r="H51" s="1184"/>
      <c r="I51" s="1184"/>
      <c r="J51" s="1184"/>
      <c r="K51" s="1184"/>
      <c r="L51" s="1184"/>
    </row>
    <row r="52" spans="1:12" s="117" customFormat="1" x14ac:dyDescent="0.3">
      <c r="A52" s="111"/>
      <c r="B52" s="1184"/>
      <c r="C52" s="1184"/>
      <c r="D52" s="1184"/>
      <c r="E52" s="1184"/>
      <c r="F52" s="1184"/>
      <c r="G52" s="1184"/>
      <c r="H52" s="1184"/>
      <c r="I52" s="1184"/>
      <c r="J52" s="1184"/>
      <c r="K52" s="1184"/>
      <c r="L52" s="1184"/>
    </row>
    <row r="53" spans="1:12" s="117" customFormat="1" x14ac:dyDescent="0.3">
      <c r="A53" s="128"/>
      <c r="B53" s="1200" t="str">
        <f ca="1">Projektauftrag!B55</f>
        <v>Date</v>
      </c>
      <c r="C53" s="1200"/>
      <c r="D53" s="1200"/>
      <c r="E53" s="1201">
        <f ca="1">L3</f>
        <v>46799</v>
      </c>
      <c r="F53" s="1201"/>
      <c r="G53" s="1202"/>
      <c r="H53" s="1202"/>
      <c r="I53" s="1202"/>
      <c r="J53" s="1202"/>
      <c r="K53" s="689"/>
      <c r="L53" s="689"/>
    </row>
    <row r="54" spans="1:12" s="117" customFormat="1" ht="23.25" customHeight="1" x14ac:dyDescent="0.3">
      <c r="A54" s="111"/>
      <c r="B54" s="1198" t="str">
        <f ca="1">Projektauftrag!B56</f>
        <v>Client signature</v>
      </c>
      <c r="C54" s="1198"/>
      <c r="D54" s="1198"/>
      <c r="E54" s="1203"/>
      <c r="F54" s="1203"/>
      <c r="G54" s="1203"/>
      <c r="H54" s="1203"/>
      <c r="I54" s="1203"/>
      <c r="J54" s="1203"/>
      <c r="K54" s="690"/>
      <c r="L54" s="691"/>
    </row>
    <row r="55" spans="1:12" s="117" customFormat="1" ht="30" customHeight="1" x14ac:dyDescent="0.3">
      <c r="A55" s="111"/>
      <c r="B55" s="1198" t="str">
        <f ca="1">Projektauftrag!B57</f>
        <v>Project manager signature</v>
      </c>
      <c r="C55" s="1198"/>
      <c r="D55" s="1198"/>
      <c r="E55" s="1199"/>
      <c r="F55" s="1199"/>
      <c r="G55" s="1199"/>
      <c r="H55" s="1199"/>
      <c r="I55" s="1199"/>
      <c r="J55" s="1199"/>
      <c r="K55" s="690"/>
      <c r="L55" s="690"/>
    </row>
    <row r="56" spans="1:12" s="117" customFormat="1" x14ac:dyDescent="0.3">
      <c r="A56" s="111"/>
      <c r="B56" s="129" t="s">
        <v>1136</v>
      </c>
      <c r="C56" s="78"/>
    </row>
  </sheetData>
  <sheetProtection sheet="1" objects="1" scenarios="1" formatCells="0" formatColumns="0" formatRows="0" insertHyperlinks="0" selectLockedCells="1" sort="0" autoFilter="0"/>
  <mergeCells count="47">
    <mergeCell ref="B55:D55"/>
    <mergeCell ref="E55:J55"/>
    <mergeCell ref="B40:L40"/>
    <mergeCell ref="B53:D53"/>
    <mergeCell ref="E53:J53"/>
    <mergeCell ref="B54:D54"/>
    <mergeCell ref="E54:J54"/>
    <mergeCell ref="B41:L41"/>
    <mergeCell ref="B42:L42"/>
    <mergeCell ref="B43:L43"/>
    <mergeCell ref="B44:L44"/>
    <mergeCell ref="B45:L45"/>
    <mergeCell ref="B46:L46"/>
    <mergeCell ref="B48:L48"/>
    <mergeCell ref="B49:L49"/>
    <mergeCell ref="B50:L50"/>
    <mergeCell ref="B3:C3"/>
    <mergeCell ref="J3:K3"/>
    <mergeCell ref="E3:G3"/>
    <mergeCell ref="H3:I3"/>
    <mergeCell ref="B18:L23"/>
    <mergeCell ref="B5:C5"/>
    <mergeCell ref="E5:G5"/>
    <mergeCell ref="H5:I5"/>
    <mergeCell ref="J5:K5"/>
    <mergeCell ref="B6:C6"/>
    <mergeCell ref="D6:L6"/>
    <mergeCell ref="B8:D8"/>
    <mergeCell ref="E8:G8"/>
    <mergeCell ref="B10:L15"/>
    <mergeCell ref="B16:D16"/>
    <mergeCell ref="E16:G16"/>
    <mergeCell ref="B51:L51"/>
    <mergeCell ref="B52:L52"/>
    <mergeCell ref="B4:C4"/>
    <mergeCell ref="E4:G4"/>
    <mergeCell ref="H4:I4"/>
    <mergeCell ref="J4:K4"/>
    <mergeCell ref="B24:D24"/>
    <mergeCell ref="E24:G24"/>
    <mergeCell ref="H28:I28"/>
    <mergeCell ref="B35:L39"/>
    <mergeCell ref="H26:I26"/>
    <mergeCell ref="H30:I30"/>
    <mergeCell ref="H25:I25"/>
    <mergeCell ref="H32:I32"/>
    <mergeCell ref="B47:L47"/>
  </mergeCells>
  <conditionalFormatting sqref="H8">
    <cfRule type="iconSet" priority="28">
      <iconSet iconSet="3Symbols2" showValue="0" reverse="1">
        <cfvo type="percent" val="0"/>
        <cfvo type="num" val="1.25"/>
        <cfvo type="num" val="2.25"/>
      </iconSet>
    </cfRule>
  </conditionalFormatting>
  <conditionalFormatting sqref="H16">
    <cfRule type="iconSet" priority="18">
      <iconSet iconSet="3Symbols2" showValue="0" reverse="1">
        <cfvo type="percent" val="0"/>
        <cfvo type="num" val="1.25"/>
        <cfvo type="num" val="2.25"/>
      </iconSet>
    </cfRule>
  </conditionalFormatting>
  <conditionalFormatting sqref="H24">
    <cfRule type="iconSet" priority="17">
      <iconSet iconSet="3Symbols2" showValue="0" reverse="1">
        <cfvo type="percent" val="0"/>
        <cfvo type="num" val="1.25"/>
        <cfvo type="num" val="2.25"/>
      </iconSet>
    </cfRule>
  </conditionalFormatting>
  <conditionalFormatting sqref="L26 L28 L30">
    <cfRule type="cellIs" dxfId="146" priority="7" operator="lessThan">
      <formula>0</formula>
    </cfRule>
  </conditionalFormatting>
  <conditionalFormatting sqref="L32">
    <cfRule type="cellIs" dxfId="145" priority="2" operator="lessThan">
      <formula>0</formula>
    </cfRule>
  </conditionalFormatting>
  <dataValidations count="2">
    <dataValidation type="list" allowBlank="1" showInputMessage="1" showErrorMessage="1" sqref="H8 H16 H24" xr:uid="{00000000-0002-0000-0900-000000000000}">
      <formula1>"1,2,3"</formula1>
    </dataValidation>
    <dataValidation type="date" errorStyle="warning" operator="greaterThanOrEqual" allowBlank="1" showInputMessage="1" showErrorMessage="1" errorTitle="Falsches Datum - Fausse date!" sqref="H5:I5" xr:uid="{00000000-0002-0000-0900-000001000000}">
      <formula1>TODAY()</formula1>
    </dataValidation>
  </dataValidations>
  <pageMargins left="0.19685039370078741" right="0.19685039370078741" top="0.31496062992125984" bottom="0.23622047244094491" header="0" footer="0.19685039370078741"/>
  <pageSetup paperSize="9" scale="89" orientation="portrait" r:id="rId1"/>
  <headerFooter scaleWithDoc="0">
    <oddFooter>&amp;L&amp;8&amp;K01+049(c) s. imboden&amp;C&amp;8&amp;K01+049printed &amp;D&amp;R&amp;8&amp;K03+000&amp;P/&amp;N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5" id="{56A477A5-C947-4410-B67E-BD6D64D1B508}">
            <x14:iconSet showValue="0" custom="1">
              <x14:cfvo type="percent">
                <xm:f>0</xm:f>
              </x14:cfvo>
              <x14:cfvo type="num" gte="0">
                <xm:f>90</xm:f>
              </x14:cfvo>
              <x14:cfvo type="num" gte="0">
                <xm:f>100</xm:f>
              </x14:cfvo>
              <x14:cfIcon iconSet="3Symbols" iconId="2"/>
              <x14:cfIcon iconSet="3Symbols" iconId="1"/>
              <x14:cfIcon iconSet="3Symbols" iconId="0"/>
            </x14:iconSet>
          </x14:cfRule>
          <xm:sqref>K26 K28 K30</xm:sqref>
        </x14:conditionalFormatting>
        <x14:conditionalFormatting xmlns:xm="http://schemas.microsoft.com/office/excel/2006/main">
          <x14:cfRule type="expression" priority="4" id="{A5E58E67-7168-4705-A704-0EB56CD1C547}">
            <xm:f>AND(Projektauftrag!$G$4="")</xm:f>
            <x14:dxf>
              <fill>
                <patternFill>
                  <bgColor rgb="FFFF0000"/>
                </patternFill>
              </fill>
            </x14:dxf>
          </x14:cfRule>
          <xm:sqref>H3:I3</xm:sqref>
        </x14:conditionalFormatting>
        <x14:conditionalFormatting xmlns:xm="http://schemas.microsoft.com/office/excel/2006/main">
          <x14:cfRule type="expression" priority="3" id="{EC9D57F3-7A68-42B7-9ACD-C256CBB9DA1C}">
            <xm:f>AND(Projektauftrag!$J$4="")</xm:f>
            <x14:dxf>
              <fill>
                <patternFill>
                  <bgColor rgb="FFFF0000"/>
                </patternFill>
              </fill>
            </x14:dxf>
          </x14:cfRule>
          <xm:sqref>L3</xm:sqref>
        </x14:conditionalFormatting>
        <x14:conditionalFormatting xmlns:xm="http://schemas.microsoft.com/office/excel/2006/main">
          <x14:cfRule type="iconSet" priority="1" id="{4F2EFD2D-D389-406D-A29B-5C0BCAA10109}">
            <x14:iconSet showValue="0" custom="1">
              <x14:cfvo type="percent">
                <xm:f>0</xm:f>
              </x14:cfvo>
              <x14:cfvo type="num">
                <xm:f>80</xm:f>
              </x14:cfvo>
              <x14:cfvo type="num">
                <xm:f>100</xm:f>
              </x14:cfvo>
              <x14:cfIcon iconSet="3Symbols" iconId="2"/>
              <x14:cfIcon iconSet="3Symbols" iconId="1"/>
              <x14:cfIcon iconSet="3Symbols" iconId="0"/>
            </x14:iconSet>
          </x14:cfRule>
          <xm:sqref>K32</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EE23C677-64CD-471C-8E8D-8D937C16CC26}">
          <x14:formula1>
            <xm:f>SprintBacklog!$W$8:$W$223</xm:f>
          </x14:formula1>
          <xm:sqref>D6:L6</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65">
    <tabColor theme="3" tint="0.59999389629810485"/>
  </sheetPr>
  <dimension ref="A1:IQ80"/>
  <sheetViews>
    <sheetView showGridLines="0" zoomScaleNormal="100" workbookViewId="0">
      <pane ySplit="3" topLeftCell="A4" activePane="bottomLeft" state="frozen"/>
      <selection activeCell="C28" sqref="C28"/>
      <selection pane="bottomLeft" activeCell="A2" sqref="A2"/>
    </sheetView>
  </sheetViews>
  <sheetFormatPr baseColWidth="10" defaultColWidth="12.5546875" defaultRowHeight="13.8" x14ac:dyDescent="0.3"/>
  <cols>
    <col min="1" max="2" width="0.88671875" style="504" customWidth="1"/>
    <col min="3" max="3" width="1.44140625" style="504" customWidth="1"/>
    <col min="4" max="4" width="2.88671875" style="504" bestFit="1" customWidth="1"/>
    <col min="5" max="11" width="1.44140625" style="504" customWidth="1"/>
    <col min="12" max="12" width="0.109375" style="504" customWidth="1"/>
    <col min="13" max="44" width="1.44140625" style="504" customWidth="1"/>
    <col min="45" max="45" width="0.109375" style="504" customWidth="1"/>
    <col min="46" max="57" width="1.44140625" style="504" customWidth="1"/>
    <col min="58" max="58" width="2.109375" style="504" customWidth="1"/>
    <col min="59" max="60" width="1.44140625" style="504" customWidth="1"/>
    <col min="61" max="61" width="0.109375" style="504" customWidth="1"/>
    <col min="62" max="76" width="1.44140625" style="504" customWidth="1"/>
    <col min="77" max="77" width="0.109375" style="504" customWidth="1"/>
    <col min="78" max="112" width="1.44140625" style="504" customWidth="1"/>
    <col min="113" max="113" width="2.109375" style="504" customWidth="1"/>
    <col min="114" max="114" width="1.44140625" style="506" customWidth="1"/>
    <col min="115" max="117" width="2.109375" style="504" customWidth="1"/>
    <col min="118" max="16384" width="12.5546875" style="504"/>
  </cols>
  <sheetData>
    <row r="1" spans="1:251" s="498" customFormat="1" ht="45" customHeight="1" x14ac:dyDescent="0.6">
      <c r="A1" s="498">
        <v>0</v>
      </c>
      <c r="B1" s="499"/>
      <c r="C1" s="500"/>
      <c r="D1" s="501"/>
      <c r="E1" s="500"/>
      <c r="F1" s="829" t="str">
        <f ca="1">' '!A226</f>
        <v xml:space="preserve"> B U D G E T</v>
      </c>
      <c r="G1" s="500"/>
      <c r="H1" s="500"/>
      <c r="I1" s="500"/>
      <c r="J1" s="500"/>
      <c r="K1" s="500"/>
      <c r="L1" s="500"/>
      <c r="M1" s="500"/>
      <c r="N1" s="500"/>
      <c r="O1" s="500"/>
      <c r="P1" s="500"/>
      <c r="Q1" s="500"/>
      <c r="R1" s="500"/>
      <c r="S1" s="500"/>
      <c r="T1" s="500"/>
      <c r="U1" s="500"/>
      <c r="V1" s="500"/>
      <c r="W1" s="500"/>
      <c r="X1" s="500"/>
      <c r="Y1" s="829" t="str">
        <f>"("&amp;Projektauftrag!D5&amp;")"</f>
        <v>(Projet Agile 1)</v>
      </c>
      <c r="Z1" s="500"/>
      <c r="AA1" s="500"/>
      <c r="AB1" s="500"/>
      <c r="AD1" s="500"/>
      <c r="AE1" s="500"/>
      <c r="AF1" s="500"/>
      <c r="AG1" s="500"/>
      <c r="AH1" s="500"/>
      <c r="AI1" s="500"/>
      <c r="AJ1" s="500"/>
      <c r="AK1" s="500"/>
      <c r="AL1" s="500"/>
      <c r="AM1" s="500"/>
      <c r="AN1" s="500"/>
      <c r="AO1" s="500"/>
      <c r="AP1" s="500"/>
      <c r="AQ1" s="500"/>
      <c r="AR1" s="500"/>
      <c r="AS1" s="500"/>
      <c r="AT1" s="500"/>
      <c r="AU1" s="500"/>
      <c r="AV1" s="500"/>
      <c r="AW1" s="500"/>
      <c r="AX1" s="500"/>
      <c r="AY1" s="500"/>
      <c r="AZ1" s="500"/>
      <c r="BA1" s="500"/>
      <c r="BB1" s="500"/>
      <c r="BC1" s="500"/>
      <c r="BD1" s="500"/>
      <c r="BE1" s="500"/>
      <c r="BF1" s="500"/>
      <c r="BG1" s="500"/>
      <c r="BH1" s="500"/>
      <c r="BI1" s="500"/>
      <c r="BJ1" s="500"/>
      <c r="BK1" s="500"/>
      <c r="BL1" s="500"/>
      <c r="BM1" s="500"/>
      <c r="BN1" s="500"/>
      <c r="BO1" s="500"/>
      <c r="BP1" s="500"/>
      <c r="BQ1" s="500"/>
      <c r="BR1" s="500"/>
      <c r="BS1" s="500"/>
      <c r="BT1" s="500"/>
      <c r="BU1" s="500"/>
      <c r="BV1" s="500"/>
      <c r="BW1" s="500"/>
      <c r="BX1" s="500"/>
      <c r="BY1" s="500"/>
      <c r="BZ1" s="500"/>
      <c r="CA1" s="500"/>
      <c r="CB1" s="500"/>
      <c r="CC1" s="500"/>
      <c r="CD1" s="500"/>
      <c r="CE1" s="500"/>
      <c r="CF1" s="500"/>
      <c r="CG1" s="500"/>
      <c r="CH1" s="500"/>
      <c r="CI1" s="500"/>
      <c r="CJ1" s="500"/>
      <c r="CK1" s="500"/>
      <c r="CL1" s="500"/>
      <c r="CM1" s="500"/>
      <c r="CN1" s="500"/>
      <c r="CO1" s="500"/>
      <c r="CP1" s="500"/>
      <c r="CQ1" s="500"/>
      <c r="CR1" s="500"/>
      <c r="CS1" s="500"/>
      <c r="CT1" s="500"/>
      <c r="CU1" s="500"/>
      <c r="CV1" s="500"/>
      <c r="CW1" s="500"/>
      <c r="CX1" s="500"/>
      <c r="CY1" s="500"/>
      <c r="CZ1" s="500"/>
      <c r="DA1" s="500"/>
      <c r="DB1" s="500"/>
      <c r="DC1" s="500"/>
      <c r="DD1" s="500"/>
      <c r="DE1" s="500"/>
      <c r="DF1" s="500"/>
      <c r="DG1" s="500"/>
      <c r="DH1" s="500"/>
      <c r="DI1" s="132"/>
      <c r="DJ1" s="502"/>
      <c r="DK1" s="499"/>
      <c r="DL1" s="499"/>
      <c r="DM1" s="499"/>
      <c r="DN1" s="499"/>
      <c r="DO1" s="499"/>
      <c r="DP1" s="499"/>
      <c r="DQ1" s="499"/>
      <c r="DR1" s="499"/>
      <c r="DS1" s="499"/>
      <c r="DT1" s="499"/>
      <c r="DU1" s="499"/>
      <c r="DV1" s="499"/>
      <c r="DW1" s="499"/>
      <c r="DX1" s="499"/>
      <c r="DY1" s="499"/>
      <c r="DZ1" s="499"/>
      <c r="EA1" s="499"/>
      <c r="EB1" s="499"/>
      <c r="EC1" s="499"/>
      <c r="ED1" s="499"/>
      <c r="EE1" s="499"/>
      <c r="EF1" s="499"/>
      <c r="EG1" s="499"/>
      <c r="EH1" s="499"/>
      <c r="EI1" s="499"/>
      <c r="EJ1" s="499"/>
      <c r="EK1" s="499"/>
      <c r="EL1" s="499"/>
      <c r="EM1" s="499"/>
      <c r="EN1" s="499"/>
      <c r="EO1" s="499"/>
      <c r="EP1" s="499"/>
      <c r="EQ1" s="499"/>
      <c r="ER1" s="499"/>
      <c r="ES1" s="499"/>
      <c r="ET1" s="499"/>
      <c r="EU1" s="499"/>
      <c r="EV1" s="499"/>
      <c r="EW1" s="499"/>
      <c r="EX1" s="499"/>
      <c r="EY1" s="499"/>
      <c r="EZ1" s="499"/>
      <c r="FA1" s="499"/>
      <c r="FB1" s="499"/>
      <c r="FC1" s="499"/>
      <c r="FD1" s="499"/>
      <c r="FE1" s="499"/>
      <c r="FF1" s="499"/>
      <c r="FG1" s="499"/>
      <c r="FH1" s="499"/>
      <c r="FI1" s="499"/>
      <c r="FJ1" s="499"/>
      <c r="FK1" s="499"/>
      <c r="FL1" s="499"/>
      <c r="FM1" s="499"/>
      <c r="FN1" s="499"/>
      <c r="FO1" s="499"/>
      <c r="FP1" s="499"/>
      <c r="FQ1" s="499"/>
      <c r="FR1" s="499"/>
      <c r="FS1" s="499"/>
      <c r="FT1" s="499"/>
      <c r="FU1" s="499"/>
      <c r="FV1" s="499"/>
      <c r="FW1" s="499"/>
      <c r="FX1" s="499"/>
      <c r="FY1" s="499"/>
      <c r="FZ1" s="499"/>
      <c r="GA1" s="499"/>
      <c r="GB1" s="499"/>
      <c r="GC1" s="499"/>
      <c r="GD1" s="499"/>
      <c r="GE1" s="499"/>
      <c r="GF1" s="499"/>
      <c r="GG1" s="499"/>
      <c r="GH1" s="499"/>
      <c r="GI1" s="499"/>
      <c r="GJ1" s="499"/>
      <c r="GK1" s="499"/>
      <c r="GL1" s="499"/>
      <c r="GM1" s="499"/>
      <c r="GN1" s="499"/>
      <c r="GO1" s="499"/>
      <c r="GP1" s="499"/>
      <c r="GQ1" s="499"/>
      <c r="GR1" s="499"/>
      <c r="GS1" s="499"/>
      <c r="GT1" s="499"/>
      <c r="GU1" s="499"/>
      <c r="GV1" s="499"/>
    </row>
    <row r="2" spans="1:251" s="503" customFormat="1" ht="14.25" customHeight="1" x14ac:dyDescent="0.3">
      <c r="B2" s="504"/>
      <c r="G2" s="135"/>
      <c r="AI2" s="505"/>
      <c r="DJ2" s="506"/>
    </row>
    <row r="3" spans="1:251" s="509" customFormat="1" ht="33.75" customHeight="1" thickBot="1" x14ac:dyDescent="0.35">
      <c r="A3" s="507" t="s">
        <v>192</v>
      </c>
      <c r="B3" s="504"/>
      <c r="C3" s="504"/>
      <c r="D3" s="504"/>
      <c r="E3" s="504"/>
      <c r="F3" s="504"/>
      <c r="G3" s="504"/>
      <c r="H3" s="504"/>
      <c r="I3" s="504"/>
      <c r="J3" s="504"/>
      <c r="K3" s="504"/>
      <c r="L3" s="504"/>
      <c r="M3" s="504"/>
      <c r="N3" s="504"/>
      <c r="O3" s="504"/>
      <c r="P3" s="504"/>
      <c r="Q3" s="504"/>
      <c r="R3" s="504"/>
      <c r="S3" s="504"/>
      <c r="T3" s="504"/>
      <c r="U3" s="504"/>
      <c r="V3" s="504"/>
      <c r="W3" s="504"/>
      <c r="X3" s="504"/>
      <c r="Y3" s="504"/>
      <c r="Z3" s="504"/>
      <c r="AA3" s="504"/>
      <c r="AB3" s="504"/>
      <c r="AC3" s="504"/>
      <c r="AD3" s="504"/>
      <c r="AE3" s="504"/>
      <c r="AF3" s="504"/>
      <c r="AG3" s="504"/>
      <c r="AH3" s="504"/>
      <c r="AI3" s="508"/>
      <c r="AJ3" s="504"/>
      <c r="AK3" s="504"/>
      <c r="AL3" s="504"/>
      <c r="AM3" s="504"/>
      <c r="AN3" s="504"/>
      <c r="AO3" s="504"/>
      <c r="AP3" s="504"/>
      <c r="AQ3" s="504"/>
      <c r="AR3" s="504"/>
      <c r="AS3" s="504"/>
      <c r="AT3" s="504"/>
      <c r="AU3" s="504"/>
      <c r="AV3" s="504"/>
      <c r="AW3" s="504"/>
      <c r="AX3" s="504"/>
      <c r="AY3" s="504"/>
      <c r="AZ3" s="504"/>
      <c r="BA3" s="504"/>
      <c r="BB3" s="504"/>
      <c r="BC3" s="504"/>
      <c r="BD3" s="504"/>
      <c r="BE3" s="504"/>
      <c r="BF3" s="504"/>
      <c r="BG3" s="504"/>
      <c r="BH3" s="504"/>
      <c r="BI3" s="504"/>
      <c r="BJ3" s="504"/>
      <c r="BK3" s="504"/>
      <c r="BL3" s="504"/>
      <c r="BM3" s="504"/>
      <c r="BN3" s="504"/>
      <c r="BO3" s="504"/>
      <c r="BP3" s="504"/>
      <c r="BQ3" s="504"/>
      <c r="BR3" s="504"/>
      <c r="BS3" s="504"/>
      <c r="BT3" s="504"/>
      <c r="BU3" s="504"/>
      <c r="BV3" s="504"/>
      <c r="BW3" s="504"/>
      <c r="BX3" s="504"/>
      <c r="BY3" s="504"/>
      <c r="BZ3" s="504"/>
      <c r="CA3" s="504"/>
      <c r="CB3" s="504"/>
      <c r="CC3" s="504"/>
      <c r="CD3" s="504"/>
      <c r="CE3" s="504"/>
      <c r="CF3" s="504"/>
      <c r="CG3" s="504"/>
      <c r="CH3" s="504"/>
      <c r="CI3" s="504"/>
      <c r="CJ3" s="504"/>
      <c r="CK3" s="504"/>
      <c r="CL3" s="504"/>
      <c r="CM3" s="504"/>
      <c r="CN3" s="504"/>
      <c r="CO3" s="504"/>
      <c r="CP3" s="504"/>
      <c r="CQ3" s="504"/>
      <c r="CR3" s="504"/>
      <c r="CS3" s="504"/>
      <c r="CT3" s="504"/>
      <c r="CU3" s="504"/>
      <c r="CV3" s="504"/>
      <c r="CW3" s="504"/>
      <c r="CX3" s="504"/>
      <c r="CY3" s="504"/>
      <c r="CZ3" s="504"/>
      <c r="DA3" s="504"/>
      <c r="DB3" s="504"/>
      <c r="DC3" s="504"/>
      <c r="DD3" s="504"/>
      <c r="DE3" s="504"/>
      <c r="DF3" s="504"/>
      <c r="DG3" s="504"/>
      <c r="DH3" s="504"/>
      <c r="DI3" s="504"/>
      <c r="DJ3" s="506"/>
      <c r="DK3" s="504"/>
      <c r="DL3" s="504"/>
      <c r="DM3" s="504"/>
      <c r="DN3" s="504"/>
      <c r="DO3" s="504"/>
      <c r="DP3" s="504"/>
      <c r="DQ3" s="504"/>
      <c r="DR3" s="504"/>
      <c r="DS3" s="504"/>
      <c r="DT3" s="504"/>
      <c r="DU3" s="504"/>
      <c r="DV3" s="504"/>
      <c r="DW3" s="504"/>
      <c r="DX3" s="504"/>
      <c r="DY3" s="504"/>
      <c r="DZ3" s="504"/>
      <c r="EA3" s="504"/>
      <c r="EB3" s="504"/>
      <c r="EC3" s="504"/>
      <c r="ED3" s="504"/>
      <c r="EE3" s="504"/>
      <c r="EF3" s="504"/>
      <c r="EG3" s="504"/>
      <c r="EH3" s="504"/>
      <c r="EI3" s="504"/>
      <c r="EJ3" s="504"/>
      <c r="EK3" s="504"/>
      <c r="EL3" s="504"/>
      <c r="EM3" s="504"/>
      <c r="EN3" s="504"/>
      <c r="EO3" s="504"/>
      <c r="EP3" s="504"/>
      <c r="EQ3" s="504"/>
      <c r="ER3" s="504"/>
      <c r="ES3" s="504"/>
      <c r="ET3" s="504"/>
      <c r="EU3" s="504"/>
      <c r="EV3" s="504"/>
      <c r="EW3" s="504"/>
      <c r="EX3" s="504"/>
      <c r="EY3" s="504"/>
      <c r="EZ3" s="504"/>
      <c r="FA3" s="504"/>
      <c r="FB3" s="504"/>
      <c r="FC3" s="504"/>
      <c r="FD3" s="504"/>
      <c r="FE3" s="504"/>
      <c r="FF3" s="504"/>
      <c r="FG3" s="504"/>
      <c r="FH3" s="504"/>
      <c r="FI3" s="504"/>
      <c r="FJ3" s="504"/>
      <c r="FK3" s="504"/>
      <c r="FL3" s="504"/>
      <c r="FM3" s="504"/>
      <c r="FN3" s="504"/>
      <c r="FO3" s="504"/>
      <c r="FP3" s="504"/>
      <c r="FQ3" s="504"/>
      <c r="FR3" s="504"/>
      <c r="FS3" s="504"/>
      <c r="FT3" s="504"/>
      <c r="FU3" s="504"/>
      <c r="FV3" s="504"/>
      <c r="FW3" s="504"/>
      <c r="FX3" s="504"/>
      <c r="FY3" s="504"/>
      <c r="FZ3" s="504"/>
      <c r="GA3" s="504"/>
      <c r="GB3" s="504"/>
      <c r="GC3" s="504"/>
      <c r="GD3" s="504"/>
      <c r="GE3" s="504"/>
      <c r="GF3" s="504"/>
      <c r="GG3" s="504"/>
      <c r="GH3" s="504"/>
      <c r="GI3" s="504"/>
      <c r="GJ3" s="504"/>
      <c r="GK3" s="504"/>
      <c r="GL3" s="504"/>
      <c r="GM3" s="504"/>
      <c r="GN3" s="504"/>
      <c r="GO3" s="504"/>
      <c r="GP3" s="504"/>
      <c r="GQ3" s="504"/>
      <c r="GR3" s="504"/>
      <c r="GS3" s="504"/>
      <c r="GT3" s="504"/>
      <c r="GU3" s="504"/>
      <c r="GV3" s="504"/>
      <c r="GW3" s="504"/>
      <c r="GX3" s="504"/>
      <c r="GY3" s="504"/>
      <c r="GZ3" s="504"/>
      <c r="HA3" s="504"/>
      <c r="HB3" s="504"/>
      <c r="HC3" s="504"/>
      <c r="HD3" s="504"/>
      <c r="HE3" s="504"/>
      <c r="HF3" s="504"/>
      <c r="HG3" s="504"/>
      <c r="HH3" s="504"/>
      <c r="HI3" s="504"/>
      <c r="HJ3" s="504"/>
      <c r="HK3" s="504"/>
      <c r="HL3" s="504"/>
      <c r="HM3" s="504"/>
      <c r="HN3" s="504"/>
      <c r="HO3" s="504"/>
      <c r="HP3" s="504"/>
      <c r="HQ3" s="504"/>
      <c r="HR3" s="504"/>
      <c r="HS3" s="504"/>
      <c r="HT3" s="504"/>
      <c r="HU3" s="504"/>
      <c r="HV3" s="504"/>
      <c r="HW3" s="504"/>
      <c r="HX3" s="504"/>
      <c r="HY3" s="504"/>
      <c r="HZ3" s="504"/>
      <c r="IA3" s="504"/>
      <c r="IB3" s="504"/>
      <c r="IC3" s="504"/>
      <c r="ID3" s="504"/>
      <c r="IE3" s="504"/>
      <c r="IF3" s="504"/>
      <c r="IG3" s="504"/>
      <c r="IH3" s="504"/>
      <c r="II3" s="504"/>
      <c r="IJ3" s="504"/>
      <c r="IK3" s="504"/>
      <c r="IL3" s="504"/>
      <c r="IM3" s="504"/>
      <c r="IN3" s="504"/>
      <c r="IO3" s="504"/>
      <c r="IP3" s="504"/>
      <c r="IQ3" s="504"/>
    </row>
    <row r="4" spans="1:251" s="513" customFormat="1" ht="11.25" customHeight="1" x14ac:dyDescent="0.3">
      <c r="A4" s="503"/>
      <c r="B4" s="504"/>
      <c r="C4" s="510"/>
      <c r="D4" s="511"/>
      <c r="E4" s="511"/>
      <c r="F4" s="511"/>
      <c r="G4" s="511"/>
      <c r="H4" s="511"/>
      <c r="I4" s="511"/>
      <c r="J4" s="511"/>
      <c r="K4" s="511"/>
      <c r="L4" s="511"/>
      <c r="M4" s="511"/>
      <c r="N4" s="511"/>
      <c r="O4" s="511"/>
      <c r="P4" s="511"/>
      <c r="Q4" s="511"/>
      <c r="R4" s="511"/>
      <c r="S4" s="511"/>
      <c r="T4" s="511"/>
      <c r="U4" s="511"/>
      <c r="V4" s="511"/>
      <c r="W4" s="511"/>
      <c r="X4" s="511"/>
      <c r="Y4" s="511"/>
      <c r="Z4" s="511"/>
      <c r="AA4" s="511"/>
      <c r="AB4" s="511"/>
      <c r="AC4" s="511"/>
      <c r="AD4" s="511"/>
      <c r="AE4" s="511"/>
      <c r="AF4" s="511"/>
      <c r="AG4" s="511"/>
      <c r="AH4" s="511"/>
      <c r="AI4" s="511"/>
      <c r="AJ4" s="511"/>
      <c r="AK4" s="511"/>
      <c r="AL4" s="511"/>
      <c r="AM4" s="511"/>
      <c r="AN4" s="511"/>
      <c r="AO4" s="511"/>
      <c r="AP4" s="511"/>
      <c r="AQ4" s="511"/>
      <c r="AR4" s="511"/>
      <c r="AS4" s="511"/>
      <c r="AT4" s="511"/>
      <c r="AU4" s="511"/>
      <c r="AV4" s="511"/>
      <c r="AW4" s="511"/>
      <c r="AX4" s="511"/>
      <c r="AY4" s="511"/>
      <c r="AZ4" s="511"/>
      <c r="BA4" s="511"/>
      <c r="BB4" s="511"/>
      <c r="BC4" s="511"/>
      <c r="BD4" s="511"/>
      <c r="BE4" s="511"/>
      <c r="BF4" s="511"/>
      <c r="BG4" s="511"/>
      <c r="BH4" s="511"/>
      <c r="BI4" s="511"/>
      <c r="BJ4" s="511"/>
      <c r="BK4" s="511"/>
      <c r="BL4" s="511"/>
      <c r="BM4" s="511"/>
      <c r="BN4" s="511"/>
      <c r="BO4" s="511"/>
      <c r="BP4" s="511"/>
      <c r="BQ4" s="511"/>
      <c r="BR4" s="511"/>
      <c r="BS4" s="511"/>
      <c r="BT4" s="511"/>
      <c r="BU4" s="511"/>
      <c r="BV4" s="511"/>
      <c r="BW4" s="511"/>
      <c r="BX4" s="511"/>
      <c r="BY4" s="511"/>
      <c r="BZ4" s="511"/>
      <c r="CA4" s="511"/>
      <c r="CB4" s="511"/>
      <c r="CC4" s="511"/>
      <c r="CD4" s="511"/>
      <c r="CE4" s="511"/>
      <c r="CF4" s="511"/>
      <c r="CG4" s="511"/>
      <c r="CH4" s="511"/>
      <c r="CI4" s="511"/>
      <c r="CJ4" s="511"/>
      <c r="CK4" s="511"/>
      <c r="CL4" s="511"/>
      <c r="CM4" s="511"/>
      <c r="CN4" s="511"/>
      <c r="CO4" s="511"/>
      <c r="CP4" s="511"/>
      <c r="CQ4" s="511"/>
      <c r="CR4" s="511"/>
      <c r="CS4" s="511"/>
      <c r="CT4" s="511"/>
      <c r="CU4" s="511"/>
      <c r="CV4" s="511"/>
      <c r="CW4" s="511"/>
      <c r="CX4" s="511"/>
      <c r="CY4" s="511"/>
      <c r="CZ4" s="511"/>
      <c r="DA4" s="511"/>
      <c r="DB4" s="511"/>
      <c r="DC4" s="511"/>
      <c r="DD4" s="511"/>
      <c r="DE4" s="511"/>
      <c r="DF4" s="511"/>
      <c r="DG4" s="511"/>
      <c r="DH4" s="511"/>
      <c r="DI4" s="511"/>
      <c r="DJ4" s="512"/>
      <c r="DK4" s="504"/>
      <c r="DL4" s="504"/>
      <c r="DM4" s="504"/>
      <c r="DN4" s="503"/>
      <c r="DO4" s="503"/>
      <c r="DP4" s="503"/>
      <c r="DQ4" s="503"/>
      <c r="DR4" s="503"/>
      <c r="DS4" s="503"/>
      <c r="DT4" s="503"/>
      <c r="DU4" s="503"/>
      <c r="DV4" s="503"/>
      <c r="DW4" s="503"/>
      <c r="DX4" s="503"/>
      <c r="DY4" s="503"/>
      <c r="DZ4" s="503"/>
      <c r="EA4" s="503"/>
      <c r="EB4" s="503"/>
      <c r="EC4" s="503"/>
      <c r="ED4" s="503"/>
      <c r="EE4" s="503"/>
      <c r="EF4" s="503"/>
      <c r="EG4" s="503"/>
      <c r="EH4" s="503"/>
      <c r="EI4" s="503"/>
      <c r="EJ4" s="503"/>
      <c r="EK4" s="503"/>
      <c r="EL4" s="503"/>
      <c r="EM4" s="503"/>
      <c r="EN4" s="503"/>
      <c r="EO4" s="503"/>
      <c r="EP4" s="503"/>
      <c r="EQ4" s="503"/>
      <c r="ER4" s="503"/>
      <c r="ES4" s="503"/>
      <c r="ET4" s="503"/>
      <c r="EU4" s="503"/>
      <c r="EV4" s="503"/>
      <c r="EW4" s="503"/>
      <c r="EX4" s="503"/>
      <c r="EY4" s="503"/>
      <c r="EZ4" s="503"/>
      <c r="FA4" s="503"/>
      <c r="FB4" s="503"/>
      <c r="FC4" s="503"/>
      <c r="FD4" s="503"/>
      <c r="FE4" s="503"/>
      <c r="FF4" s="503"/>
      <c r="FG4" s="503"/>
      <c r="FH4" s="503"/>
      <c r="FI4" s="503"/>
      <c r="FJ4" s="503"/>
      <c r="FK4" s="503"/>
      <c r="FL4" s="503"/>
      <c r="FM4" s="503"/>
      <c r="FN4" s="503"/>
      <c r="FO4" s="503"/>
      <c r="FP4" s="503"/>
      <c r="FQ4" s="503"/>
      <c r="FR4" s="503"/>
      <c r="FS4" s="503"/>
      <c r="FT4" s="503"/>
      <c r="FU4" s="503"/>
      <c r="FV4" s="503"/>
      <c r="FW4" s="503"/>
      <c r="FX4" s="503"/>
      <c r="FY4" s="503"/>
      <c r="FZ4" s="503"/>
      <c r="GA4" s="503"/>
      <c r="GB4" s="503"/>
      <c r="GC4" s="503"/>
      <c r="GD4" s="503"/>
      <c r="GE4" s="503"/>
      <c r="GF4" s="503"/>
      <c r="GG4" s="503"/>
      <c r="GH4" s="503"/>
      <c r="GI4" s="503"/>
      <c r="GJ4" s="503"/>
      <c r="GK4" s="503"/>
      <c r="GL4" s="503"/>
      <c r="GM4" s="503"/>
      <c r="GN4" s="503"/>
      <c r="GO4" s="503"/>
      <c r="GP4" s="503"/>
      <c r="GQ4" s="503"/>
      <c r="GR4" s="503"/>
      <c r="GS4" s="503"/>
      <c r="GT4" s="503"/>
      <c r="GU4" s="503"/>
      <c r="GV4" s="503"/>
      <c r="GW4" s="503"/>
      <c r="GX4" s="503"/>
      <c r="GY4" s="503"/>
      <c r="GZ4" s="503"/>
      <c r="HA4" s="503"/>
      <c r="HB4" s="503"/>
      <c r="HC4" s="503"/>
      <c r="HD4" s="503"/>
      <c r="HE4" s="503"/>
      <c r="HF4" s="503"/>
      <c r="HG4" s="503"/>
      <c r="HH4" s="503"/>
      <c r="HI4" s="503"/>
      <c r="HJ4" s="503"/>
      <c r="HK4" s="503"/>
      <c r="HL4" s="503"/>
      <c r="HM4" s="503"/>
      <c r="HN4" s="503"/>
      <c r="HO4" s="503"/>
      <c r="HP4" s="503"/>
      <c r="HQ4" s="503"/>
      <c r="HR4" s="503"/>
      <c r="HS4" s="503"/>
      <c r="HT4" s="503"/>
      <c r="HU4" s="503"/>
      <c r="HV4" s="503"/>
      <c r="HW4" s="503"/>
      <c r="HX4" s="503"/>
      <c r="HY4" s="503"/>
      <c r="HZ4" s="503"/>
      <c r="IA4" s="503"/>
      <c r="IB4" s="503"/>
      <c r="IC4" s="503"/>
      <c r="ID4" s="503"/>
      <c r="IE4" s="503"/>
      <c r="IF4" s="503"/>
      <c r="IG4" s="503"/>
      <c r="IH4" s="503"/>
      <c r="II4" s="503"/>
      <c r="IJ4" s="503"/>
      <c r="IK4" s="503"/>
      <c r="IL4" s="503"/>
      <c r="IM4" s="503"/>
      <c r="IN4" s="503"/>
      <c r="IO4" s="503"/>
      <c r="IP4" s="503"/>
      <c r="IQ4" s="503"/>
    </row>
    <row r="5" spans="1:251" ht="24.75" customHeight="1" x14ac:dyDescent="0.3">
      <c r="A5" s="514"/>
      <c r="C5" s="512"/>
      <c r="D5" s="515"/>
      <c r="E5" s="1218" t="str">
        <f ca="1">' '!A227</f>
        <v>Internal resources</v>
      </c>
      <c r="F5" s="1218"/>
      <c r="G5" s="1218"/>
      <c r="H5" s="1218"/>
      <c r="I5" s="1218"/>
      <c r="J5" s="1218"/>
      <c r="K5" s="1218"/>
      <c r="L5" s="1218"/>
      <c r="M5" s="1218"/>
      <c r="N5" s="1218"/>
      <c r="O5" s="1218"/>
      <c r="P5" s="1218"/>
      <c r="Q5" s="1218"/>
      <c r="R5" s="1218"/>
      <c r="S5" s="1218"/>
      <c r="T5" s="1218"/>
      <c r="U5" s="1218"/>
      <c r="V5" s="1218"/>
      <c r="W5" s="1218"/>
      <c r="X5" s="1218"/>
      <c r="Y5" s="1218"/>
      <c r="Z5" s="1218"/>
      <c r="AA5" s="1218"/>
      <c r="AB5" s="1218"/>
      <c r="AC5" s="1218"/>
      <c r="AD5" s="1218"/>
      <c r="AE5" s="1218"/>
      <c r="AF5" s="1218"/>
      <c r="AG5" s="1218"/>
      <c r="AH5" s="1218"/>
      <c r="AI5" s="1218"/>
      <c r="AJ5" s="1218"/>
      <c r="AK5" s="1218"/>
      <c r="AL5" s="1218"/>
      <c r="AM5" s="1218"/>
      <c r="AN5" s="1218"/>
      <c r="AO5" s="1218"/>
      <c r="AP5" s="1218"/>
      <c r="AQ5" s="516"/>
      <c r="AR5" s="517"/>
      <c r="AS5" s="517"/>
      <c r="AT5" s="1219" t="str">
        <f ca="1">IF(Projektteam!$BL$3=TRUE,' '!A243&amp;" ["&amp;Logo!D12&amp;"]",' '!A243&amp;" [h]")</f>
        <v>Plan [CHF]</v>
      </c>
      <c r="AU5" s="1219"/>
      <c r="AV5" s="1219"/>
      <c r="AW5" s="1219"/>
      <c r="AX5" s="1219"/>
      <c r="AY5" s="1219"/>
      <c r="AZ5" s="1219"/>
      <c r="BA5" s="1219"/>
      <c r="BB5" s="1219"/>
      <c r="BC5" s="1219"/>
      <c r="BD5" s="1219"/>
      <c r="BE5" s="1219"/>
      <c r="BF5" s="1219"/>
      <c r="BG5" s="518"/>
      <c r="BH5" s="519"/>
      <c r="BI5" s="519"/>
      <c r="BJ5" s="1219" t="str">
        <f ca="1">IF(Projektteam!$BL$3=TRUE,' '!A244&amp;" ["&amp;Logo!D12&amp;"]",' '!A244&amp;" [h]")</f>
        <v>Actual state [CHF]</v>
      </c>
      <c r="BK5" s="1219"/>
      <c r="BL5" s="1219"/>
      <c r="BM5" s="1219"/>
      <c r="BN5" s="1219"/>
      <c r="BO5" s="1219"/>
      <c r="BP5" s="1219"/>
      <c r="BQ5" s="1219"/>
      <c r="BR5" s="1219"/>
      <c r="BS5" s="1219"/>
      <c r="BT5" s="1219"/>
      <c r="BU5" s="1219"/>
      <c r="BV5" s="1219"/>
      <c r="BW5" s="518"/>
      <c r="BX5" s="519"/>
      <c r="BY5" s="519"/>
      <c r="BZ5" s="1219" t="str">
        <f ca="1">IF(Projektteam!$BL$3=TRUE,' '!A245&amp;" ["&amp;Logo!D12&amp;"]",' '!A245&amp;" [h]")</f>
        <v>Balance [CHF]</v>
      </c>
      <c r="CA5" s="1219"/>
      <c r="CB5" s="1219"/>
      <c r="CC5" s="1219"/>
      <c r="CD5" s="1219"/>
      <c r="CE5" s="1219"/>
      <c r="CF5" s="1219"/>
      <c r="CG5" s="1219"/>
      <c r="CH5" s="1219"/>
      <c r="CI5" s="1219"/>
      <c r="CJ5" s="1219"/>
      <c r="CK5" s="1219"/>
      <c r="CL5" s="1219"/>
      <c r="CM5" s="520"/>
      <c r="CN5" s="521"/>
      <c r="CO5" s="1220" t="str">
        <f ca="1">' '!A232</f>
        <v>Remarks</v>
      </c>
      <c r="CP5" s="1220"/>
      <c r="CQ5" s="1220"/>
      <c r="CR5" s="1220"/>
      <c r="CS5" s="1220"/>
      <c r="CT5" s="1220"/>
      <c r="CU5" s="1220"/>
      <c r="CV5" s="1220"/>
      <c r="CW5" s="1220"/>
      <c r="CX5" s="1220"/>
      <c r="CY5" s="1220"/>
      <c r="CZ5" s="1220"/>
      <c r="DA5" s="1220"/>
      <c r="DB5" s="1220"/>
      <c r="DC5" s="1220"/>
      <c r="DD5" s="1220"/>
      <c r="DE5" s="1220"/>
      <c r="DF5" s="1220"/>
      <c r="DG5" s="1220"/>
      <c r="DH5" s="1220"/>
      <c r="DJ5" s="512"/>
    </row>
    <row r="6" spans="1:251" ht="7.5" customHeight="1" x14ac:dyDescent="0.3">
      <c r="A6" s="514"/>
      <c r="C6" s="512"/>
      <c r="D6" s="515"/>
      <c r="E6" s="522"/>
      <c r="F6" s="522"/>
      <c r="G6" s="522"/>
      <c r="H6" s="522"/>
      <c r="I6" s="522"/>
      <c r="J6" s="522"/>
      <c r="K6" s="522"/>
      <c r="L6" s="522"/>
      <c r="M6" s="522"/>
      <c r="N6" s="522"/>
      <c r="O6" s="522"/>
      <c r="P6" s="522"/>
      <c r="Q6" s="522"/>
      <c r="R6" s="522"/>
      <c r="S6" s="522"/>
      <c r="T6" s="522"/>
      <c r="U6" s="522"/>
      <c r="V6" s="522"/>
      <c r="W6" s="522"/>
      <c r="X6" s="522"/>
      <c r="Y6" s="522"/>
      <c r="Z6" s="522"/>
      <c r="AA6" s="522"/>
      <c r="AB6" s="522"/>
      <c r="AC6" s="522"/>
      <c r="AD6" s="522"/>
      <c r="AE6" s="522"/>
      <c r="AF6" s="522"/>
      <c r="AG6" s="522"/>
      <c r="AH6" s="522"/>
      <c r="AI6" s="522"/>
      <c r="AJ6" s="522"/>
      <c r="AK6" s="522"/>
      <c r="AL6" s="522"/>
      <c r="AM6" s="522"/>
      <c r="AN6" s="522"/>
      <c r="AO6" s="522"/>
      <c r="AP6" s="522"/>
      <c r="AQ6" s="522"/>
      <c r="AR6" s="522"/>
      <c r="AS6" s="522"/>
      <c r="AT6" s="522"/>
      <c r="AU6" s="522"/>
      <c r="AV6" s="522"/>
      <c r="AW6" s="522"/>
      <c r="AX6" s="522"/>
      <c r="AY6" s="522"/>
      <c r="AZ6" s="522"/>
      <c r="BA6" s="522"/>
      <c r="BB6" s="522"/>
      <c r="BC6" s="522"/>
      <c r="BD6" s="522"/>
      <c r="BE6" s="522"/>
      <c r="BF6" s="522"/>
      <c r="BG6" s="522"/>
      <c r="BH6" s="522"/>
      <c r="BI6" s="522"/>
      <c r="BJ6" s="522"/>
      <c r="BK6" s="522"/>
      <c r="BL6" s="522"/>
      <c r="BM6" s="522"/>
      <c r="BN6" s="522"/>
      <c r="BO6" s="522"/>
      <c r="BP6" s="522"/>
      <c r="BQ6" s="522"/>
      <c r="BR6" s="522"/>
      <c r="BS6" s="522"/>
      <c r="BT6" s="522"/>
      <c r="BU6" s="522"/>
      <c r="BV6" s="522"/>
      <c r="BW6" s="522"/>
      <c r="BX6" s="522"/>
      <c r="BY6" s="522"/>
      <c r="BZ6" s="522"/>
      <c r="CA6" s="522"/>
      <c r="CB6" s="522"/>
      <c r="CC6" s="522"/>
      <c r="CD6" s="522"/>
      <c r="CE6" s="522"/>
      <c r="CF6" s="522"/>
      <c r="CG6" s="522"/>
      <c r="CH6" s="522"/>
      <c r="CI6" s="522"/>
      <c r="CJ6" s="522"/>
      <c r="CK6" s="522"/>
      <c r="CL6" s="522"/>
      <c r="CM6" s="522"/>
      <c r="CN6" s="522"/>
      <c r="CO6" s="522"/>
      <c r="CP6" s="522"/>
      <c r="CQ6" s="522"/>
      <c r="CR6" s="522"/>
      <c r="CS6" s="522"/>
      <c r="CT6" s="522"/>
      <c r="CU6" s="522"/>
      <c r="CV6" s="522"/>
      <c r="CW6" s="522"/>
      <c r="CX6" s="522"/>
      <c r="CY6" s="522"/>
      <c r="CZ6" s="522"/>
      <c r="DA6" s="522"/>
      <c r="DB6" s="522"/>
      <c r="DC6" s="522"/>
      <c r="DD6" s="522"/>
      <c r="DE6" s="522"/>
      <c r="DF6" s="522"/>
      <c r="DG6" s="522"/>
      <c r="DH6" s="522"/>
      <c r="DI6" s="503"/>
      <c r="DJ6" s="512"/>
      <c r="DK6" s="503"/>
      <c r="DL6" s="503"/>
      <c r="DM6" s="503"/>
      <c r="DN6" s="503"/>
      <c r="DO6" s="503"/>
      <c r="DP6" s="503"/>
      <c r="DQ6" s="503"/>
      <c r="DR6" s="503"/>
      <c r="DS6" s="503"/>
      <c r="DT6" s="503"/>
      <c r="DU6" s="503"/>
      <c r="DV6" s="503"/>
      <c r="DW6" s="503"/>
      <c r="DX6" s="503"/>
      <c r="DY6" s="503"/>
      <c r="DZ6" s="503"/>
      <c r="EA6" s="503"/>
      <c r="EB6" s="503"/>
      <c r="EC6" s="503"/>
      <c r="ED6" s="503"/>
      <c r="EE6" s="503"/>
      <c r="EF6" s="503"/>
      <c r="EG6" s="503"/>
      <c r="EH6" s="503"/>
      <c r="EI6" s="503"/>
      <c r="EJ6" s="503"/>
      <c r="EK6" s="503"/>
      <c r="EL6" s="503"/>
      <c r="EM6" s="503"/>
      <c r="EN6" s="503"/>
      <c r="EO6" s="503"/>
      <c r="EP6" s="503"/>
      <c r="EQ6" s="503"/>
      <c r="ER6" s="503"/>
      <c r="ES6" s="503"/>
      <c r="ET6" s="503"/>
      <c r="EU6" s="503"/>
      <c r="EV6" s="503"/>
      <c r="EW6" s="503"/>
      <c r="EX6" s="503"/>
      <c r="EY6" s="503"/>
      <c r="EZ6" s="503"/>
      <c r="FA6" s="503"/>
      <c r="FB6" s="503"/>
      <c r="FC6" s="503"/>
      <c r="FD6" s="503"/>
      <c r="FE6" s="503"/>
      <c r="FF6" s="503"/>
      <c r="FG6" s="503"/>
      <c r="FH6" s="503"/>
      <c r="FI6" s="503"/>
      <c r="FJ6" s="503"/>
      <c r="FK6" s="503"/>
      <c r="FL6" s="503"/>
      <c r="FM6" s="503"/>
      <c r="FN6" s="503"/>
      <c r="FO6" s="503"/>
      <c r="FP6" s="503"/>
      <c r="FQ6" s="503"/>
      <c r="FR6" s="503"/>
      <c r="FS6" s="503"/>
      <c r="FT6" s="503"/>
      <c r="FU6" s="503"/>
      <c r="FV6" s="503"/>
      <c r="FW6" s="503"/>
      <c r="FX6" s="503"/>
      <c r="FY6" s="503"/>
      <c r="FZ6" s="503"/>
      <c r="GA6" s="503"/>
      <c r="GB6" s="503"/>
      <c r="GC6" s="503"/>
      <c r="GD6" s="503"/>
      <c r="GE6" s="503"/>
      <c r="GF6" s="503"/>
      <c r="GG6" s="503"/>
      <c r="GH6" s="503"/>
      <c r="GI6" s="503"/>
      <c r="GJ6" s="503"/>
      <c r="GK6" s="503"/>
      <c r="GL6" s="503"/>
      <c r="GM6" s="503"/>
      <c r="GN6" s="503"/>
      <c r="GO6" s="503"/>
      <c r="GP6" s="503"/>
      <c r="GQ6" s="503"/>
      <c r="GR6" s="503"/>
      <c r="GS6" s="503"/>
      <c r="GT6" s="503"/>
      <c r="GU6" s="503"/>
      <c r="GV6" s="503"/>
      <c r="GW6" s="503"/>
      <c r="GX6" s="503"/>
      <c r="GY6" s="503"/>
      <c r="GZ6" s="503"/>
      <c r="HA6" s="503"/>
      <c r="HB6" s="503"/>
      <c r="HC6" s="503"/>
      <c r="HD6" s="503"/>
      <c r="HE6" s="503"/>
      <c r="HF6" s="503"/>
      <c r="HG6" s="503"/>
      <c r="HH6" s="503"/>
      <c r="HI6" s="503"/>
      <c r="HJ6" s="503"/>
      <c r="HK6" s="503"/>
      <c r="HL6" s="503"/>
      <c r="HM6" s="503"/>
      <c r="HN6" s="503"/>
      <c r="HO6" s="503"/>
      <c r="HP6" s="503"/>
      <c r="HQ6" s="503"/>
      <c r="HR6" s="503"/>
      <c r="HS6" s="503"/>
      <c r="HT6" s="503"/>
      <c r="HU6" s="503"/>
      <c r="HV6" s="503"/>
      <c r="HW6" s="503"/>
      <c r="HX6" s="503"/>
      <c r="HY6" s="503"/>
      <c r="HZ6" s="503"/>
      <c r="IA6" s="503"/>
      <c r="IB6" s="503"/>
      <c r="IC6" s="503"/>
      <c r="ID6" s="503"/>
      <c r="IE6" s="503"/>
      <c r="IF6" s="503"/>
      <c r="IG6" s="503"/>
      <c r="IH6" s="503"/>
      <c r="II6" s="503"/>
      <c r="IJ6" s="503"/>
      <c r="IK6" s="503"/>
      <c r="IL6" s="503"/>
      <c r="IM6" s="503"/>
      <c r="IN6" s="503"/>
      <c r="IO6" s="503"/>
      <c r="IP6" s="503"/>
      <c r="IQ6" s="503"/>
    </row>
    <row r="7" spans="1:251" ht="18.75" customHeight="1" x14ac:dyDescent="0.3">
      <c r="A7" s="514"/>
      <c r="C7" s="512"/>
      <c r="D7" s="523">
        <v>1</v>
      </c>
      <c r="E7" s="1232" t="str">
        <f ca="1">' '!A240</f>
        <v>Personnel resources (internal)</v>
      </c>
      <c r="F7" s="1233"/>
      <c r="G7" s="1233"/>
      <c r="H7" s="1233"/>
      <c r="I7" s="1233"/>
      <c r="J7" s="1233"/>
      <c r="K7" s="1233"/>
      <c r="L7" s="1233"/>
      <c r="M7" s="1233"/>
      <c r="N7" s="1233"/>
      <c r="O7" s="1233"/>
      <c r="P7" s="1233"/>
      <c r="Q7" s="1233"/>
      <c r="R7" s="1233"/>
      <c r="S7" s="1233"/>
      <c r="T7" s="1233"/>
      <c r="U7" s="1233"/>
      <c r="V7" s="1233"/>
      <c r="W7" s="1233"/>
      <c r="X7" s="1233"/>
      <c r="Y7" s="1233"/>
      <c r="Z7" s="1233"/>
      <c r="AA7" s="1233"/>
      <c r="AB7" s="1233"/>
      <c r="AC7" s="1233"/>
      <c r="AD7" s="1233"/>
      <c r="AE7" s="1233"/>
      <c r="AF7" s="1233"/>
      <c r="AG7" s="1233"/>
      <c r="AH7" s="1233"/>
      <c r="AI7" s="1233"/>
      <c r="AJ7" s="1233"/>
      <c r="AK7" s="1233"/>
      <c r="AL7" s="1233"/>
      <c r="AM7" s="1233"/>
      <c r="AN7" s="1233"/>
      <c r="AO7" s="1233"/>
      <c r="AP7" s="1233"/>
      <c r="AQ7" s="524"/>
      <c r="AR7" s="525"/>
      <c r="AS7" s="525"/>
      <c r="AT7" s="1208">
        <f>Projektteam!AG32</f>
        <v>0</v>
      </c>
      <c r="AU7" s="1209"/>
      <c r="AV7" s="1209"/>
      <c r="AW7" s="1209"/>
      <c r="AX7" s="1209"/>
      <c r="AY7" s="1209"/>
      <c r="AZ7" s="1209"/>
      <c r="BA7" s="1209"/>
      <c r="BB7" s="1209"/>
      <c r="BC7" s="1209"/>
      <c r="BD7" s="1209"/>
      <c r="BE7" s="1209"/>
      <c r="BF7" s="1209"/>
      <c r="BG7" s="526"/>
      <c r="BH7" s="527"/>
      <c r="BI7" s="527"/>
      <c r="BJ7" s="1208">
        <f>Projektteam!AL32</f>
        <v>0</v>
      </c>
      <c r="BK7" s="1209"/>
      <c r="BL7" s="1209"/>
      <c r="BM7" s="1209"/>
      <c r="BN7" s="1209"/>
      <c r="BO7" s="1209"/>
      <c r="BP7" s="1209"/>
      <c r="BQ7" s="1209"/>
      <c r="BR7" s="1209"/>
      <c r="BS7" s="1209"/>
      <c r="BT7" s="1209"/>
      <c r="BU7" s="1209"/>
      <c r="BV7" s="1209"/>
      <c r="BW7" s="526"/>
      <c r="BX7" s="527"/>
      <c r="BY7" s="527"/>
      <c r="BZ7" s="1208">
        <f t="shared" ref="BZ7:BZ24" si="0">AT7-BJ7</f>
        <v>0</v>
      </c>
      <c r="CA7" s="1209"/>
      <c r="CB7" s="1209"/>
      <c r="CC7" s="1209"/>
      <c r="CD7" s="1209"/>
      <c r="CE7" s="1209"/>
      <c r="CF7" s="1209"/>
      <c r="CG7" s="1209"/>
      <c r="CH7" s="1209"/>
      <c r="CI7" s="1209"/>
      <c r="CJ7" s="1209"/>
      <c r="CK7" s="1209"/>
      <c r="CL7" s="1209"/>
      <c r="CM7" s="524"/>
      <c r="CN7" s="525"/>
      <c r="CO7" s="1224" t="str">
        <f ca="1">' '!A73</f>
        <v>Compare detail project team</v>
      </c>
      <c r="CP7" s="1224"/>
      <c r="CQ7" s="1224"/>
      <c r="CR7" s="1224"/>
      <c r="CS7" s="1224"/>
      <c r="CT7" s="1224"/>
      <c r="CU7" s="1224"/>
      <c r="CV7" s="1224"/>
      <c r="CW7" s="1224"/>
      <c r="CX7" s="1224"/>
      <c r="CY7" s="1224"/>
      <c r="CZ7" s="1224"/>
      <c r="DA7" s="1224"/>
      <c r="DB7" s="1224"/>
      <c r="DC7" s="1224"/>
      <c r="DD7" s="1224"/>
      <c r="DE7" s="1224"/>
      <c r="DF7" s="1224"/>
      <c r="DG7" s="1224"/>
      <c r="DH7" s="1224"/>
      <c r="DJ7" s="512"/>
    </row>
    <row r="8" spans="1:251" ht="18.75" customHeight="1" x14ac:dyDescent="0.3">
      <c r="A8" s="514"/>
      <c r="C8" s="512"/>
      <c r="D8" s="523">
        <v>2</v>
      </c>
      <c r="E8" s="1230"/>
      <c r="F8" s="1231"/>
      <c r="G8" s="1231"/>
      <c r="H8" s="1231"/>
      <c r="I8" s="1231"/>
      <c r="J8" s="1231"/>
      <c r="K8" s="1231"/>
      <c r="L8" s="1231"/>
      <c r="M8" s="1231"/>
      <c r="N8" s="1231"/>
      <c r="O8" s="1231"/>
      <c r="P8" s="1231"/>
      <c r="Q8" s="1231"/>
      <c r="R8" s="1231"/>
      <c r="S8" s="1231"/>
      <c r="T8" s="1231"/>
      <c r="U8" s="1231"/>
      <c r="V8" s="1231"/>
      <c r="W8" s="1231"/>
      <c r="X8" s="1231"/>
      <c r="Y8" s="1231"/>
      <c r="Z8" s="1231"/>
      <c r="AA8" s="1231"/>
      <c r="AB8" s="1231"/>
      <c r="AC8" s="1231"/>
      <c r="AD8" s="1231"/>
      <c r="AE8" s="1231"/>
      <c r="AF8" s="1231"/>
      <c r="AG8" s="1231"/>
      <c r="AH8" s="1231"/>
      <c r="AI8" s="1231"/>
      <c r="AJ8" s="1231"/>
      <c r="AK8" s="1231"/>
      <c r="AL8" s="1231"/>
      <c r="AM8" s="1231"/>
      <c r="AN8" s="1231"/>
      <c r="AO8" s="1231"/>
      <c r="AP8" s="1231"/>
      <c r="AQ8" s="524"/>
      <c r="AR8" s="525"/>
      <c r="AS8" s="525"/>
      <c r="AT8" s="1206">
        <v>500</v>
      </c>
      <c r="AU8" s="1207"/>
      <c r="AV8" s="1207"/>
      <c r="AW8" s="1207"/>
      <c r="AX8" s="1207"/>
      <c r="AY8" s="1207"/>
      <c r="AZ8" s="1207"/>
      <c r="BA8" s="1207"/>
      <c r="BB8" s="1207"/>
      <c r="BC8" s="1207"/>
      <c r="BD8" s="1207"/>
      <c r="BE8" s="1207"/>
      <c r="BF8" s="1207"/>
      <c r="BG8" s="526"/>
      <c r="BH8" s="527"/>
      <c r="BI8" s="527"/>
      <c r="BJ8" s="1206">
        <v>500</v>
      </c>
      <c r="BK8" s="1207"/>
      <c r="BL8" s="1207"/>
      <c r="BM8" s="1207"/>
      <c r="BN8" s="1207"/>
      <c r="BO8" s="1207"/>
      <c r="BP8" s="1207"/>
      <c r="BQ8" s="1207"/>
      <c r="BR8" s="1207"/>
      <c r="BS8" s="1207"/>
      <c r="BT8" s="1207"/>
      <c r="BU8" s="1207"/>
      <c r="BV8" s="1207"/>
      <c r="BW8" s="526"/>
      <c r="BX8" s="527"/>
      <c r="BY8" s="527"/>
      <c r="BZ8" s="1208">
        <f t="shared" si="0"/>
        <v>0</v>
      </c>
      <c r="CA8" s="1209"/>
      <c r="CB8" s="1209"/>
      <c r="CC8" s="1209"/>
      <c r="CD8" s="1209"/>
      <c r="CE8" s="1209"/>
      <c r="CF8" s="1209"/>
      <c r="CG8" s="1209"/>
      <c r="CH8" s="1209"/>
      <c r="CI8" s="1209"/>
      <c r="CJ8" s="1209"/>
      <c r="CK8" s="1209"/>
      <c r="CL8" s="1209"/>
      <c r="CM8" s="524"/>
      <c r="CN8" s="525"/>
      <c r="CO8" s="1210"/>
      <c r="CP8" s="1211"/>
      <c r="CQ8" s="1211"/>
      <c r="CR8" s="1211"/>
      <c r="CS8" s="1211"/>
      <c r="CT8" s="1211"/>
      <c r="CU8" s="1211"/>
      <c r="CV8" s="1211"/>
      <c r="CW8" s="1211"/>
      <c r="CX8" s="1211"/>
      <c r="CY8" s="1211"/>
      <c r="CZ8" s="1211"/>
      <c r="DA8" s="1211"/>
      <c r="DB8" s="1211"/>
      <c r="DC8" s="1211"/>
      <c r="DD8" s="1211"/>
      <c r="DE8" s="1211"/>
      <c r="DF8" s="1211"/>
      <c r="DG8" s="1211"/>
      <c r="DH8" s="1211"/>
      <c r="DJ8" s="512"/>
    </row>
    <row r="9" spans="1:251" ht="18.75" customHeight="1" x14ac:dyDescent="0.3">
      <c r="A9" s="514"/>
      <c r="C9" s="512"/>
      <c r="D9" s="523">
        <v>3</v>
      </c>
      <c r="E9" s="1230"/>
      <c r="F9" s="1231"/>
      <c r="G9" s="1231"/>
      <c r="H9" s="1231"/>
      <c r="I9" s="1231"/>
      <c r="J9" s="1231"/>
      <c r="K9" s="1231"/>
      <c r="L9" s="1231"/>
      <c r="M9" s="1231"/>
      <c r="N9" s="1231"/>
      <c r="O9" s="1231"/>
      <c r="P9" s="1231"/>
      <c r="Q9" s="1231"/>
      <c r="R9" s="1231"/>
      <c r="S9" s="1231"/>
      <c r="T9" s="1231"/>
      <c r="U9" s="1231"/>
      <c r="V9" s="1231"/>
      <c r="W9" s="1231"/>
      <c r="X9" s="1231"/>
      <c r="Y9" s="1231"/>
      <c r="Z9" s="1231"/>
      <c r="AA9" s="1231"/>
      <c r="AB9" s="1231"/>
      <c r="AC9" s="1231"/>
      <c r="AD9" s="1231"/>
      <c r="AE9" s="1231"/>
      <c r="AF9" s="1231"/>
      <c r="AG9" s="1231"/>
      <c r="AH9" s="1231"/>
      <c r="AI9" s="1231"/>
      <c r="AJ9" s="1231"/>
      <c r="AK9" s="1231"/>
      <c r="AL9" s="1231"/>
      <c r="AM9" s="1231"/>
      <c r="AN9" s="1231"/>
      <c r="AO9" s="1231"/>
      <c r="AP9" s="1231"/>
      <c r="AQ9" s="524"/>
      <c r="AR9" s="525"/>
      <c r="AS9" s="525"/>
      <c r="AT9" s="1206">
        <v>0</v>
      </c>
      <c r="AU9" s="1207"/>
      <c r="AV9" s="1207"/>
      <c r="AW9" s="1207"/>
      <c r="AX9" s="1207"/>
      <c r="AY9" s="1207"/>
      <c r="AZ9" s="1207"/>
      <c r="BA9" s="1207"/>
      <c r="BB9" s="1207"/>
      <c r="BC9" s="1207"/>
      <c r="BD9" s="1207"/>
      <c r="BE9" s="1207"/>
      <c r="BF9" s="1207"/>
      <c r="BG9" s="526"/>
      <c r="BH9" s="527"/>
      <c r="BI9" s="527"/>
      <c r="BJ9" s="1206">
        <v>0</v>
      </c>
      <c r="BK9" s="1207"/>
      <c r="BL9" s="1207"/>
      <c r="BM9" s="1207"/>
      <c r="BN9" s="1207"/>
      <c r="BO9" s="1207"/>
      <c r="BP9" s="1207"/>
      <c r="BQ9" s="1207"/>
      <c r="BR9" s="1207"/>
      <c r="BS9" s="1207"/>
      <c r="BT9" s="1207"/>
      <c r="BU9" s="1207"/>
      <c r="BV9" s="1207"/>
      <c r="BW9" s="526"/>
      <c r="BX9" s="527"/>
      <c r="BY9" s="527"/>
      <c r="BZ9" s="1208">
        <f t="shared" si="0"/>
        <v>0</v>
      </c>
      <c r="CA9" s="1209"/>
      <c r="CB9" s="1209"/>
      <c r="CC9" s="1209"/>
      <c r="CD9" s="1209"/>
      <c r="CE9" s="1209"/>
      <c r="CF9" s="1209"/>
      <c r="CG9" s="1209"/>
      <c r="CH9" s="1209"/>
      <c r="CI9" s="1209"/>
      <c r="CJ9" s="1209"/>
      <c r="CK9" s="1209"/>
      <c r="CL9" s="1209"/>
      <c r="CM9" s="524"/>
      <c r="CN9" s="525"/>
      <c r="CO9" s="1210"/>
      <c r="CP9" s="1211"/>
      <c r="CQ9" s="1211"/>
      <c r="CR9" s="1211"/>
      <c r="CS9" s="1211"/>
      <c r="CT9" s="1211"/>
      <c r="CU9" s="1211"/>
      <c r="CV9" s="1211"/>
      <c r="CW9" s="1211"/>
      <c r="CX9" s="1211"/>
      <c r="CY9" s="1211"/>
      <c r="CZ9" s="1211"/>
      <c r="DA9" s="1211"/>
      <c r="DB9" s="1211"/>
      <c r="DC9" s="1211"/>
      <c r="DD9" s="1211"/>
      <c r="DE9" s="1211"/>
      <c r="DF9" s="1211"/>
      <c r="DG9" s="1211"/>
      <c r="DH9" s="1211"/>
      <c r="DJ9" s="512"/>
    </row>
    <row r="10" spans="1:251" ht="18.75" customHeight="1" x14ac:dyDescent="0.3">
      <c r="A10" s="514"/>
      <c r="C10" s="512"/>
      <c r="D10" s="523">
        <v>4</v>
      </c>
      <c r="E10" s="1230"/>
      <c r="F10" s="1231"/>
      <c r="G10" s="1231"/>
      <c r="H10" s="1231"/>
      <c r="I10" s="1231"/>
      <c r="J10" s="1231"/>
      <c r="K10" s="1231"/>
      <c r="L10" s="1231"/>
      <c r="M10" s="1231"/>
      <c r="N10" s="1231"/>
      <c r="O10" s="1231"/>
      <c r="P10" s="1231"/>
      <c r="Q10" s="1231"/>
      <c r="R10" s="1231"/>
      <c r="S10" s="1231"/>
      <c r="T10" s="1231"/>
      <c r="U10" s="1231"/>
      <c r="V10" s="1231"/>
      <c r="W10" s="1231"/>
      <c r="X10" s="1231"/>
      <c r="Y10" s="1231"/>
      <c r="Z10" s="1231"/>
      <c r="AA10" s="1231"/>
      <c r="AB10" s="1231"/>
      <c r="AC10" s="1231"/>
      <c r="AD10" s="1231"/>
      <c r="AE10" s="1231"/>
      <c r="AF10" s="1231"/>
      <c r="AG10" s="1231"/>
      <c r="AH10" s="1231"/>
      <c r="AI10" s="1231"/>
      <c r="AJ10" s="1231"/>
      <c r="AK10" s="1231"/>
      <c r="AL10" s="1231"/>
      <c r="AM10" s="1231"/>
      <c r="AN10" s="1231"/>
      <c r="AO10" s="1231"/>
      <c r="AP10" s="1231"/>
      <c r="AQ10" s="524"/>
      <c r="AR10" s="525"/>
      <c r="AS10" s="525"/>
      <c r="AT10" s="1206">
        <v>0</v>
      </c>
      <c r="AU10" s="1207"/>
      <c r="AV10" s="1207"/>
      <c r="AW10" s="1207"/>
      <c r="AX10" s="1207"/>
      <c r="AY10" s="1207"/>
      <c r="AZ10" s="1207"/>
      <c r="BA10" s="1207"/>
      <c r="BB10" s="1207"/>
      <c r="BC10" s="1207"/>
      <c r="BD10" s="1207"/>
      <c r="BE10" s="1207"/>
      <c r="BF10" s="1207"/>
      <c r="BG10" s="526"/>
      <c r="BH10" s="527"/>
      <c r="BI10" s="527"/>
      <c r="BJ10" s="1206">
        <v>0</v>
      </c>
      <c r="BK10" s="1207"/>
      <c r="BL10" s="1207"/>
      <c r="BM10" s="1207"/>
      <c r="BN10" s="1207"/>
      <c r="BO10" s="1207"/>
      <c r="BP10" s="1207"/>
      <c r="BQ10" s="1207"/>
      <c r="BR10" s="1207"/>
      <c r="BS10" s="1207"/>
      <c r="BT10" s="1207"/>
      <c r="BU10" s="1207"/>
      <c r="BV10" s="1207"/>
      <c r="BW10" s="526"/>
      <c r="BX10" s="527"/>
      <c r="BY10" s="527"/>
      <c r="BZ10" s="1208">
        <f t="shared" si="0"/>
        <v>0</v>
      </c>
      <c r="CA10" s="1209"/>
      <c r="CB10" s="1209"/>
      <c r="CC10" s="1209"/>
      <c r="CD10" s="1209"/>
      <c r="CE10" s="1209"/>
      <c r="CF10" s="1209"/>
      <c r="CG10" s="1209"/>
      <c r="CH10" s="1209"/>
      <c r="CI10" s="1209"/>
      <c r="CJ10" s="1209"/>
      <c r="CK10" s="1209"/>
      <c r="CL10" s="1209"/>
      <c r="CM10" s="524"/>
      <c r="CN10" s="525"/>
      <c r="CO10" s="1210"/>
      <c r="CP10" s="1211"/>
      <c r="CQ10" s="1211"/>
      <c r="CR10" s="1211"/>
      <c r="CS10" s="1211"/>
      <c r="CT10" s="1211"/>
      <c r="CU10" s="1211"/>
      <c r="CV10" s="1211"/>
      <c r="CW10" s="1211"/>
      <c r="CX10" s="1211"/>
      <c r="CY10" s="1211"/>
      <c r="CZ10" s="1211"/>
      <c r="DA10" s="1211"/>
      <c r="DB10" s="1211"/>
      <c r="DC10" s="1211"/>
      <c r="DD10" s="1211"/>
      <c r="DE10" s="1211"/>
      <c r="DF10" s="1211"/>
      <c r="DG10" s="1211"/>
      <c r="DH10" s="1211"/>
      <c r="DJ10" s="512"/>
    </row>
    <row r="11" spans="1:251" ht="18.75" customHeight="1" x14ac:dyDescent="0.3">
      <c r="A11" s="514"/>
      <c r="C11" s="512"/>
      <c r="D11" s="523">
        <v>5</v>
      </c>
      <c r="E11" s="1230"/>
      <c r="F11" s="1231"/>
      <c r="G11" s="1231"/>
      <c r="H11" s="1231"/>
      <c r="I11" s="1231"/>
      <c r="J11" s="1231"/>
      <c r="K11" s="1231"/>
      <c r="L11" s="1231"/>
      <c r="M11" s="1231"/>
      <c r="N11" s="1231"/>
      <c r="O11" s="1231"/>
      <c r="P11" s="1231"/>
      <c r="Q11" s="1231"/>
      <c r="R11" s="1231"/>
      <c r="S11" s="1231"/>
      <c r="T11" s="1231"/>
      <c r="U11" s="1231"/>
      <c r="V11" s="1231"/>
      <c r="W11" s="1231"/>
      <c r="X11" s="1231"/>
      <c r="Y11" s="1231"/>
      <c r="Z11" s="1231"/>
      <c r="AA11" s="1231"/>
      <c r="AB11" s="1231"/>
      <c r="AC11" s="1231"/>
      <c r="AD11" s="1231"/>
      <c r="AE11" s="1231"/>
      <c r="AF11" s="1231"/>
      <c r="AG11" s="1231"/>
      <c r="AH11" s="1231"/>
      <c r="AI11" s="1231"/>
      <c r="AJ11" s="1231"/>
      <c r="AK11" s="1231"/>
      <c r="AL11" s="1231"/>
      <c r="AM11" s="1231"/>
      <c r="AN11" s="1231"/>
      <c r="AO11" s="1231"/>
      <c r="AP11" s="1231"/>
      <c r="AQ11" s="524"/>
      <c r="AR11" s="525"/>
      <c r="AS11" s="525"/>
      <c r="AT11" s="1206">
        <v>0</v>
      </c>
      <c r="AU11" s="1207"/>
      <c r="AV11" s="1207"/>
      <c r="AW11" s="1207"/>
      <c r="AX11" s="1207"/>
      <c r="AY11" s="1207"/>
      <c r="AZ11" s="1207"/>
      <c r="BA11" s="1207"/>
      <c r="BB11" s="1207"/>
      <c r="BC11" s="1207"/>
      <c r="BD11" s="1207"/>
      <c r="BE11" s="1207"/>
      <c r="BF11" s="1207"/>
      <c r="BG11" s="526"/>
      <c r="BH11" s="527"/>
      <c r="BI11" s="527"/>
      <c r="BJ11" s="1206">
        <v>0</v>
      </c>
      <c r="BK11" s="1207"/>
      <c r="BL11" s="1207"/>
      <c r="BM11" s="1207"/>
      <c r="BN11" s="1207"/>
      <c r="BO11" s="1207"/>
      <c r="BP11" s="1207"/>
      <c r="BQ11" s="1207"/>
      <c r="BR11" s="1207"/>
      <c r="BS11" s="1207"/>
      <c r="BT11" s="1207"/>
      <c r="BU11" s="1207"/>
      <c r="BV11" s="1207"/>
      <c r="BW11" s="526"/>
      <c r="BX11" s="527"/>
      <c r="BY11" s="527"/>
      <c r="BZ11" s="1208">
        <f t="shared" si="0"/>
        <v>0</v>
      </c>
      <c r="CA11" s="1209"/>
      <c r="CB11" s="1209"/>
      <c r="CC11" s="1209"/>
      <c r="CD11" s="1209"/>
      <c r="CE11" s="1209"/>
      <c r="CF11" s="1209"/>
      <c r="CG11" s="1209"/>
      <c r="CH11" s="1209"/>
      <c r="CI11" s="1209"/>
      <c r="CJ11" s="1209"/>
      <c r="CK11" s="1209"/>
      <c r="CL11" s="1209"/>
      <c r="CM11" s="524"/>
      <c r="CN11" s="525"/>
      <c r="CO11" s="1210"/>
      <c r="CP11" s="1211"/>
      <c r="CQ11" s="1211"/>
      <c r="CR11" s="1211"/>
      <c r="CS11" s="1211"/>
      <c r="CT11" s="1211"/>
      <c r="CU11" s="1211"/>
      <c r="CV11" s="1211"/>
      <c r="CW11" s="1211"/>
      <c r="CX11" s="1211"/>
      <c r="CY11" s="1211"/>
      <c r="CZ11" s="1211"/>
      <c r="DA11" s="1211"/>
      <c r="DB11" s="1211"/>
      <c r="DC11" s="1211"/>
      <c r="DD11" s="1211"/>
      <c r="DE11" s="1211"/>
      <c r="DF11" s="1211"/>
      <c r="DG11" s="1211"/>
      <c r="DH11" s="1211"/>
      <c r="DJ11" s="512"/>
    </row>
    <row r="12" spans="1:251" ht="18.75" customHeight="1" x14ac:dyDescent="0.3">
      <c r="A12" s="514"/>
      <c r="C12" s="512"/>
      <c r="D12" s="523">
        <v>6</v>
      </c>
      <c r="E12" s="1230"/>
      <c r="F12" s="1231"/>
      <c r="G12" s="1231"/>
      <c r="H12" s="1231"/>
      <c r="I12" s="1231"/>
      <c r="J12" s="1231"/>
      <c r="K12" s="1231"/>
      <c r="L12" s="1231"/>
      <c r="M12" s="1231"/>
      <c r="N12" s="1231"/>
      <c r="O12" s="1231"/>
      <c r="P12" s="1231"/>
      <c r="Q12" s="1231"/>
      <c r="R12" s="1231"/>
      <c r="S12" s="1231"/>
      <c r="T12" s="1231"/>
      <c r="U12" s="1231"/>
      <c r="V12" s="1231"/>
      <c r="W12" s="1231"/>
      <c r="X12" s="1231"/>
      <c r="Y12" s="1231"/>
      <c r="Z12" s="1231"/>
      <c r="AA12" s="1231"/>
      <c r="AB12" s="1231"/>
      <c r="AC12" s="1231"/>
      <c r="AD12" s="1231"/>
      <c r="AE12" s="1231"/>
      <c r="AF12" s="1231"/>
      <c r="AG12" s="1231"/>
      <c r="AH12" s="1231"/>
      <c r="AI12" s="1231"/>
      <c r="AJ12" s="1231"/>
      <c r="AK12" s="1231"/>
      <c r="AL12" s="1231"/>
      <c r="AM12" s="1231"/>
      <c r="AN12" s="1231"/>
      <c r="AO12" s="1231"/>
      <c r="AP12" s="1231"/>
      <c r="AQ12" s="524"/>
      <c r="AR12" s="525"/>
      <c r="AS12" s="525"/>
      <c r="AT12" s="1206">
        <v>0</v>
      </c>
      <c r="AU12" s="1207"/>
      <c r="AV12" s="1207"/>
      <c r="AW12" s="1207"/>
      <c r="AX12" s="1207"/>
      <c r="AY12" s="1207"/>
      <c r="AZ12" s="1207"/>
      <c r="BA12" s="1207"/>
      <c r="BB12" s="1207"/>
      <c r="BC12" s="1207"/>
      <c r="BD12" s="1207"/>
      <c r="BE12" s="1207"/>
      <c r="BF12" s="1207"/>
      <c r="BG12" s="526"/>
      <c r="BH12" s="527"/>
      <c r="BI12" s="527"/>
      <c r="BJ12" s="1206">
        <v>0</v>
      </c>
      <c r="BK12" s="1207"/>
      <c r="BL12" s="1207"/>
      <c r="BM12" s="1207"/>
      <c r="BN12" s="1207"/>
      <c r="BO12" s="1207"/>
      <c r="BP12" s="1207"/>
      <c r="BQ12" s="1207"/>
      <c r="BR12" s="1207"/>
      <c r="BS12" s="1207"/>
      <c r="BT12" s="1207"/>
      <c r="BU12" s="1207"/>
      <c r="BV12" s="1207"/>
      <c r="BW12" s="526"/>
      <c r="BX12" s="527"/>
      <c r="BY12" s="527"/>
      <c r="BZ12" s="1208">
        <f t="shared" si="0"/>
        <v>0</v>
      </c>
      <c r="CA12" s="1209"/>
      <c r="CB12" s="1209"/>
      <c r="CC12" s="1209"/>
      <c r="CD12" s="1209"/>
      <c r="CE12" s="1209"/>
      <c r="CF12" s="1209"/>
      <c r="CG12" s="1209"/>
      <c r="CH12" s="1209"/>
      <c r="CI12" s="1209"/>
      <c r="CJ12" s="1209"/>
      <c r="CK12" s="1209"/>
      <c r="CL12" s="1209"/>
      <c r="CM12" s="524"/>
      <c r="CN12" s="525"/>
      <c r="CO12" s="1210"/>
      <c r="CP12" s="1211"/>
      <c r="CQ12" s="1211"/>
      <c r="CR12" s="1211"/>
      <c r="CS12" s="1211"/>
      <c r="CT12" s="1211"/>
      <c r="CU12" s="1211"/>
      <c r="CV12" s="1211"/>
      <c r="CW12" s="1211"/>
      <c r="CX12" s="1211"/>
      <c r="CY12" s="1211"/>
      <c r="CZ12" s="1211"/>
      <c r="DA12" s="1211"/>
      <c r="DB12" s="1211"/>
      <c r="DC12" s="1211"/>
      <c r="DD12" s="1211"/>
      <c r="DE12" s="1211"/>
      <c r="DF12" s="1211"/>
      <c r="DG12" s="1211"/>
      <c r="DH12" s="1211"/>
      <c r="DJ12" s="512"/>
    </row>
    <row r="13" spans="1:251" ht="18.75" customHeight="1" x14ac:dyDescent="0.3">
      <c r="A13" s="514"/>
      <c r="C13" s="512"/>
      <c r="D13" s="523">
        <v>7</v>
      </c>
      <c r="E13" s="1230"/>
      <c r="F13" s="1231"/>
      <c r="G13" s="1231"/>
      <c r="H13" s="1231"/>
      <c r="I13" s="1231"/>
      <c r="J13" s="1231"/>
      <c r="K13" s="1231"/>
      <c r="L13" s="1231"/>
      <c r="M13" s="1231"/>
      <c r="N13" s="1231"/>
      <c r="O13" s="1231"/>
      <c r="P13" s="1231"/>
      <c r="Q13" s="1231"/>
      <c r="R13" s="1231"/>
      <c r="S13" s="1231"/>
      <c r="T13" s="1231"/>
      <c r="U13" s="1231"/>
      <c r="V13" s="1231"/>
      <c r="W13" s="1231"/>
      <c r="X13" s="1231"/>
      <c r="Y13" s="1231"/>
      <c r="Z13" s="1231"/>
      <c r="AA13" s="1231"/>
      <c r="AB13" s="1231"/>
      <c r="AC13" s="1231"/>
      <c r="AD13" s="1231"/>
      <c r="AE13" s="1231"/>
      <c r="AF13" s="1231"/>
      <c r="AG13" s="1231"/>
      <c r="AH13" s="1231"/>
      <c r="AI13" s="1231"/>
      <c r="AJ13" s="1231"/>
      <c r="AK13" s="1231"/>
      <c r="AL13" s="1231"/>
      <c r="AM13" s="1231"/>
      <c r="AN13" s="1231"/>
      <c r="AO13" s="1231"/>
      <c r="AP13" s="1231"/>
      <c r="AQ13" s="524"/>
      <c r="AR13" s="525"/>
      <c r="AS13" s="525"/>
      <c r="AT13" s="1206">
        <v>0</v>
      </c>
      <c r="AU13" s="1207"/>
      <c r="AV13" s="1207"/>
      <c r="AW13" s="1207"/>
      <c r="AX13" s="1207"/>
      <c r="AY13" s="1207"/>
      <c r="AZ13" s="1207"/>
      <c r="BA13" s="1207"/>
      <c r="BB13" s="1207"/>
      <c r="BC13" s="1207"/>
      <c r="BD13" s="1207"/>
      <c r="BE13" s="1207"/>
      <c r="BF13" s="1207"/>
      <c r="BG13" s="526"/>
      <c r="BH13" s="527"/>
      <c r="BI13" s="527"/>
      <c r="BJ13" s="1206">
        <v>0</v>
      </c>
      <c r="BK13" s="1207"/>
      <c r="BL13" s="1207"/>
      <c r="BM13" s="1207"/>
      <c r="BN13" s="1207"/>
      <c r="BO13" s="1207"/>
      <c r="BP13" s="1207"/>
      <c r="BQ13" s="1207"/>
      <c r="BR13" s="1207"/>
      <c r="BS13" s="1207"/>
      <c r="BT13" s="1207"/>
      <c r="BU13" s="1207"/>
      <c r="BV13" s="1207"/>
      <c r="BW13" s="526"/>
      <c r="BX13" s="527"/>
      <c r="BY13" s="527"/>
      <c r="BZ13" s="1208">
        <f t="shared" si="0"/>
        <v>0</v>
      </c>
      <c r="CA13" s="1209"/>
      <c r="CB13" s="1209"/>
      <c r="CC13" s="1209"/>
      <c r="CD13" s="1209"/>
      <c r="CE13" s="1209"/>
      <c r="CF13" s="1209"/>
      <c r="CG13" s="1209"/>
      <c r="CH13" s="1209"/>
      <c r="CI13" s="1209"/>
      <c r="CJ13" s="1209"/>
      <c r="CK13" s="1209"/>
      <c r="CL13" s="1209"/>
      <c r="CM13" s="524"/>
      <c r="CN13" s="525"/>
      <c r="CO13" s="1210"/>
      <c r="CP13" s="1211"/>
      <c r="CQ13" s="1211"/>
      <c r="CR13" s="1211"/>
      <c r="CS13" s="1211"/>
      <c r="CT13" s="1211"/>
      <c r="CU13" s="1211"/>
      <c r="CV13" s="1211"/>
      <c r="CW13" s="1211"/>
      <c r="CX13" s="1211"/>
      <c r="CY13" s="1211"/>
      <c r="CZ13" s="1211"/>
      <c r="DA13" s="1211"/>
      <c r="DB13" s="1211"/>
      <c r="DC13" s="1211"/>
      <c r="DD13" s="1211"/>
      <c r="DE13" s="1211"/>
      <c r="DF13" s="1211"/>
      <c r="DG13" s="1211"/>
      <c r="DH13" s="1211"/>
      <c r="DJ13" s="512"/>
    </row>
    <row r="14" spans="1:251" ht="18.75" customHeight="1" x14ac:dyDescent="0.3">
      <c r="A14" s="514"/>
      <c r="C14" s="512"/>
      <c r="D14" s="523">
        <v>8</v>
      </c>
      <c r="E14" s="1230"/>
      <c r="F14" s="1231"/>
      <c r="G14" s="1231"/>
      <c r="H14" s="1231"/>
      <c r="I14" s="1231"/>
      <c r="J14" s="1231"/>
      <c r="K14" s="1231"/>
      <c r="L14" s="1231"/>
      <c r="M14" s="1231"/>
      <c r="N14" s="1231"/>
      <c r="O14" s="1231"/>
      <c r="P14" s="1231"/>
      <c r="Q14" s="1231"/>
      <c r="R14" s="1231"/>
      <c r="S14" s="1231"/>
      <c r="T14" s="1231"/>
      <c r="U14" s="1231"/>
      <c r="V14" s="1231"/>
      <c r="W14" s="1231"/>
      <c r="X14" s="1231"/>
      <c r="Y14" s="1231"/>
      <c r="Z14" s="1231"/>
      <c r="AA14" s="1231"/>
      <c r="AB14" s="1231"/>
      <c r="AC14" s="1231"/>
      <c r="AD14" s="1231"/>
      <c r="AE14" s="1231"/>
      <c r="AF14" s="1231"/>
      <c r="AG14" s="1231"/>
      <c r="AH14" s="1231"/>
      <c r="AI14" s="1231"/>
      <c r="AJ14" s="1231"/>
      <c r="AK14" s="1231"/>
      <c r="AL14" s="1231"/>
      <c r="AM14" s="1231"/>
      <c r="AN14" s="1231"/>
      <c r="AO14" s="1231"/>
      <c r="AP14" s="1231"/>
      <c r="AQ14" s="524"/>
      <c r="AR14" s="525"/>
      <c r="AS14" s="525"/>
      <c r="AT14" s="1206">
        <v>0</v>
      </c>
      <c r="AU14" s="1207"/>
      <c r="AV14" s="1207"/>
      <c r="AW14" s="1207"/>
      <c r="AX14" s="1207"/>
      <c r="AY14" s="1207"/>
      <c r="AZ14" s="1207"/>
      <c r="BA14" s="1207"/>
      <c r="BB14" s="1207"/>
      <c r="BC14" s="1207"/>
      <c r="BD14" s="1207"/>
      <c r="BE14" s="1207"/>
      <c r="BF14" s="1207"/>
      <c r="BG14" s="526"/>
      <c r="BH14" s="527"/>
      <c r="BI14" s="527"/>
      <c r="BJ14" s="1206">
        <v>0</v>
      </c>
      <c r="BK14" s="1207"/>
      <c r="BL14" s="1207"/>
      <c r="BM14" s="1207"/>
      <c r="BN14" s="1207"/>
      <c r="BO14" s="1207"/>
      <c r="BP14" s="1207"/>
      <c r="BQ14" s="1207"/>
      <c r="BR14" s="1207"/>
      <c r="BS14" s="1207"/>
      <c r="BT14" s="1207"/>
      <c r="BU14" s="1207"/>
      <c r="BV14" s="1207"/>
      <c r="BW14" s="526"/>
      <c r="BX14" s="527"/>
      <c r="BY14" s="527"/>
      <c r="BZ14" s="1208">
        <f t="shared" si="0"/>
        <v>0</v>
      </c>
      <c r="CA14" s="1209"/>
      <c r="CB14" s="1209"/>
      <c r="CC14" s="1209"/>
      <c r="CD14" s="1209"/>
      <c r="CE14" s="1209"/>
      <c r="CF14" s="1209"/>
      <c r="CG14" s="1209"/>
      <c r="CH14" s="1209"/>
      <c r="CI14" s="1209"/>
      <c r="CJ14" s="1209"/>
      <c r="CK14" s="1209"/>
      <c r="CL14" s="1209"/>
      <c r="CM14" s="524"/>
      <c r="CN14" s="525"/>
      <c r="CO14" s="1210"/>
      <c r="CP14" s="1211"/>
      <c r="CQ14" s="1211"/>
      <c r="CR14" s="1211"/>
      <c r="CS14" s="1211"/>
      <c r="CT14" s="1211"/>
      <c r="CU14" s="1211"/>
      <c r="CV14" s="1211"/>
      <c r="CW14" s="1211"/>
      <c r="CX14" s="1211"/>
      <c r="CY14" s="1211"/>
      <c r="CZ14" s="1211"/>
      <c r="DA14" s="1211"/>
      <c r="DB14" s="1211"/>
      <c r="DC14" s="1211"/>
      <c r="DD14" s="1211"/>
      <c r="DE14" s="1211"/>
      <c r="DF14" s="1211"/>
      <c r="DG14" s="1211"/>
      <c r="DH14" s="1211"/>
      <c r="DJ14" s="512"/>
    </row>
    <row r="15" spans="1:251" ht="18.75" customHeight="1" x14ac:dyDescent="0.3">
      <c r="A15" s="514"/>
      <c r="C15" s="512"/>
      <c r="D15" s="523">
        <v>9</v>
      </c>
      <c r="E15" s="1230"/>
      <c r="F15" s="1231"/>
      <c r="G15" s="1231"/>
      <c r="H15" s="1231"/>
      <c r="I15" s="1231"/>
      <c r="J15" s="1231"/>
      <c r="K15" s="1231"/>
      <c r="L15" s="1231"/>
      <c r="M15" s="1231"/>
      <c r="N15" s="1231"/>
      <c r="O15" s="1231"/>
      <c r="P15" s="1231"/>
      <c r="Q15" s="1231"/>
      <c r="R15" s="1231"/>
      <c r="S15" s="1231"/>
      <c r="T15" s="1231"/>
      <c r="U15" s="1231"/>
      <c r="V15" s="1231"/>
      <c r="W15" s="1231"/>
      <c r="X15" s="1231"/>
      <c r="Y15" s="1231"/>
      <c r="Z15" s="1231"/>
      <c r="AA15" s="1231"/>
      <c r="AB15" s="1231"/>
      <c r="AC15" s="1231"/>
      <c r="AD15" s="1231"/>
      <c r="AE15" s="1231"/>
      <c r="AF15" s="1231"/>
      <c r="AG15" s="1231"/>
      <c r="AH15" s="1231"/>
      <c r="AI15" s="1231"/>
      <c r="AJ15" s="1231"/>
      <c r="AK15" s="1231"/>
      <c r="AL15" s="1231"/>
      <c r="AM15" s="1231"/>
      <c r="AN15" s="1231"/>
      <c r="AO15" s="1231"/>
      <c r="AP15" s="1231"/>
      <c r="AQ15" s="524"/>
      <c r="AR15" s="525"/>
      <c r="AS15" s="525"/>
      <c r="AT15" s="1206">
        <v>0</v>
      </c>
      <c r="AU15" s="1207"/>
      <c r="AV15" s="1207"/>
      <c r="AW15" s="1207"/>
      <c r="AX15" s="1207"/>
      <c r="AY15" s="1207"/>
      <c r="AZ15" s="1207"/>
      <c r="BA15" s="1207"/>
      <c r="BB15" s="1207"/>
      <c r="BC15" s="1207"/>
      <c r="BD15" s="1207"/>
      <c r="BE15" s="1207"/>
      <c r="BF15" s="1207"/>
      <c r="BG15" s="526"/>
      <c r="BH15" s="527"/>
      <c r="BI15" s="527"/>
      <c r="BJ15" s="1206">
        <v>0</v>
      </c>
      <c r="BK15" s="1207"/>
      <c r="BL15" s="1207"/>
      <c r="BM15" s="1207"/>
      <c r="BN15" s="1207"/>
      <c r="BO15" s="1207"/>
      <c r="BP15" s="1207"/>
      <c r="BQ15" s="1207"/>
      <c r="BR15" s="1207"/>
      <c r="BS15" s="1207"/>
      <c r="BT15" s="1207"/>
      <c r="BU15" s="1207"/>
      <c r="BV15" s="1207"/>
      <c r="BW15" s="526"/>
      <c r="BX15" s="527"/>
      <c r="BY15" s="527"/>
      <c r="BZ15" s="1208">
        <f t="shared" si="0"/>
        <v>0</v>
      </c>
      <c r="CA15" s="1209"/>
      <c r="CB15" s="1209"/>
      <c r="CC15" s="1209"/>
      <c r="CD15" s="1209"/>
      <c r="CE15" s="1209"/>
      <c r="CF15" s="1209"/>
      <c r="CG15" s="1209"/>
      <c r="CH15" s="1209"/>
      <c r="CI15" s="1209"/>
      <c r="CJ15" s="1209"/>
      <c r="CK15" s="1209"/>
      <c r="CL15" s="1209"/>
      <c r="CM15" s="524"/>
      <c r="CN15" s="525"/>
      <c r="CO15" s="1210"/>
      <c r="CP15" s="1211"/>
      <c r="CQ15" s="1211"/>
      <c r="CR15" s="1211"/>
      <c r="CS15" s="1211"/>
      <c r="CT15" s="1211"/>
      <c r="CU15" s="1211"/>
      <c r="CV15" s="1211"/>
      <c r="CW15" s="1211"/>
      <c r="CX15" s="1211"/>
      <c r="CY15" s="1211"/>
      <c r="CZ15" s="1211"/>
      <c r="DA15" s="1211"/>
      <c r="DB15" s="1211"/>
      <c r="DC15" s="1211"/>
      <c r="DD15" s="1211"/>
      <c r="DE15" s="1211"/>
      <c r="DF15" s="1211"/>
      <c r="DG15" s="1211"/>
      <c r="DH15" s="1211"/>
      <c r="DJ15" s="512"/>
    </row>
    <row r="16" spans="1:251" ht="18.75" customHeight="1" x14ac:dyDescent="0.3">
      <c r="A16" s="514"/>
      <c r="C16" s="512"/>
      <c r="D16" s="523">
        <v>10</v>
      </c>
      <c r="E16" s="1230"/>
      <c r="F16" s="1231"/>
      <c r="G16" s="1231"/>
      <c r="H16" s="1231"/>
      <c r="I16" s="1231"/>
      <c r="J16" s="1231"/>
      <c r="K16" s="1231"/>
      <c r="L16" s="1231"/>
      <c r="M16" s="1231"/>
      <c r="N16" s="1231"/>
      <c r="O16" s="1231"/>
      <c r="P16" s="1231"/>
      <c r="Q16" s="1231"/>
      <c r="R16" s="1231"/>
      <c r="S16" s="1231"/>
      <c r="T16" s="1231"/>
      <c r="U16" s="1231"/>
      <c r="V16" s="1231"/>
      <c r="W16" s="1231"/>
      <c r="X16" s="1231"/>
      <c r="Y16" s="1231"/>
      <c r="Z16" s="1231"/>
      <c r="AA16" s="1231"/>
      <c r="AB16" s="1231"/>
      <c r="AC16" s="1231"/>
      <c r="AD16" s="1231"/>
      <c r="AE16" s="1231"/>
      <c r="AF16" s="1231"/>
      <c r="AG16" s="1231"/>
      <c r="AH16" s="1231"/>
      <c r="AI16" s="1231"/>
      <c r="AJ16" s="1231"/>
      <c r="AK16" s="1231"/>
      <c r="AL16" s="1231"/>
      <c r="AM16" s="1231"/>
      <c r="AN16" s="1231"/>
      <c r="AO16" s="1231"/>
      <c r="AP16" s="1231"/>
      <c r="AQ16" s="524"/>
      <c r="AR16" s="525"/>
      <c r="AS16" s="525"/>
      <c r="AT16" s="1206">
        <v>0</v>
      </c>
      <c r="AU16" s="1207"/>
      <c r="AV16" s="1207"/>
      <c r="AW16" s="1207"/>
      <c r="AX16" s="1207"/>
      <c r="AY16" s="1207"/>
      <c r="AZ16" s="1207"/>
      <c r="BA16" s="1207"/>
      <c r="BB16" s="1207"/>
      <c r="BC16" s="1207"/>
      <c r="BD16" s="1207"/>
      <c r="BE16" s="1207"/>
      <c r="BF16" s="1207"/>
      <c r="BG16" s="526"/>
      <c r="BH16" s="527"/>
      <c r="BI16" s="527"/>
      <c r="BJ16" s="1206">
        <v>0</v>
      </c>
      <c r="BK16" s="1207"/>
      <c r="BL16" s="1207"/>
      <c r="BM16" s="1207"/>
      <c r="BN16" s="1207"/>
      <c r="BO16" s="1207"/>
      <c r="BP16" s="1207"/>
      <c r="BQ16" s="1207"/>
      <c r="BR16" s="1207"/>
      <c r="BS16" s="1207"/>
      <c r="BT16" s="1207"/>
      <c r="BU16" s="1207"/>
      <c r="BV16" s="1207"/>
      <c r="BW16" s="526"/>
      <c r="BX16" s="527"/>
      <c r="BY16" s="527"/>
      <c r="BZ16" s="1208">
        <f t="shared" si="0"/>
        <v>0</v>
      </c>
      <c r="CA16" s="1209"/>
      <c r="CB16" s="1209"/>
      <c r="CC16" s="1209"/>
      <c r="CD16" s="1209"/>
      <c r="CE16" s="1209"/>
      <c r="CF16" s="1209"/>
      <c r="CG16" s="1209"/>
      <c r="CH16" s="1209"/>
      <c r="CI16" s="1209"/>
      <c r="CJ16" s="1209"/>
      <c r="CK16" s="1209"/>
      <c r="CL16" s="1209"/>
      <c r="CM16" s="524"/>
      <c r="CN16" s="525"/>
      <c r="CO16" s="1210"/>
      <c r="CP16" s="1211"/>
      <c r="CQ16" s="1211"/>
      <c r="CR16" s="1211"/>
      <c r="CS16" s="1211"/>
      <c r="CT16" s="1211"/>
      <c r="CU16" s="1211"/>
      <c r="CV16" s="1211"/>
      <c r="CW16" s="1211"/>
      <c r="CX16" s="1211"/>
      <c r="CY16" s="1211"/>
      <c r="CZ16" s="1211"/>
      <c r="DA16" s="1211"/>
      <c r="DB16" s="1211"/>
      <c r="DC16" s="1211"/>
      <c r="DD16" s="1211"/>
      <c r="DE16" s="1211"/>
      <c r="DF16" s="1211"/>
      <c r="DG16" s="1211"/>
      <c r="DH16" s="1211"/>
      <c r="DJ16" s="512"/>
    </row>
    <row r="17" spans="3:114" ht="18.75" customHeight="1" x14ac:dyDescent="0.3">
      <c r="C17" s="512"/>
      <c r="D17" s="523">
        <v>11</v>
      </c>
      <c r="E17" s="1230"/>
      <c r="F17" s="1231"/>
      <c r="G17" s="1231"/>
      <c r="H17" s="1231"/>
      <c r="I17" s="1231"/>
      <c r="J17" s="1231"/>
      <c r="K17" s="1231"/>
      <c r="L17" s="1231"/>
      <c r="M17" s="1231"/>
      <c r="N17" s="1231"/>
      <c r="O17" s="1231"/>
      <c r="P17" s="1231"/>
      <c r="Q17" s="1231"/>
      <c r="R17" s="1231"/>
      <c r="S17" s="1231"/>
      <c r="T17" s="1231"/>
      <c r="U17" s="1231"/>
      <c r="V17" s="1231"/>
      <c r="W17" s="1231"/>
      <c r="X17" s="1231"/>
      <c r="Y17" s="1231"/>
      <c r="Z17" s="1231"/>
      <c r="AA17" s="1231"/>
      <c r="AB17" s="1231"/>
      <c r="AC17" s="1231"/>
      <c r="AD17" s="1231"/>
      <c r="AE17" s="1231"/>
      <c r="AF17" s="1231"/>
      <c r="AG17" s="1231"/>
      <c r="AH17" s="1231"/>
      <c r="AI17" s="1231"/>
      <c r="AJ17" s="1231"/>
      <c r="AK17" s="1231"/>
      <c r="AL17" s="1231"/>
      <c r="AM17" s="1231"/>
      <c r="AN17" s="1231"/>
      <c r="AO17" s="1231"/>
      <c r="AP17" s="1231"/>
      <c r="AQ17" s="524"/>
      <c r="AR17" s="525"/>
      <c r="AS17" s="525"/>
      <c r="AT17" s="1206">
        <v>0</v>
      </c>
      <c r="AU17" s="1207"/>
      <c r="AV17" s="1207"/>
      <c r="AW17" s="1207"/>
      <c r="AX17" s="1207"/>
      <c r="AY17" s="1207"/>
      <c r="AZ17" s="1207"/>
      <c r="BA17" s="1207"/>
      <c r="BB17" s="1207"/>
      <c r="BC17" s="1207"/>
      <c r="BD17" s="1207"/>
      <c r="BE17" s="1207"/>
      <c r="BF17" s="1207"/>
      <c r="BG17" s="526"/>
      <c r="BH17" s="527"/>
      <c r="BI17" s="527"/>
      <c r="BJ17" s="1206">
        <v>0</v>
      </c>
      <c r="BK17" s="1207"/>
      <c r="BL17" s="1207"/>
      <c r="BM17" s="1207"/>
      <c r="BN17" s="1207"/>
      <c r="BO17" s="1207"/>
      <c r="BP17" s="1207"/>
      <c r="BQ17" s="1207"/>
      <c r="BR17" s="1207"/>
      <c r="BS17" s="1207"/>
      <c r="BT17" s="1207"/>
      <c r="BU17" s="1207"/>
      <c r="BV17" s="1207"/>
      <c r="BW17" s="526"/>
      <c r="BX17" s="527"/>
      <c r="BY17" s="527"/>
      <c r="BZ17" s="1208">
        <f t="shared" si="0"/>
        <v>0</v>
      </c>
      <c r="CA17" s="1209"/>
      <c r="CB17" s="1209"/>
      <c r="CC17" s="1209"/>
      <c r="CD17" s="1209"/>
      <c r="CE17" s="1209"/>
      <c r="CF17" s="1209"/>
      <c r="CG17" s="1209"/>
      <c r="CH17" s="1209"/>
      <c r="CI17" s="1209"/>
      <c r="CJ17" s="1209"/>
      <c r="CK17" s="1209"/>
      <c r="CL17" s="1209"/>
      <c r="CM17" s="524"/>
      <c r="CN17" s="525"/>
      <c r="CO17" s="1210"/>
      <c r="CP17" s="1211"/>
      <c r="CQ17" s="1211"/>
      <c r="CR17" s="1211"/>
      <c r="CS17" s="1211"/>
      <c r="CT17" s="1211"/>
      <c r="CU17" s="1211"/>
      <c r="CV17" s="1211"/>
      <c r="CW17" s="1211"/>
      <c r="CX17" s="1211"/>
      <c r="CY17" s="1211"/>
      <c r="CZ17" s="1211"/>
      <c r="DA17" s="1211"/>
      <c r="DB17" s="1211"/>
      <c r="DC17" s="1211"/>
      <c r="DD17" s="1211"/>
      <c r="DE17" s="1211"/>
      <c r="DF17" s="1211"/>
      <c r="DG17" s="1211"/>
      <c r="DH17" s="1211"/>
      <c r="DJ17" s="512"/>
    </row>
    <row r="18" spans="3:114" ht="18.75" customHeight="1" x14ac:dyDescent="0.3">
      <c r="C18" s="512"/>
      <c r="D18" s="523">
        <v>12</v>
      </c>
      <c r="E18" s="1230"/>
      <c r="F18" s="1231"/>
      <c r="G18" s="1231"/>
      <c r="H18" s="1231"/>
      <c r="I18" s="1231"/>
      <c r="J18" s="1231"/>
      <c r="K18" s="1231"/>
      <c r="L18" s="1231"/>
      <c r="M18" s="1231"/>
      <c r="N18" s="1231"/>
      <c r="O18" s="1231"/>
      <c r="P18" s="1231"/>
      <c r="Q18" s="1231"/>
      <c r="R18" s="1231"/>
      <c r="S18" s="1231"/>
      <c r="T18" s="1231"/>
      <c r="U18" s="1231"/>
      <c r="V18" s="1231"/>
      <c r="W18" s="1231"/>
      <c r="X18" s="1231"/>
      <c r="Y18" s="1231"/>
      <c r="Z18" s="1231"/>
      <c r="AA18" s="1231"/>
      <c r="AB18" s="1231"/>
      <c r="AC18" s="1231"/>
      <c r="AD18" s="1231"/>
      <c r="AE18" s="1231"/>
      <c r="AF18" s="1231"/>
      <c r="AG18" s="1231"/>
      <c r="AH18" s="1231"/>
      <c r="AI18" s="1231"/>
      <c r="AJ18" s="1231"/>
      <c r="AK18" s="1231"/>
      <c r="AL18" s="1231"/>
      <c r="AM18" s="1231"/>
      <c r="AN18" s="1231"/>
      <c r="AO18" s="1231"/>
      <c r="AP18" s="1231"/>
      <c r="AQ18" s="524"/>
      <c r="AR18" s="525"/>
      <c r="AS18" s="525"/>
      <c r="AT18" s="1206">
        <v>0</v>
      </c>
      <c r="AU18" s="1207"/>
      <c r="AV18" s="1207"/>
      <c r="AW18" s="1207"/>
      <c r="AX18" s="1207"/>
      <c r="AY18" s="1207"/>
      <c r="AZ18" s="1207"/>
      <c r="BA18" s="1207"/>
      <c r="BB18" s="1207"/>
      <c r="BC18" s="1207"/>
      <c r="BD18" s="1207"/>
      <c r="BE18" s="1207"/>
      <c r="BF18" s="1207"/>
      <c r="BG18" s="526"/>
      <c r="BH18" s="527"/>
      <c r="BI18" s="527"/>
      <c r="BJ18" s="1206">
        <v>0</v>
      </c>
      <c r="BK18" s="1207"/>
      <c r="BL18" s="1207"/>
      <c r="BM18" s="1207"/>
      <c r="BN18" s="1207"/>
      <c r="BO18" s="1207"/>
      <c r="BP18" s="1207"/>
      <c r="BQ18" s="1207"/>
      <c r="BR18" s="1207"/>
      <c r="BS18" s="1207"/>
      <c r="BT18" s="1207"/>
      <c r="BU18" s="1207"/>
      <c r="BV18" s="1207"/>
      <c r="BW18" s="526"/>
      <c r="BX18" s="527"/>
      <c r="BY18" s="527"/>
      <c r="BZ18" s="1208">
        <f t="shared" si="0"/>
        <v>0</v>
      </c>
      <c r="CA18" s="1209"/>
      <c r="CB18" s="1209"/>
      <c r="CC18" s="1209"/>
      <c r="CD18" s="1209"/>
      <c r="CE18" s="1209"/>
      <c r="CF18" s="1209"/>
      <c r="CG18" s="1209"/>
      <c r="CH18" s="1209"/>
      <c r="CI18" s="1209"/>
      <c r="CJ18" s="1209"/>
      <c r="CK18" s="1209"/>
      <c r="CL18" s="1209"/>
      <c r="CM18" s="524"/>
      <c r="CN18" s="525"/>
      <c r="CO18" s="1210"/>
      <c r="CP18" s="1211"/>
      <c r="CQ18" s="1211"/>
      <c r="CR18" s="1211"/>
      <c r="CS18" s="1211"/>
      <c r="CT18" s="1211"/>
      <c r="CU18" s="1211"/>
      <c r="CV18" s="1211"/>
      <c r="CW18" s="1211"/>
      <c r="CX18" s="1211"/>
      <c r="CY18" s="1211"/>
      <c r="CZ18" s="1211"/>
      <c r="DA18" s="1211"/>
      <c r="DB18" s="1211"/>
      <c r="DC18" s="1211"/>
      <c r="DD18" s="1211"/>
      <c r="DE18" s="1211"/>
      <c r="DF18" s="1211"/>
      <c r="DG18" s="1211"/>
      <c r="DH18" s="1211"/>
      <c r="DJ18" s="512"/>
    </row>
    <row r="19" spans="3:114" ht="18.75" customHeight="1" x14ac:dyDescent="0.3">
      <c r="C19" s="512"/>
      <c r="D19" s="523">
        <v>13</v>
      </c>
      <c r="E19" s="1230"/>
      <c r="F19" s="1231"/>
      <c r="G19" s="1231"/>
      <c r="H19" s="1231"/>
      <c r="I19" s="1231"/>
      <c r="J19" s="1231"/>
      <c r="K19" s="1231"/>
      <c r="L19" s="1231"/>
      <c r="M19" s="1231"/>
      <c r="N19" s="1231"/>
      <c r="O19" s="1231"/>
      <c r="P19" s="1231"/>
      <c r="Q19" s="1231"/>
      <c r="R19" s="1231"/>
      <c r="S19" s="1231"/>
      <c r="T19" s="1231"/>
      <c r="U19" s="1231"/>
      <c r="V19" s="1231"/>
      <c r="W19" s="1231"/>
      <c r="X19" s="1231"/>
      <c r="Y19" s="1231"/>
      <c r="Z19" s="1231"/>
      <c r="AA19" s="1231"/>
      <c r="AB19" s="1231"/>
      <c r="AC19" s="1231"/>
      <c r="AD19" s="1231"/>
      <c r="AE19" s="1231"/>
      <c r="AF19" s="1231"/>
      <c r="AG19" s="1231"/>
      <c r="AH19" s="1231"/>
      <c r="AI19" s="1231"/>
      <c r="AJ19" s="1231"/>
      <c r="AK19" s="1231"/>
      <c r="AL19" s="1231"/>
      <c r="AM19" s="1231"/>
      <c r="AN19" s="1231"/>
      <c r="AO19" s="1231"/>
      <c r="AP19" s="1231"/>
      <c r="AQ19" s="524"/>
      <c r="AR19" s="525"/>
      <c r="AS19" s="525"/>
      <c r="AT19" s="1206">
        <v>0</v>
      </c>
      <c r="AU19" s="1207"/>
      <c r="AV19" s="1207"/>
      <c r="AW19" s="1207"/>
      <c r="AX19" s="1207"/>
      <c r="AY19" s="1207"/>
      <c r="AZ19" s="1207"/>
      <c r="BA19" s="1207"/>
      <c r="BB19" s="1207"/>
      <c r="BC19" s="1207"/>
      <c r="BD19" s="1207"/>
      <c r="BE19" s="1207"/>
      <c r="BF19" s="1207"/>
      <c r="BG19" s="526"/>
      <c r="BH19" s="527"/>
      <c r="BI19" s="527"/>
      <c r="BJ19" s="1206">
        <v>0</v>
      </c>
      <c r="BK19" s="1207"/>
      <c r="BL19" s="1207"/>
      <c r="BM19" s="1207"/>
      <c r="BN19" s="1207"/>
      <c r="BO19" s="1207"/>
      <c r="BP19" s="1207"/>
      <c r="BQ19" s="1207"/>
      <c r="BR19" s="1207"/>
      <c r="BS19" s="1207"/>
      <c r="BT19" s="1207"/>
      <c r="BU19" s="1207"/>
      <c r="BV19" s="1207"/>
      <c r="BW19" s="526"/>
      <c r="BX19" s="527"/>
      <c r="BY19" s="527"/>
      <c r="BZ19" s="1208">
        <f t="shared" si="0"/>
        <v>0</v>
      </c>
      <c r="CA19" s="1209"/>
      <c r="CB19" s="1209"/>
      <c r="CC19" s="1209"/>
      <c r="CD19" s="1209"/>
      <c r="CE19" s="1209"/>
      <c r="CF19" s="1209"/>
      <c r="CG19" s="1209"/>
      <c r="CH19" s="1209"/>
      <c r="CI19" s="1209"/>
      <c r="CJ19" s="1209"/>
      <c r="CK19" s="1209"/>
      <c r="CL19" s="1209"/>
      <c r="CM19" s="524"/>
      <c r="CN19" s="525"/>
      <c r="CO19" s="1210"/>
      <c r="CP19" s="1211"/>
      <c r="CQ19" s="1211"/>
      <c r="CR19" s="1211"/>
      <c r="CS19" s="1211"/>
      <c r="CT19" s="1211"/>
      <c r="CU19" s="1211"/>
      <c r="CV19" s="1211"/>
      <c r="CW19" s="1211"/>
      <c r="CX19" s="1211"/>
      <c r="CY19" s="1211"/>
      <c r="CZ19" s="1211"/>
      <c r="DA19" s="1211"/>
      <c r="DB19" s="1211"/>
      <c r="DC19" s="1211"/>
      <c r="DD19" s="1211"/>
      <c r="DE19" s="1211"/>
      <c r="DF19" s="1211"/>
      <c r="DG19" s="1211"/>
      <c r="DH19" s="1211"/>
      <c r="DJ19" s="512"/>
    </row>
    <row r="20" spans="3:114" ht="18.75" customHeight="1" x14ac:dyDescent="0.3">
      <c r="C20" s="512"/>
      <c r="D20" s="523">
        <v>14</v>
      </c>
      <c r="E20" s="1230"/>
      <c r="F20" s="1231"/>
      <c r="G20" s="1231"/>
      <c r="H20" s="1231"/>
      <c r="I20" s="1231"/>
      <c r="J20" s="1231"/>
      <c r="K20" s="1231"/>
      <c r="L20" s="1231"/>
      <c r="M20" s="1231"/>
      <c r="N20" s="1231"/>
      <c r="O20" s="1231"/>
      <c r="P20" s="1231"/>
      <c r="Q20" s="1231"/>
      <c r="R20" s="1231"/>
      <c r="S20" s="1231"/>
      <c r="T20" s="1231"/>
      <c r="U20" s="1231"/>
      <c r="V20" s="1231"/>
      <c r="W20" s="1231"/>
      <c r="X20" s="1231"/>
      <c r="Y20" s="1231"/>
      <c r="Z20" s="1231"/>
      <c r="AA20" s="1231"/>
      <c r="AB20" s="1231"/>
      <c r="AC20" s="1231"/>
      <c r="AD20" s="1231"/>
      <c r="AE20" s="1231"/>
      <c r="AF20" s="1231"/>
      <c r="AG20" s="1231"/>
      <c r="AH20" s="1231"/>
      <c r="AI20" s="1231"/>
      <c r="AJ20" s="1231"/>
      <c r="AK20" s="1231"/>
      <c r="AL20" s="1231"/>
      <c r="AM20" s="1231"/>
      <c r="AN20" s="1231"/>
      <c r="AO20" s="1231"/>
      <c r="AP20" s="1231"/>
      <c r="AQ20" s="524"/>
      <c r="AR20" s="525"/>
      <c r="AS20" s="525"/>
      <c r="AT20" s="1206">
        <v>0</v>
      </c>
      <c r="AU20" s="1207"/>
      <c r="AV20" s="1207"/>
      <c r="AW20" s="1207"/>
      <c r="AX20" s="1207"/>
      <c r="AY20" s="1207"/>
      <c r="AZ20" s="1207"/>
      <c r="BA20" s="1207"/>
      <c r="BB20" s="1207"/>
      <c r="BC20" s="1207"/>
      <c r="BD20" s="1207"/>
      <c r="BE20" s="1207"/>
      <c r="BF20" s="1207"/>
      <c r="BG20" s="526"/>
      <c r="BH20" s="527"/>
      <c r="BI20" s="527"/>
      <c r="BJ20" s="1206">
        <v>0</v>
      </c>
      <c r="BK20" s="1207"/>
      <c r="BL20" s="1207"/>
      <c r="BM20" s="1207"/>
      <c r="BN20" s="1207"/>
      <c r="BO20" s="1207"/>
      <c r="BP20" s="1207"/>
      <c r="BQ20" s="1207"/>
      <c r="BR20" s="1207"/>
      <c r="BS20" s="1207"/>
      <c r="BT20" s="1207"/>
      <c r="BU20" s="1207"/>
      <c r="BV20" s="1207"/>
      <c r="BW20" s="526"/>
      <c r="BX20" s="527"/>
      <c r="BY20" s="527"/>
      <c r="BZ20" s="1208">
        <f t="shared" si="0"/>
        <v>0</v>
      </c>
      <c r="CA20" s="1209"/>
      <c r="CB20" s="1209"/>
      <c r="CC20" s="1209"/>
      <c r="CD20" s="1209"/>
      <c r="CE20" s="1209"/>
      <c r="CF20" s="1209"/>
      <c r="CG20" s="1209"/>
      <c r="CH20" s="1209"/>
      <c r="CI20" s="1209"/>
      <c r="CJ20" s="1209"/>
      <c r="CK20" s="1209"/>
      <c r="CL20" s="1209"/>
      <c r="CM20" s="524"/>
      <c r="CN20" s="525"/>
      <c r="CO20" s="1210"/>
      <c r="CP20" s="1211"/>
      <c r="CQ20" s="1211"/>
      <c r="CR20" s="1211"/>
      <c r="CS20" s="1211"/>
      <c r="CT20" s="1211"/>
      <c r="CU20" s="1211"/>
      <c r="CV20" s="1211"/>
      <c r="CW20" s="1211"/>
      <c r="CX20" s="1211"/>
      <c r="CY20" s="1211"/>
      <c r="CZ20" s="1211"/>
      <c r="DA20" s="1211"/>
      <c r="DB20" s="1211"/>
      <c r="DC20" s="1211"/>
      <c r="DD20" s="1211"/>
      <c r="DE20" s="1211"/>
      <c r="DF20" s="1211"/>
      <c r="DG20" s="1211"/>
      <c r="DH20" s="1211"/>
      <c r="DJ20" s="512"/>
    </row>
    <row r="21" spans="3:114" ht="18.75" customHeight="1" x14ac:dyDescent="0.3">
      <c r="C21" s="512"/>
      <c r="D21" s="523">
        <v>15</v>
      </c>
      <c r="E21" s="1230"/>
      <c r="F21" s="1231"/>
      <c r="G21" s="1231"/>
      <c r="H21" s="1231"/>
      <c r="I21" s="1231"/>
      <c r="J21" s="1231"/>
      <c r="K21" s="1231"/>
      <c r="L21" s="1231"/>
      <c r="M21" s="1231"/>
      <c r="N21" s="1231"/>
      <c r="O21" s="1231"/>
      <c r="P21" s="1231"/>
      <c r="Q21" s="1231"/>
      <c r="R21" s="1231"/>
      <c r="S21" s="1231"/>
      <c r="T21" s="1231"/>
      <c r="U21" s="1231"/>
      <c r="V21" s="1231"/>
      <c r="W21" s="1231"/>
      <c r="X21" s="1231"/>
      <c r="Y21" s="1231"/>
      <c r="Z21" s="1231"/>
      <c r="AA21" s="1231"/>
      <c r="AB21" s="1231"/>
      <c r="AC21" s="1231"/>
      <c r="AD21" s="1231"/>
      <c r="AE21" s="1231"/>
      <c r="AF21" s="1231"/>
      <c r="AG21" s="1231"/>
      <c r="AH21" s="1231"/>
      <c r="AI21" s="1231"/>
      <c r="AJ21" s="1231"/>
      <c r="AK21" s="1231"/>
      <c r="AL21" s="1231"/>
      <c r="AM21" s="1231"/>
      <c r="AN21" s="1231"/>
      <c r="AO21" s="1231"/>
      <c r="AP21" s="1231"/>
      <c r="AQ21" s="524"/>
      <c r="AR21" s="525"/>
      <c r="AS21" s="525"/>
      <c r="AT21" s="1206">
        <v>0</v>
      </c>
      <c r="AU21" s="1207"/>
      <c r="AV21" s="1207"/>
      <c r="AW21" s="1207"/>
      <c r="AX21" s="1207"/>
      <c r="AY21" s="1207"/>
      <c r="AZ21" s="1207"/>
      <c r="BA21" s="1207"/>
      <c r="BB21" s="1207"/>
      <c r="BC21" s="1207"/>
      <c r="BD21" s="1207"/>
      <c r="BE21" s="1207"/>
      <c r="BF21" s="1207"/>
      <c r="BG21" s="526"/>
      <c r="BH21" s="527"/>
      <c r="BI21" s="527"/>
      <c r="BJ21" s="1206">
        <v>0</v>
      </c>
      <c r="BK21" s="1207"/>
      <c r="BL21" s="1207"/>
      <c r="BM21" s="1207"/>
      <c r="BN21" s="1207"/>
      <c r="BO21" s="1207"/>
      <c r="BP21" s="1207"/>
      <c r="BQ21" s="1207"/>
      <c r="BR21" s="1207"/>
      <c r="BS21" s="1207"/>
      <c r="BT21" s="1207"/>
      <c r="BU21" s="1207"/>
      <c r="BV21" s="1207"/>
      <c r="BW21" s="526"/>
      <c r="BX21" s="527"/>
      <c r="BY21" s="527"/>
      <c r="BZ21" s="1208">
        <f t="shared" si="0"/>
        <v>0</v>
      </c>
      <c r="CA21" s="1209"/>
      <c r="CB21" s="1209"/>
      <c r="CC21" s="1209"/>
      <c r="CD21" s="1209"/>
      <c r="CE21" s="1209"/>
      <c r="CF21" s="1209"/>
      <c r="CG21" s="1209"/>
      <c r="CH21" s="1209"/>
      <c r="CI21" s="1209"/>
      <c r="CJ21" s="1209"/>
      <c r="CK21" s="1209"/>
      <c r="CL21" s="1209"/>
      <c r="CM21" s="524"/>
      <c r="CN21" s="525"/>
      <c r="CO21" s="1210"/>
      <c r="CP21" s="1211"/>
      <c r="CQ21" s="1211"/>
      <c r="CR21" s="1211"/>
      <c r="CS21" s="1211"/>
      <c r="CT21" s="1211"/>
      <c r="CU21" s="1211"/>
      <c r="CV21" s="1211"/>
      <c r="CW21" s="1211"/>
      <c r="CX21" s="1211"/>
      <c r="CY21" s="1211"/>
      <c r="CZ21" s="1211"/>
      <c r="DA21" s="1211"/>
      <c r="DB21" s="1211"/>
      <c r="DC21" s="1211"/>
      <c r="DD21" s="1211"/>
      <c r="DE21" s="1211"/>
      <c r="DF21" s="1211"/>
      <c r="DG21" s="1211"/>
      <c r="DH21" s="1211"/>
      <c r="DJ21" s="512"/>
    </row>
    <row r="22" spans="3:114" ht="18.75" customHeight="1" x14ac:dyDescent="0.3">
      <c r="C22" s="512"/>
      <c r="D22" s="523">
        <v>16</v>
      </c>
      <c r="E22" s="1230"/>
      <c r="F22" s="1231"/>
      <c r="G22" s="1231"/>
      <c r="H22" s="1231"/>
      <c r="I22" s="1231"/>
      <c r="J22" s="1231"/>
      <c r="K22" s="1231"/>
      <c r="L22" s="1231"/>
      <c r="M22" s="1231"/>
      <c r="N22" s="1231"/>
      <c r="O22" s="1231"/>
      <c r="P22" s="1231"/>
      <c r="Q22" s="1231"/>
      <c r="R22" s="1231"/>
      <c r="S22" s="1231"/>
      <c r="T22" s="1231"/>
      <c r="U22" s="1231"/>
      <c r="V22" s="1231"/>
      <c r="W22" s="1231"/>
      <c r="X22" s="1231"/>
      <c r="Y22" s="1231"/>
      <c r="Z22" s="1231"/>
      <c r="AA22" s="1231"/>
      <c r="AB22" s="1231"/>
      <c r="AC22" s="1231"/>
      <c r="AD22" s="1231"/>
      <c r="AE22" s="1231"/>
      <c r="AF22" s="1231"/>
      <c r="AG22" s="1231"/>
      <c r="AH22" s="1231"/>
      <c r="AI22" s="1231"/>
      <c r="AJ22" s="1231"/>
      <c r="AK22" s="1231"/>
      <c r="AL22" s="1231"/>
      <c r="AM22" s="1231"/>
      <c r="AN22" s="1231"/>
      <c r="AO22" s="1231"/>
      <c r="AP22" s="1231"/>
      <c r="AQ22" s="524"/>
      <c r="AR22" s="525"/>
      <c r="AS22" s="525"/>
      <c r="AT22" s="1206">
        <v>0</v>
      </c>
      <c r="AU22" s="1207"/>
      <c r="AV22" s="1207"/>
      <c r="AW22" s="1207"/>
      <c r="AX22" s="1207"/>
      <c r="AY22" s="1207"/>
      <c r="AZ22" s="1207"/>
      <c r="BA22" s="1207"/>
      <c r="BB22" s="1207"/>
      <c r="BC22" s="1207"/>
      <c r="BD22" s="1207"/>
      <c r="BE22" s="1207"/>
      <c r="BF22" s="1207"/>
      <c r="BG22" s="526"/>
      <c r="BH22" s="527"/>
      <c r="BI22" s="527"/>
      <c r="BJ22" s="1206">
        <v>0</v>
      </c>
      <c r="BK22" s="1207"/>
      <c r="BL22" s="1207"/>
      <c r="BM22" s="1207"/>
      <c r="BN22" s="1207"/>
      <c r="BO22" s="1207"/>
      <c r="BP22" s="1207"/>
      <c r="BQ22" s="1207"/>
      <c r="BR22" s="1207"/>
      <c r="BS22" s="1207"/>
      <c r="BT22" s="1207"/>
      <c r="BU22" s="1207"/>
      <c r="BV22" s="1207"/>
      <c r="BW22" s="526"/>
      <c r="BX22" s="527"/>
      <c r="BY22" s="527"/>
      <c r="BZ22" s="1208">
        <f t="shared" si="0"/>
        <v>0</v>
      </c>
      <c r="CA22" s="1209"/>
      <c r="CB22" s="1209"/>
      <c r="CC22" s="1209"/>
      <c r="CD22" s="1209"/>
      <c r="CE22" s="1209"/>
      <c r="CF22" s="1209"/>
      <c r="CG22" s="1209"/>
      <c r="CH22" s="1209"/>
      <c r="CI22" s="1209"/>
      <c r="CJ22" s="1209"/>
      <c r="CK22" s="1209"/>
      <c r="CL22" s="1209"/>
      <c r="CM22" s="524"/>
      <c r="CN22" s="525"/>
      <c r="CO22" s="1210"/>
      <c r="CP22" s="1211"/>
      <c r="CQ22" s="1211"/>
      <c r="CR22" s="1211"/>
      <c r="CS22" s="1211"/>
      <c r="CT22" s="1211"/>
      <c r="CU22" s="1211"/>
      <c r="CV22" s="1211"/>
      <c r="CW22" s="1211"/>
      <c r="CX22" s="1211"/>
      <c r="CY22" s="1211"/>
      <c r="CZ22" s="1211"/>
      <c r="DA22" s="1211"/>
      <c r="DB22" s="1211"/>
      <c r="DC22" s="1211"/>
      <c r="DD22" s="1211"/>
      <c r="DE22" s="1211"/>
      <c r="DF22" s="1211"/>
      <c r="DG22" s="1211"/>
      <c r="DH22" s="1211"/>
      <c r="DJ22" s="512"/>
    </row>
    <row r="23" spans="3:114" ht="18.75" customHeight="1" x14ac:dyDescent="0.3">
      <c r="C23" s="512"/>
      <c r="D23" s="523">
        <v>17</v>
      </c>
      <c r="E23" s="1230"/>
      <c r="F23" s="1231"/>
      <c r="G23" s="1231"/>
      <c r="H23" s="1231"/>
      <c r="I23" s="1231"/>
      <c r="J23" s="1231"/>
      <c r="K23" s="1231"/>
      <c r="L23" s="1231"/>
      <c r="M23" s="1231"/>
      <c r="N23" s="1231"/>
      <c r="O23" s="1231"/>
      <c r="P23" s="1231"/>
      <c r="Q23" s="1231"/>
      <c r="R23" s="1231"/>
      <c r="S23" s="1231"/>
      <c r="T23" s="1231"/>
      <c r="U23" s="1231"/>
      <c r="V23" s="1231"/>
      <c r="W23" s="1231"/>
      <c r="X23" s="1231"/>
      <c r="Y23" s="1231"/>
      <c r="Z23" s="1231"/>
      <c r="AA23" s="1231"/>
      <c r="AB23" s="1231"/>
      <c r="AC23" s="1231"/>
      <c r="AD23" s="1231"/>
      <c r="AE23" s="1231"/>
      <c r="AF23" s="1231"/>
      <c r="AG23" s="1231"/>
      <c r="AH23" s="1231"/>
      <c r="AI23" s="1231"/>
      <c r="AJ23" s="1231"/>
      <c r="AK23" s="1231"/>
      <c r="AL23" s="1231"/>
      <c r="AM23" s="1231"/>
      <c r="AN23" s="1231"/>
      <c r="AO23" s="1231"/>
      <c r="AP23" s="1231"/>
      <c r="AQ23" s="524"/>
      <c r="AR23" s="525"/>
      <c r="AS23" s="525"/>
      <c r="AT23" s="1206">
        <v>0</v>
      </c>
      <c r="AU23" s="1207"/>
      <c r="AV23" s="1207"/>
      <c r="AW23" s="1207"/>
      <c r="AX23" s="1207"/>
      <c r="AY23" s="1207"/>
      <c r="AZ23" s="1207"/>
      <c r="BA23" s="1207"/>
      <c r="BB23" s="1207"/>
      <c r="BC23" s="1207"/>
      <c r="BD23" s="1207"/>
      <c r="BE23" s="1207"/>
      <c r="BF23" s="1207"/>
      <c r="BG23" s="526"/>
      <c r="BH23" s="527"/>
      <c r="BI23" s="527"/>
      <c r="BJ23" s="1206">
        <v>0</v>
      </c>
      <c r="BK23" s="1207"/>
      <c r="BL23" s="1207"/>
      <c r="BM23" s="1207"/>
      <c r="BN23" s="1207"/>
      <c r="BO23" s="1207"/>
      <c r="BP23" s="1207"/>
      <c r="BQ23" s="1207"/>
      <c r="BR23" s="1207"/>
      <c r="BS23" s="1207"/>
      <c r="BT23" s="1207"/>
      <c r="BU23" s="1207"/>
      <c r="BV23" s="1207"/>
      <c r="BW23" s="526"/>
      <c r="BX23" s="527"/>
      <c r="BY23" s="527"/>
      <c r="BZ23" s="1208">
        <f t="shared" si="0"/>
        <v>0</v>
      </c>
      <c r="CA23" s="1209"/>
      <c r="CB23" s="1209"/>
      <c r="CC23" s="1209"/>
      <c r="CD23" s="1209"/>
      <c r="CE23" s="1209"/>
      <c r="CF23" s="1209"/>
      <c r="CG23" s="1209"/>
      <c r="CH23" s="1209"/>
      <c r="CI23" s="1209"/>
      <c r="CJ23" s="1209"/>
      <c r="CK23" s="1209"/>
      <c r="CL23" s="1209"/>
      <c r="CM23" s="524"/>
      <c r="CN23" s="525"/>
      <c r="CO23" s="1210"/>
      <c r="CP23" s="1211"/>
      <c r="CQ23" s="1211"/>
      <c r="CR23" s="1211"/>
      <c r="CS23" s="1211"/>
      <c r="CT23" s="1211"/>
      <c r="CU23" s="1211"/>
      <c r="CV23" s="1211"/>
      <c r="CW23" s="1211"/>
      <c r="CX23" s="1211"/>
      <c r="CY23" s="1211"/>
      <c r="CZ23" s="1211"/>
      <c r="DA23" s="1211"/>
      <c r="DB23" s="1211"/>
      <c r="DC23" s="1211"/>
      <c r="DD23" s="1211"/>
      <c r="DE23" s="1211"/>
      <c r="DF23" s="1211"/>
      <c r="DG23" s="1211"/>
      <c r="DH23" s="1211"/>
      <c r="DJ23" s="512"/>
    </row>
    <row r="24" spans="3:114" ht="18.75" customHeight="1" thickBot="1" x14ac:dyDescent="0.35">
      <c r="C24" s="512"/>
      <c r="D24" s="523">
        <v>18</v>
      </c>
      <c r="E24" s="1212" t="str">
        <f ca="1">' '!A238</f>
        <v>TOTAL internal resources</v>
      </c>
      <c r="F24" s="1213"/>
      <c r="G24" s="1213"/>
      <c r="H24" s="1213"/>
      <c r="I24" s="1213"/>
      <c r="J24" s="1213"/>
      <c r="K24" s="1213"/>
      <c r="L24" s="1213"/>
      <c r="M24" s="1213"/>
      <c r="N24" s="1213"/>
      <c r="O24" s="1213"/>
      <c r="P24" s="1213"/>
      <c r="Q24" s="1213"/>
      <c r="R24" s="1213"/>
      <c r="S24" s="1213"/>
      <c r="T24" s="1213"/>
      <c r="U24" s="1213"/>
      <c r="V24" s="1213"/>
      <c r="W24" s="1213"/>
      <c r="X24" s="1213"/>
      <c r="Y24" s="1213"/>
      <c r="Z24" s="1213"/>
      <c r="AA24" s="1213"/>
      <c r="AB24" s="1213"/>
      <c r="AC24" s="1213"/>
      <c r="AD24" s="1213"/>
      <c r="AE24" s="1213"/>
      <c r="AF24" s="1213"/>
      <c r="AG24" s="1213"/>
      <c r="AH24" s="1213"/>
      <c r="AI24" s="1213"/>
      <c r="AJ24" s="1213"/>
      <c r="AK24" s="1213"/>
      <c r="AL24" s="1213"/>
      <c r="AM24" s="1213"/>
      <c r="AN24" s="1213"/>
      <c r="AO24" s="1213"/>
      <c r="AP24" s="1213"/>
      <c r="AQ24" s="528"/>
      <c r="AR24" s="529"/>
      <c r="AS24" s="529"/>
      <c r="AT24" s="1214">
        <f>SUM(AT7:BF23)</f>
        <v>500</v>
      </c>
      <c r="AU24" s="1215"/>
      <c r="AV24" s="1215"/>
      <c r="AW24" s="1215"/>
      <c r="AX24" s="1215"/>
      <c r="AY24" s="1215"/>
      <c r="AZ24" s="1215"/>
      <c r="BA24" s="1215"/>
      <c r="BB24" s="1215"/>
      <c r="BC24" s="1215"/>
      <c r="BD24" s="1215"/>
      <c r="BE24" s="1215"/>
      <c r="BF24" s="1215"/>
      <c r="BG24" s="530"/>
      <c r="BH24" s="531"/>
      <c r="BI24" s="531"/>
      <c r="BJ24" s="1214">
        <f>SUM(BJ7:BV23)</f>
        <v>500</v>
      </c>
      <c r="BK24" s="1215"/>
      <c r="BL24" s="1215"/>
      <c r="BM24" s="1215"/>
      <c r="BN24" s="1215"/>
      <c r="BO24" s="1215"/>
      <c r="BP24" s="1215"/>
      <c r="BQ24" s="1215"/>
      <c r="BR24" s="1215"/>
      <c r="BS24" s="1215"/>
      <c r="BT24" s="1215"/>
      <c r="BU24" s="1215"/>
      <c r="BV24" s="1215"/>
      <c r="BW24" s="530"/>
      <c r="BX24" s="531"/>
      <c r="BY24" s="531"/>
      <c r="BZ24" s="1214">
        <f t="shared" si="0"/>
        <v>0</v>
      </c>
      <c r="CA24" s="1215"/>
      <c r="CB24" s="1215"/>
      <c r="CC24" s="1215"/>
      <c r="CD24" s="1215"/>
      <c r="CE24" s="1215"/>
      <c r="CF24" s="1215"/>
      <c r="CG24" s="1215"/>
      <c r="CH24" s="1215"/>
      <c r="CI24" s="1215"/>
      <c r="CJ24" s="1215"/>
      <c r="CK24" s="1215"/>
      <c r="CL24" s="1215"/>
      <c r="CM24" s="528"/>
      <c r="CN24" s="529"/>
      <c r="CO24" s="1216">
        <f>IF(AT24&lt;&gt;0,BJ24/AT24,0)</f>
        <v>1</v>
      </c>
      <c r="CP24" s="1217"/>
      <c r="CQ24" s="1217"/>
      <c r="CR24" s="1217"/>
      <c r="CS24" s="1217"/>
      <c r="CT24" s="1217"/>
      <c r="CU24" s="1217"/>
      <c r="CV24" s="1217"/>
      <c r="CW24" s="1217"/>
      <c r="CX24" s="1217"/>
      <c r="CY24" s="1217"/>
      <c r="CZ24" s="1217"/>
      <c r="DA24" s="1217"/>
      <c r="DB24" s="1217"/>
      <c r="DC24" s="1217"/>
      <c r="DD24" s="1217"/>
      <c r="DE24" s="1217"/>
      <c r="DF24" s="1217"/>
      <c r="DG24" s="1217"/>
      <c r="DH24" s="1217"/>
      <c r="DJ24" s="512"/>
    </row>
    <row r="25" spans="3:114" ht="14.4" thickTop="1" x14ac:dyDescent="0.3">
      <c r="C25" s="532"/>
      <c r="D25" s="533"/>
      <c r="E25" s="533"/>
      <c r="F25" s="533"/>
      <c r="G25" s="533"/>
      <c r="H25" s="533"/>
      <c r="I25" s="533"/>
      <c r="J25" s="533"/>
      <c r="K25" s="533"/>
      <c r="L25" s="533"/>
      <c r="M25" s="533"/>
      <c r="N25" s="533"/>
      <c r="O25" s="533"/>
      <c r="P25" s="533"/>
      <c r="Q25" s="533"/>
      <c r="R25" s="533"/>
      <c r="S25" s="533"/>
      <c r="T25" s="533"/>
      <c r="U25" s="533"/>
      <c r="V25" s="533"/>
      <c r="W25" s="533"/>
      <c r="X25" s="533"/>
      <c r="Y25" s="533"/>
      <c r="Z25" s="533"/>
      <c r="AA25" s="533"/>
      <c r="AB25" s="533"/>
      <c r="AC25" s="533"/>
      <c r="AD25" s="533"/>
      <c r="AE25" s="533"/>
      <c r="AF25" s="533"/>
      <c r="AG25" s="533"/>
      <c r="AH25" s="533"/>
      <c r="AI25" s="533"/>
      <c r="AJ25" s="533"/>
      <c r="AK25" s="533"/>
      <c r="AL25" s="533"/>
      <c r="AM25" s="533"/>
      <c r="AN25" s="533"/>
      <c r="AO25" s="533"/>
      <c r="AP25" s="533"/>
      <c r="AQ25" s="533"/>
      <c r="AR25" s="533"/>
      <c r="AS25" s="533"/>
      <c r="AT25" s="533"/>
      <c r="AU25" s="533"/>
      <c r="AV25" s="533"/>
      <c r="AW25" s="533"/>
      <c r="AX25" s="533"/>
      <c r="AY25" s="533"/>
      <c r="AZ25" s="533"/>
      <c r="BA25" s="533"/>
      <c r="BB25" s="533"/>
      <c r="BC25" s="533"/>
      <c r="BD25" s="533"/>
      <c r="BE25" s="533"/>
      <c r="BF25" s="533"/>
      <c r="BG25" s="533"/>
      <c r="BH25" s="533"/>
      <c r="BI25" s="533"/>
      <c r="BJ25" s="533"/>
      <c r="BK25" s="533"/>
      <c r="BL25" s="533"/>
      <c r="BM25" s="533"/>
      <c r="BN25" s="533"/>
      <c r="BO25" s="533"/>
      <c r="BP25" s="533"/>
      <c r="BQ25" s="533"/>
      <c r="BR25" s="533"/>
      <c r="BS25" s="533"/>
      <c r="BT25" s="533"/>
      <c r="BU25" s="533"/>
      <c r="BV25" s="533"/>
      <c r="BW25" s="533"/>
      <c r="BX25" s="533"/>
      <c r="BY25" s="533"/>
      <c r="BZ25" s="533"/>
      <c r="CA25" s="533"/>
      <c r="CB25" s="533"/>
      <c r="CC25" s="533"/>
      <c r="CD25" s="533"/>
      <c r="CE25" s="533"/>
      <c r="CF25" s="533"/>
      <c r="CG25" s="533"/>
      <c r="CH25" s="533"/>
      <c r="CI25" s="533"/>
      <c r="CJ25" s="533"/>
      <c r="CK25" s="533"/>
      <c r="CL25" s="533"/>
      <c r="CM25" s="533"/>
      <c r="CN25" s="533"/>
      <c r="CO25" s="533"/>
      <c r="CP25" s="533"/>
      <c r="CQ25" s="533"/>
      <c r="CR25" s="533"/>
      <c r="CS25" s="533"/>
      <c r="CT25" s="533"/>
      <c r="CU25" s="533"/>
      <c r="CV25" s="533"/>
      <c r="CW25" s="533"/>
      <c r="CX25" s="533"/>
      <c r="CY25" s="533"/>
      <c r="CZ25" s="533"/>
      <c r="DA25" s="533"/>
      <c r="DB25" s="533"/>
      <c r="DC25" s="533"/>
      <c r="DD25" s="533"/>
      <c r="DE25" s="533"/>
      <c r="DF25" s="533"/>
      <c r="DG25" s="533"/>
      <c r="DH25" s="533"/>
      <c r="DI25" s="533"/>
      <c r="DJ25" s="512"/>
    </row>
    <row r="26" spans="3:114" ht="9" customHeight="1" x14ac:dyDescent="0.3">
      <c r="C26" s="534"/>
      <c r="D26" s="515"/>
      <c r="E26" s="515"/>
      <c r="F26" s="515"/>
      <c r="G26" s="515"/>
      <c r="H26" s="515"/>
      <c r="I26" s="515"/>
      <c r="J26" s="515"/>
      <c r="K26" s="515"/>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35"/>
    </row>
    <row r="27" spans="3:114" s="513" customFormat="1" ht="11.25" customHeight="1" x14ac:dyDescent="0.3">
      <c r="C27" s="536"/>
      <c r="D27" s="511"/>
      <c r="E27" s="511"/>
      <c r="F27" s="511"/>
      <c r="G27" s="511"/>
      <c r="H27" s="511"/>
      <c r="I27" s="511"/>
      <c r="J27" s="511"/>
      <c r="K27" s="511"/>
      <c r="L27" s="511"/>
      <c r="M27" s="511"/>
      <c r="N27" s="511"/>
      <c r="O27" s="511"/>
      <c r="P27" s="511"/>
      <c r="Q27" s="511"/>
      <c r="R27" s="511"/>
      <c r="S27" s="511"/>
      <c r="T27" s="511"/>
      <c r="U27" s="511"/>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B27" s="511"/>
      <c r="BC27" s="511"/>
      <c r="BD27" s="511"/>
      <c r="BE27" s="511"/>
      <c r="BF27" s="511"/>
      <c r="BG27" s="511"/>
      <c r="BH27" s="511"/>
      <c r="BI27" s="511"/>
      <c r="BJ27" s="511"/>
      <c r="BK27" s="511"/>
      <c r="BL27" s="511"/>
      <c r="BM27" s="511"/>
      <c r="BN27" s="511"/>
      <c r="BO27" s="511"/>
      <c r="BP27" s="511"/>
      <c r="BQ27" s="511"/>
      <c r="BR27" s="511"/>
      <c r="BS27" s="511"/>
      <c r="BT27" s="511"/>
      <c r="BU27" s="511"/>
      <c r="BV27" s="511"/>
      <c r="BW27" s="511"/>
      <c r="BX27" s="511"/>
      <c r="BY27" s="511"/>
      <c r="BZ27" s="511"/>
      <c r="CA27" s="511"/>
      <c r="CB27" s="511"/>
      <c r="CC27" s="511"/>
      <c r="CD27" s="511"/>
      <c r="CE27" s="511"/>
      <c r="CF27" s="511"/>
      <c r="CG27" s="511"/>
      <c r="CH27" s="511"/>
      <c r="CI27" s="511"/>
      <c r="CJ27" s="511"/>
      <c r="CK27" s="511"/>
      <c r="CL27" s="511"/>
      <c r="CM27" s="511"/>
      <c r="CN27" s="511"/>
      <c r="CO27" s="511"/>
      <c r="CP27" s="511"/>
      <c r="CQ27" s="511"/>
      <c r="CR27" s="511"/>
      <c r="CS27" s="511"/>
      <c r="CT27" s="511"/>
      <c r="CU27" s="511"/>
      <c r="CV27" s="511"/>
      <c r="CW27" s="511"/>
      <c r="CX27" s="511"/>
      <c r="CY27" s="511"/>
      <c r="CZ27" s="511"/>
      <c r="DA27" s="511"/>
      <c r="DB27" s="511"/>
      <c r="DC27" s="511"/>
      <c r="DD27" s="511"/>
      <c r="DE27" s="511"/>
      <c r="DF27" s="511"/>
      <c r="DG27" s="511"/>
      <c r="DH27" s="511"/>
      <c r="DI27" s="511"/>
      <c r="DJ27" s="512"/>
    </row>
    <row r="28" spans="3:114" ht="24.75" customHeight="1" x14ac:dyDescent="0.3">
      <c r="C28" s="512"/>
      <c r="D28" s="515"/>
      <c r="E28" s="1218" t="str">
        <f ca="1">' '!A233</f>
        <v>External resources</v>
      </c>
      <c r="F28" s="1218"/>
      <c r="G28" s="1218"/>
      <c r="H28" s="1218"/>
      <c r="I28" s="1218"/>
      <c r="J28" s="1218"/>
      <c r="K28" s="1218"/>
      <c r="L28" s="1218"/>
      <c r="M28" s="1218"/>
      <c r="N28" s="1218"/>
      <c r="O28" s="1218"/>
      <c r="P28" s="1218"/>
      <c r="Q28" s="1218"/>
      <c r="R28" s="1218"/>
      <c r="S28" s="1218"/>
      <c r="T28" s="1218"/>
      <c r="U28" s="1218"/>
      <c r="V28" s="1218"/>
      <c r="W28" s="1218"/>
      <c r="X28" s="1218"/>
      <c r="Y28" s="1218"/>
      <c r="Z28" s="1218"/>
      <c r="AA28" s="1218"/>
      <c r="AB28" s="1218"/>
      <c r="AC28" s="1218"/>
      <c r="AD28" s="1218"/>
      <c r="AE28" s="1218"/>
      <c r="AF28" s="1218"/>
      <c r="AG28" s="1218"/>
      <c r="AH28" s="1218"/>
      <c r="AI28" s="1218"/>
      <c r="AJ28" s="1218"/>
      <c r="AK28" s="1218"/>
      <c r="AL28" s="1218"/>
      <c r="AM28" s="1218"/>
      <c r="AN28" s="1218"/>
      <c r="AO28" s="1218"/>
      <c r="AP28" s="1218"/>
      <c r="AQ28" s="516"/>
      <c r="AR28" s="517"/>
      <c r="AS28" s="517"/>
      <c r="AT28" s="1219" t="str">
        <f ca="1">' '!A243&amp;" ["&amp;Logo!D12&amp;"]"</f>
        <v>Plan [CHF]</v>
      </c>
      <c r="AU28" s="1219"/>
      <c r="AV28" s="1219"/>
      <c r="AW28" s="1219"/>
      <c r="AX28" s="1219"/>
      <c r="AY28" s="1219"/>
      <c r="AZ28" s="1219"/>
      <c r="BA28" s="1219"/>
      <c r="BB28" s="1219"/>
      <c r="BC28" s="1219"/>
      <c r="BD28" s="1219"/>
      <c r="BE28" s="1219"/>
      <c r="BF28" s="1219"/>
      <c r="BG28" s="518"/>
      <c r="BH28" s="519"/>
      <c r="BI28" s="519"/>
      <c r="BJ28" s="1219" t="str">
        <f ca="1">' '!A244&amp;" ["&amp;Logo!D12&amp;"]"</f>
        <v>Actual state [CHF]</v>
      </c>
      <c r="BK28" s="1219"/>
      <c r="BL28" s="1219"/>
      <c r="BM28" s="1219"/>
      <c r="BN28" s="1219"/>
      <c r="BO28" s="1219"/>
      <c r="BP28" s="1219"/>
      <c r="BQ28" s="1219"/>
      <c r="BR28" s="1219"/>
      <c r="BS28" s="1219"/>
      <c r="BT28" s="1219"/>
      <c r="BU28" s="1219"/>
      <c r="BV28" s="1219"/>
      <c r="BW28" s="518"/>
      <c r="BX28" s="519"/>
      <c r="BY28" s="519"/>
      <c r="BZ28" s="1219" t="str">
        <f ca="1">' '!A245&amp;" ["&amp;Logo!D12&amp;"]"</f>
        <v>Balance [CHF]</v>
      </c>
      <c r="CA28" s="1219"/>
      <c r="CB28" s="1219"/>
      <c r="CC28" s="1219"/>
      <c r="CD28" s="1219"/>
      <c r="CE28" s="1219"/>
      <c r="CF28" s="1219"/>
      <c r="CG28" s="1219"/>
      <c r="CH28" s="1219"/>
      <c r="CI28" s="1219"/>
      <c r="CJ28" s="1219"/>
      <c r="CK28" s="1219"/>
      <c r="CL28" s="1219"/>
      <c r="CM28" s="520"/>
      <c r="CN28" s="521"/>
      <c r="CO28" s="1220" t="str">
        <f ca="1">CO5</f>
        <v>Remarks</v>
      </c>
      <c r="CP28" s="1220"/>
      <c r="CQ28" s="1220"/>
      <c r="CR28" s="1220"/>
      <c r="CS28" s="1220"/>
      <c r="CT28" s="1220"/>
      <c r="CU28" s="1220"/>
      <c r="CV28" s="1220"/>
      <c r="CW28" s="1220"/>
      <c r="CX28" s="1220"/>
      <c r="CY28" s="1220"/>
      <c r="CZ28" s="1220"/>
      <c r="DA28" s="1220"/>
      <c r="DB28" s="1220"/>
      <c r="DC28" s="1220"/>
      <c r="DD28" s="1220"/>
      <c r="DE28" s="1220"/>
      <c r="DF28" s="1220"/>
      <c r="DG28" s="1220"/>
      <c r="DH28" s="1220"/>
      <c r="DJ28" s="512"/>
    </row>
    <row r="29" spans="3:114" ht="7.5" customHeight="1" x14ac:dyDescent="0.3">
      <c r="C29" s="512"/>
      <c r="D29" s="515"/>
      <c r="E29" s="522"/>
      <c r="F29" s="522"/>
      <c r="G29" s="522"/>
      <c r="H29" s="522"/>
      <c r="I29" s="522"/>
      <c r="J29" s="522"/>
      <c r="K29" s="522"/>
      <c r="L29" s="522"/>
      <c r="M29" s="522"/>
      <c r="N29" s="522"/>
      <c r="O29" s="522"/>
      <c r="P29" s="522"/>
      <c r="Q29" s="522"/>
      <c r="R29" s="522"/>
      <c r="S29" s="522"/>
      <c r="T29" s="522"/>
      <c r="U29" s="522"/>
      <c r="V29" s="522"/>
      <c r="W29" s="522"/>
      <c r="X29" s="522"/>
      <c r="Y29" s="522"/>
      <c r="Z29" s="522"/>
      <c r="AA29" s="522"/>
      <c r="AB29" s="522"/>
      <c r="AC29" s="522"/>
      <c r="AD29" s="522"/>
      <c r="AE29" s="522"/>
      <c r="AF29" s="522"/>
      <c r="AG29" s="522"/>
      <c r="AH29" s="522"/>
      <c r="AI29" s="522"/>
      <c r="AJ29" s="522"/>
      <c r="AK29" s="522"/>
      <c r="AL29" s="522"/>
      <c r="AM29" s="522"/>
      <c r="AN29" s="522"/>
      <c r="AO29" s="522"/>
      <c r="AP29" s="522"/>
      <c r="AQ29" s="522"/>
      <c r="AR29" s="522"/>
      <c r="AS29" s="522"/>
      <c r="AT29" s="522">
        <v>0</v>
      </c>
      <c r="AU29" s="522"/>
      <c r="AV29" s="522"/>
      <c r="AW29" s="522"/>
      <c r="AX29" s="522"/>
      <c r="AY29" s="522"/>
      <c r="AZ29" s="522"/>
      <c r="BA29" s="522"/>
      <c r="BB29" s="522"/>
      <c r="BC29" s="522"/>
      <c r="BD29" s="522"/>
      <c r="BE29" s="522"/>
      <c r="BF29" s="522"/>
      <c r="BG29" s="522"/>
      <c r="BH29" s="522"/>
      <c r="BI29" s="522"/>
      <c r="BJ29" s="522">
        <v>2</v>
      </c>
      <c r="BK29" s="522"/>
      <c r="BL29" s="522"/>
      <c r="BM29" s="522"/>
      <c r="BN29" s="522"/>
      <c r="BO29" s="522"/>
      <c r="BP29" s="522"/>
      <c r="BQ29" s="522"/>
      <c r="BR29" s="522"/>
      <c r="BS29" s="522"/>
      <c r="BT29" s="522"/>
      <c r="BU29" s="522"/>
      <c r="BV29" s="522"/>
      <c r="BW29" s="522"/>
      <c r="BX29" s="522"/>
      <c r="BY29" s="522"/>
      <c r="BZ29" s="522">
        <v>0</v>
      </c>
      <c r="CA29" s="522"/>
      <c r="CB29" s="522"/>
      <c r="CC29" s="522"/>
      <c r="CD29" s="522"/>
      <c r="CE29" s="522"/>
      <c r="CF29" s="522"/>
      <c r="CG29" s="522"/>
      <c r="CH29" s="522"/>
      <c r="CI29" s="522"/>
      <c r="CJ29" s="522"/>
      <c r="CK29" s="522"/>
      <c r="CL29" s="522"/>
      <c r="CM29" s="522"/>
      <c r="CN29" s="522"/>
      <c r="CO29" s="522">
        <v>0</v>
      </c>
      <c r="CP29" s="522"/>
      <c r="CQ29" s="522"/>
      <c r="CR29" s="522"/>
      <c r="CS29" s="522"/>
      <c r="CT29" s="522"/>
      <c r="CU29" s="522"/>
      <c r="CV29" s="522"/>
      <c r="CW29" s="522"/>
      <c r="CX29" s="522"/>
      <c r="CY29" s="522"/>
      <c r="CZ29" s="522"/>
      <c r="DA29" s="522"/>
      <c r="DB29" s="522"/>
      <c r="DC29" s="522"/>
      <c r="DD29" s="522"/>
      <c r="DE29" s="522"/>
      <c r="DF29" s="522"/>
      <c r="DG29" s="522"/>
      <c r="DH29" s="522"/>
      <c r="DI29" s="503"/>
      <c r="DJ29" s="512"/>
    </row>
    <row r="30" spans="3:114" ht="18.75" customHeight="1" x14ac:dyDescent="0.3">
      <c r="C30" s="512"/>
      <c r="D30" s="523">
        <v>1</v>
      </c>
      <c r="E30" s="1228" t="str">
        <f ca="1">' '!A241</f>
        <v>Personnel resources (external)</v>
      </c>
      <c r="F30" s="1228"/>
      <c r="G30" s="1228"/>
      <c r="H30" s="1228"/>
      <c r="I30" s="1228"/>
      <c r="J30" s="1228"/>
      <c r="K30" s="1228"/>
      <c r="L30" s="1228"/>
      <c r="M30" s="1228"/>
      <c r="N30" s="1228"/>
      <c r="O30" s="1228"/>
      <c r="P30" s="1228"/>
      <c r="Q30" s="1228"/>
      <c r="R30" s="1228"/>
      <c r="S30" s="1228"/>
      <c r="T30" s="1228"/>
      <c r="U30" s="1228"/>
      <c r="V30" s="1228"/>
      <c r="W30" s="1228"/>
      <c r="X30" s="1228"/>
      <c r="Y30" s="1228"/>
      <c r="Z30" s="1228"/>
      <c r="AA30" s="1228"/>
      <c r="AB30" s="1228"/>
      <c r="AC30" s="1228"/>
      <c r="AD30" s="1228"/>
      <c r="AE30" s="1228"/>
      <c r="AF30" s="1228"/>
      <c r="AG30" s="1228"/>
      <c r="AH30" s="1228"/>
      <c r="AI30" s="1228"/>
      <c r="AJ30" s="1228"/>
      <c r="AK30" s="1228"/>
      <c r="AL30" s="1228"/>
      <c r="AM30" s="1228"/>
      <c r="AN30" s="1228"/>
      <c r="AO30" s="1228"/>
      <c r="AP30" s="1228"/>
      <c r="AQ30" s="524"/>
      <c r="AR30" s="525"/>
      <c r="AS30" s="525"/>
      <c r="AT30" s="1208">
        <f>Projektteam!AG33</f>
        <v>0</v>
      </c>
      <c r="AU30" s="1208"/>
      <c r="AV30" s="1208"/>
      <c r="AW30" s="1208"/>
      <c r="AX30" s="1208"/>
      <c r="AY30" s="1208"/>
      <c r="AZ30" s="1208"/>
      <c r="BA30" s="1208"/>
      <c r="BB30" s="1208"/>
      <c r="BC30" s="1208"/>
      <c r="BD30" s="1208"/>
      <c r="BE30" s="1208"/>
      <c r="BF30" s="1208"/>
      <c r="BG30" s="526"/>
      <c r="BH30" s="527"/>
      <c r="BI30" s="527"/>
      <c r="BJ30" s="1208">
        <f>Projektteam!AL33</f>
        <v>0</v>
      </c>
      <c r="BK30" s="1208"/>
      <c r="BL30" s="1208"/>
      <c r="BM30" s="1208"/>
      <c r="BN30" s="1208"/>
      <c r="BO30" s="1208"/>
      <c r="BP30" s="1208"/>
      <c r="BQ30" s="1208"/>
      <c r="BR30" s="1208"/>
      <c r="BS30" s="1208"/>
      <c r="BT30" s="1208"/>
      <c r="BU30" s="1208"/>
      <c r="BV30" s="1208"/>
      <c r="BW30" s="526"/>
      <c r="BX30" s="527"/>
      <c r="BY30" s="527"/>
      <c r="BZ30" s="1208">
        <f t="shared" ref="BZ30:BZ59" si="1">AT30-BJ30</f>
        <v>0</v>
      </c>
      <c r="CA30" s="1208"/>
      <c r="CB30" s="1208"/>
      <c r="CC30" s="1208"/>
      <c r="CD30" s="1208"/>
      <c r="CE30" s="1208"/>
      <c r="CF30" s="1208"/>
      <c r="CG30" s="1208"/>
      <c r="CH30" s="1208"/>
      <c r="CI30" s="1208"/>
      <c r="CJ30" s="1208"/>
      <c r="CK30" s="1208"/>
      <c r="CL30" s="1208"/>
      <c r="CM30" s="524"/>
      <c r="CN30" s="525"/>
      <c r="CO30" s="1210"/>
      <c r="CP30" s="1210"/>
      <c r="CQ30" s="1210"/>
      <c r="CR30" s="1210"/>
      <c r="CS30" s="1210"/>
      <c r="CT30" s="1210"/>
      <c r="CU30" s="1210"/>
      <c r="CV30" s="1210"/>
      <c r="CW30" s="1210"/>
      <c r="CX30" s="1210"/>
      <c r="CY30" s="1210"/>
      <c r="CZ30" s="1210"/>
      <c r="DA30" s="1210"/>
      <c r="DB30" s="1210"/>
      <c r="DC30" s="1210"/>
      <c r="DD30" s="1210"/>
      <c r="DE30" s="1210"/>
      <c r="DF30" s="1210"/>
      <c r="DG30" s="1210"/>
      <c r="DH30" s="1210"/>
      <c r="DJ30" s="512"/>
    </row>
    <row r="31" spans="3:114" ht="18.75" customHeight="1" x14ac:dyDescent="0.3">
      <c r="C31" s="512"/>
      <c r="D31" s="523">
        <v>2</v>
      </c>
      <c r="E31" s="1204"/>
      <c r="F31" s="1205"/>
      <c r="G31" s="1205"/>
      <c r="H31" s="1205"/>
      <c r="I31" s="1205"/>
      <c r="J31" s="1205"/>
      <c r="K31" s="1205"/>
      <c r="L31" s="1205"/>
      <c r="M31" s="1205"/>
      <c r="N31" s="1205"/>
      <c r="O31" s="1205"/>
      <c r="P31" s="1205"/>
      <c r="Q31" s="1205"/>
      <c r="R31" s="1205"/>
      <c r="S31" s="1205"/>
      <c r="T31" s="1205"/>
      <c r="U31" s="1205"/>
      <c r="V31" s="1205"/>
      <c r="W31" s="1205"/>
      <c r="X31" s="1205"/>
      <c r="Y31" s="1205"/>
      <c r="Z31" s="1205"/>
      <c r="AA31" s="1205"/>
      <c r="AB31" s="1205"/>
      <c r="AC31" s="1205"/>
      <c r="AD31" s="1205"/>
      <c r="AE31" s="1205"/>
      <c r="AF31" s="1205"/>
      <c r="AG31" s="1205"/>
      <c r="AH31" s="1205"/>
      <c r="AI31" s="1205"/>
      <c r="AJ31" s="1205"/>
      <c r="AK31" s="1205"/>
      <c r="AL31" s="1205"/>
      <c r="AM31" s="1205"/>
      <c r="AN31" s="1205"/>
      <c r="AO31" s="1205"/>
      <c r="AP31" s="1205"/>
      <c r="AQ31" s="524"/>
      <c r="AR31" s="525"/>
      <c r="AS31" s="525"/>
      <c r="AT31" s="1206"/>
      <c r="AU31" s="1207"/>
      <c r="AV31" s="1207"/>
      <c r="AW31" s="1207"/>
      <c r="AX31" s="1207"/>
      <c r="AY31" s="1207"/>
      <c r="AZ31" s="1207"/>
      <c r="BA31" s="1207"/>
      <c r="BB31" s="1207"/>
      <c r="BC31" s="1207"/>
      <c r="BD31" s="1207"/>
      <c r="BE31" s="1207"/>
      <c r="BF31" s="1207"/>
      <c r="BG31" s="526"/>
      <c r="BH31" s="527"/>
      <c r="BI31" s="527"/>
      <c r="BJ31" s="1206">
        <v>0</v>
      </c>
      <c r="BK31" s="1207"/>
      <c r="BL31" s="1207"/>
      <c r="BM31" s="1207"/>
      <c r="BN31" s="1207"/>
      <c r="BO31" s="1207"/>
      <c r="BP31" s="1207"/>
      <c r="BQ31" s="1207"/>
      <c r="BR31" s="1207"/>
      <c r="BS31" s="1207"/>
      <c r="BT31" s="1207"/>
      <c r="BU31" s="1207"/>
      <c r="BV31" s="1207"/>
      <c r="BW31" s="526"/>
      <c r="BX31" s="527"/>
      <c r="BY31" s="527"/>
      <c r="BZ31" s="1208">
        <f t="shared" si="1"/>
        <v>0</v>
      </c>
      <c r="CA31" s="1209"/>
      <c r="CB31" s="1209"/>
      <c r="CC31" s="1209"/>
      <c r="CD31" s="1209"/>
      <c r="CE31" s="1209"/>
      <c r="CF31" s="1209"/>
      <c r="CG31" s="1209"/>
      <c r="CH31" s="1209"/>
      <c r="CI31" s="1209"/>
      <c r="CJ31" s="1209"/>
      <c r="CK31" s="1209"/>
      <c r="CL31" s="1209"/>
      <c r="CM31" s="524"/>
      <c r="CN31" s="525"/>
      <c r="CO31" s="1210"/>
      <c r="CP31" s="1211"/>
      <c r="CQ31" s="1211"/>
      <c r="CR31" s="1211"/>
      <c r="CS31" s="1211"/>
      <c r="CT31" s="1211"/>
      <c r="CU31" s="1211"/>
      <c r="CV31" s="1211"/>
      <c r="CW31" s="1211"/>
      <c r="CX31" s="1211"/>
      <c r="CY31" s="1211"/>
      <c r="CZ31" s="1211"/>
      <c r="DA31" s="1211"/>
      <c r="DB31" s="1211"/>
      <c r="DC31" s="1211"/>
      <c r="DD31" s="1211"/>
      <c r="DE31" s="1211"/>
      <c r="DF31" s="1211"/>
      <c r="DG31" s="1211"/>
      <c r="DH31" s="1211"/>
      <c r="DJ31" s="512"/>
    </row>
    <row r="32" spans="3:114" ht="18.75" customHeight="1" x14ac:dyDescent="0.3">
      <c r="C32" s="512"/>
      <c r="D32" s="523">
        <v>3</v>
      </c>
      <c r="E32" s="1204"/>
      <c r="F32" s="1205"/>
      <c r="G32" s="1205"/>
      <c r="H32" s="1205"/>
      <c r="I32" s="1205"/>
      <c r="J32" s="1205"/>
      <c r="K32" s="1205"/>
      <c r="L32" s="1205"/>
      <c r="M32" s="1205"/>
      <c r="N32" s="1205"/>
      <c r="O32" s="1205"/>
      <c r="P32" s="1205"/>
      <c r="Q32" s="1205"/>
      <c r="R32" s="1205"/>
      <c r="S32" s="1205"/>
      <c r="T32" s="1205"/>
      <c r="U32" s="1205"/>
      <c r="V32" s="1205"/>
      <c r="W32" s="1205"/>
      <c r="X32" s="1205"/>
      <c r="Y32" s="1205"/>
      <c r="Z32" s="1205"/>
      <c r="AA32" s="1205"/>
      <c r="AB32" s="1205"/>
      <c r="AC32" s="1205"/>
      <c r="AD32" s="1205"/>
      <c r="AE32" s="1205"/>
      <c r="AF32" s="1205"/>
      <c r="AG32" s="1205"/>
      <c r="AH32" s="1205"/>
      <c r="AI32" s="1205"/>
      <c r="AJ32" s="1205"/>
      <c r="AK32" s="1205"/>
      <c r="AL32" s="1205"/>
      <c r="AM32" s="1205"/>
      <c r="AN32" s="1205"/>
      <c r="AO32" s="1205"/>
      <c r="AP32" s="1205"/>
      <c r="AQ32" s="524"/>
      <c r="AR32" s="525"/>
      <c r="AS32" s="525"/>
      <c r="AT32" s="1206">
        <v>0</v>
      </c>
      <c r="AU32" s="1207"/>
      <c r="AV32" s="1207"/>
      <c r="AW32" s="1207"/>
      <c r="AX32" s="1207"/>
      <c r="AY32" s="1207"/>
      <c r="AZ32" s="1207"/>
      <c r="BA32" s="1207"/>
      <c r="BB32" s="1207"/>
      <c r="BC32" s="1207"/>
      <c r="BD32" s="1207"/>
      <c r="BE32" s="1207"/>
      <c r="BF32" s="1207"/>
      <c r="BG32" s="526"/>
      <c r="BH32" s="527"/>
      <c r="BI32" s="527"/>
      <c r="BJ32" s="1206">
        <v>0</v>
      </c>
      <c r="BK32" s="1207"/>
      <c r="BL32" s="1207"/>
      <c r="BM32" s="1207"/>
      <c r="BN32" s="1207"/>
      <c r="BO32" s="1207"/>
      <c r="BP32" s="1207"/>
      <c r="BQ32" s="1207"/>
      <c r="BR32" s="1207"/>
      <c r="BS32" s="1207"/>
      <c r="BT32" s="1207"/>
      <c r="BU32" s="1207"/>
      <c r="BV32" s="1207"/>
      <c r="BW32" s="526"/>
      <c r="BX32" s="527"/>
      <c r="BY32" s="527"/>
      <c r="BZ32" s="1208">
        <f t="shared" si="1"/>
        <v>0</v>
      </c>
      <c r="CA32" s="1209"/>
      <c r="CB32" s="1209"/>
      <c r="CC32" s="1209"/>
      <c r="CD32" s="1209"/>
      <c r="CE32" s="1209"/>
      <c r="CF32" s="1209"/>
      <c r="CG32" s="1209"/>
      <c r="CH32" s="1209"/>
      <c r="CI32" s="1209"/>
      <c r="CJ32" s="1209"/>
      <c r="CK32" s="1209"/>
      <c r="CL32" s="1209"/>
      <c r="CM32" s="524"/>
      <c r="CN32" s="525"/>
      <c r="CO32" s="1210"/>
      <c r="CP32" s="1211"/>
      <c r="CQ32" s="1211"/>
      <c r="CR32" s="1211"/>
      <c r="CS32" s="1211"/>
      <c r="CT32" s="1211"/>
      <c r="CU32" s="1211"/>
      <c r="CV32" s="1211"/>
      <c r="CW32" s="1211"/>
      <c r="CX32" s="1211"/>
      <c r="CY32" s="1211"/>
      <c r="CZ32" s="1211"/>
      <c r="DA32" s="1211"/>
      <c r="DB32" s="1211"/>
      <c r="DC32" s="1211"/>
      <c r="DD32" s="1211"/>
      <c r="DE32" s="1211"/>
      <c r="DF32" s="1211"/>
      <c r="DG32" s="1211"/>
      <c r="DH32" s="1211"/>
      <c r="DJ32" s="512"/>
    </row>
    <row r="33" spans="3:114" ht="18.75" customHeight="1" x14ac:dyDescent="0.3">
      <c r="C33" s="512"/>
      <c r="D33" s="523">
        <v>4</v>
      </c>
      <c r="E33" s="1204"/>
      <c r="F33" s="1205"/>
      <c r="G33" s="1205"/>
      <c r="H33" s="1205"/>
      <c r="I33" s="1205"/>
      <c r="J33" s="1205"/>
      <c r="K33" s="1205"/>
      <c r="L33" s="1205"/>
      <c r="M33" s="1205"/>
      <c r="N33" s="1205"/>
      <c r="O33" s="1205"/>
      <c r="P33" s="1205"/>
      <c r="Q33" s="1205"/>
      <c r="R33" s="1205"/>
      <c r="S33" s="1205"/>
      <c r="T33" s="1205"/>
      <c r="U33" s="1205"/>
      <c r="V33" s="1205"/>
      <c r="W33" s="1205"/>
      <c r="X33" s="1205"/>
      <c r="Y33" s="1205"/>
      <c r="Z33" s="1205"/>
      <c r="AA33" s="1205"/>
      <c r="AB33" s="1205"/>
      <c r="AC33" s="1205"/>
      <c r="AD33" s="1205"/>
      <c r="AE33" s="1205"/>
      <c r="AF33" s="1205"/>
      <c r="AG33" s="1205"/>
      <c r="AH33" s="1205"/>
      <c r="AI33" s="1205"/>
      <c r="AJ33" s="1205"/>
      <c r="AK33" s="1205"/>
      <c r="AL33" s="1205"/>
      <c r="AM33" s="1205"/>
      <c r="AN33" s="1205"/>
      <c r="AO33" s="1205"/>
      <c r="AP33" s="1205"/>
      <c r="AQ33" s="524"/>
      <c r="AR33" s="525"/>
      <c r="AS33" s="525"/>
      <c r="AT33" s="1206">
        <v>0</v>
      </c>
      <c r="AU33" s="1207"/>
      <c r="AV33" s="1207"/>
      <c r="AW33" s="1207"/>
      <c r="AX33" s="1207"/>
      <c r="AY33" s="1207"/>
      <c r="AZ33" s="1207"/>
      <c r="BA33" s="1207"/>
      <c r="BB33" s="1207"/>
      <c r="BC33" s="1207"/>
      <c r="BD33" s="1207"/>
      <c r="BE33" s="1207"/>
      <c r="BF33" s="1207"/>
      <c r="BG33" s="526"/>
      <c r="BH33" s="527"/>
      <c r="BI33" s="527"/>
      <c r="BJ33" s="1206">
        <v>0</v>
      </c>
      <c r="BK33" s="1207"/>
      <c r="BL33" s="1207"/>
      <c r="BM33" s="1207"/>
      <c r="BN33" s="1207"/>
      <c r="BO33" s="1207"/>
      <c r="BP33" s="1207"/>
      <c r="BQ33" s="1207"/>
      <c r="BR33" s="1207"/>
      <c r="BS33" s="1207"/>
      <c r="BT33" s="1207"/>
      <c r="BU33" s="1207"/>
      <c r="BV33" s="1207"/>
      <c r="BW33" s="526"/>
      <c r="BX33" s="527"/>
      <c r="BY33" s="527"/>
      <c r="BZ33" s="1208">
        <f t="shared" si="1"/>
        <v>0</v>
      </c>
      <c r="CA33" s="1209"/>
      <c r="CB33" s="1209"/>
      <c r="CC33" s="1209"/>
      <c r="CD33" s="1209"/>
      <c r="CE33" s="1209"/>
      <c r="CF33" s="1209"/>
      <c r="CG33" s="1209"/>
      <c r="CH33" s="1209"/>
      <c r="CI33" s="1209"/>
      <c r="CJ33" s="1209"/>
      <c r="CK33" s="1209"/>
      <c r="CL33" s="1209"/>
      <c r="CM33" s="524"/>
      <c r="CN33" s="525"/>
      <c r="CO33" s="1210"/>
      <c r="CP33" s="1211"/>
      <c r="CQ33" s="1211"/>
      <c r="CR33" s="1211"/>
      <c r="CS33" s="1211"/>
      <c r="CT33" s="1211"/>
      <c r="CU33" s="1211"/>
      <c r="CV33" s="1211"/>
      <c r="CW33" s="1211"/>
      <c r="CX33" s="1211"/>
      <c r="CY33" s="1211"/>
      <c r="CZ33" s="1211"/>
      <c r="DA33" s="1211"/>
      <c r="DB33" s="1211"/>
      <c r="DC33" s="1211"/>
      <c r="DD33" s="1211"/>
      <c r="DE33" s="1211"/>
      <c r="DF33" s="1211"/>
      <c r="DG33" s="1211"/>
      <c r="DH33" s="1211"/>
      <c r="DI33" s="503"/>
      <c r="DJ33" s="512"/>
    </row>
    <row r="34" spans="3:114" ht="18.75" customHeight="1" x14ac:dyDescent="0.3">
      <c r="C34" s="512"/>
      <c r="D34" s="523">
        <v>5</v>
      </c>
      <c r="E34" s="1204"/>
      <c r="F34" s="1205"/>
      <c r="G34" s="1205"/>
      <c r="H34" s="1205"/>
      <c r="I34" s="1205"/>
      <c r="J34" s="1205"/>
      <c r="K34" s="1205"/>
      <c r="L34" s="1205"/>
      <c r="M34" s="1205"/>
      <c r="N34" s="1205"/>
      <c r="O34" s="1205"/>
      <c r="P34" s="1205"/>
      <c r="Q34" s="1205"/>
      <c r="R34" s="1205"/>
      <c r="S34" s="1205"/>
      <c r="T34" s="1205"/>
      <c r="U34" s="1205"/>
      <c r="V34" s="1205"/>
      <c r="W34" s="1205"/>
      <c r="X34" s="1205"/>
      <c r="Y34" s="1205"/>
      <c r="Z34" s="1205"/>
      <c r="AA34" s="1205"/>
      <c r="AB34" s="1205"/>
      <c r="AC34" s="1205"/>
      <c r="AD34" s="1205"/>
      <c r="AE34" s="1205"/>
      <c r="AF34" s="1205"/>
      <c r="AG34" s="1205"/>
      <c r="AH34" s="1205"/>
      <c r="AI34" s="1205"/>
      <c r="AJ34" s="1205"/>
      <c r="AK34" s="1205"/>
      <c r="AL34" s="1205"/>
      <c r="AM34" s="1205"/>
      <c r="AN34" s="1205"/>
      <c r="AO34" s="1205"/>
      <c r="AP34" s="1205"/>
      <c r="AQ34" s="524"/>
      <c r="AR34" s="525"/>
      <c r="AS34" s="525"/>
      <c r="AT34" s="1206">
        <v>0</v>
      </c>
      <c r="AU34" s="1207"/>
      <c r="AV34" s="1207"/>
      <c r="AW34" s="1207"/>
      <c r="AX34" s="1207"/>
      <c r="AY34" s="1207"/>
      <c r="AZ34" s="1207"/>
      <c r="BA34" s="1207"/>
      <c r="BB34" s="1207"/>
      <c r="BC34" s="1207"/>
      <c r="BD34" s="1207"/>
      <c r="BE34" s="1207"/>
      <c r="BF34" s="1207"/>
      <c r="BG34" s="526"/>
      <c r="BH34" s="527"/>
      <c r="BI34" s="527"/>
      <c r="BJ34" s="1206">
        <v>0</v>
      </c>
      <c r="BK34" s="1207"/>
      <c r="BL34" s="1207"/>
      <c r="BM34" s="1207"/>
      <c r="BN34" s="1207"/>
      <c r="BO34" s="1207"/>
      <c r="BP34" s="1207"/>
      <c r="BQ34" s="1207"/>
      <c r="BR34" s="1207"/>
      <c r="BS34" s="1207"/>
      <c r="BT34" s="1207"/>
      <c r="BU34" s="1207"/>
      <c r="BV34" s="1207"/>
      <c r="BW34" s="526"/>
      <c r="BX34" s="527"/>
      <c r="BY34" s="527"/>
      <c r="BZ34" s="1208">
        <f t="shared" si="1"/>
        <v>0</v>
      </c>
      <c r="CA34" s="1209"/>
      <c r="CB34" s="1209"/>
      <c r="CC34" s="1209"/>
      <c r="CD34" s="1209"/>
      <c r="CE34" s="1209"/>
      <c r="CF34" s="1209"/>
      <c r="CG34" s="1209"/>
      <c r="CH34" s="1209"/>
      <c r="CI34" s="1209"/>
      <c r="CJ34" s="1209"/>
      <c r="CK34" s="1209"/>
      <c r="CL34" s="1209"/>
      <c r="CM34" s="524"/>
      <c r="CN34" s="525"/>
      <c r="CO34" s="1210"/>
      <c r="CP34" s="1211"/>
      <c r="CQ34" s="1211"/>
      <c r="CR34" s="1211"/>
      <c r="CS34" s="1211"/>
      <c r="CT34" s="1211"/>
      <c r="CU34" s="1211"/>
      <c r="CV34" s="1211"/>
      <c r="CW34" s="1211"/>
      <c r="CX34" s="1211"/>
      <c r="CY34" s="1211"/>
      <c r="CZ34" s="1211"/>
      <c r="DA34" s="1211"/>
      <c r="DB34" s="1211"/>
      <c r="DC34" s="1211"/>
      <c r="DD34" s="1211"/>
      <c r="DE34" s="1211"/>
      <c r="DF34" s="1211"/>
      <c r="DG34" s="1211"/>
      <c r="DH34" s="1211"/>
      <c r="DJ34" s="512"/>
    </row>
    <row r="35" spans="3:114" ht="18.75" customHeight="1" x14ac:dyDescent="0.3">
      <c r="C35" s="512"/>
      <c r="D35" s="523">
        <v>6</v>
      </c>
      <c r="E35" s="1204"/>
      <c r="F35" s="1205"/>
      <c r="G35" s="1205"/>
      <c r="H35" s="1205"/>
      <c r="I35" s="1205"/>
      <c r="J35" s="1205"/>
      <c r="K35" s="1205"/>
      <c r="L35" s="1205"/>
      <c r="M35" s="1205"/>
      <c r="N35" s="1205"/>
      <c r="O35" s="1205"/>
      <c r="P35" s="1205"/>
      <c r="Q35" s="1205"/>
      <c r="R35" s="1205"/>
      <c r="S35" s="1205"/>
      <c r="T35" s="1205"/>
      <c r="U35" s="1205"/>
      <c r="V35" s="1205"/>
      <c r="W35" s="1205"/>
      <c r="X35" s="1205"/>
      <c r="Y35" s="1205"/>
      <c r="Z35" s="1205"/>
      <c r="AA35" s="1205"/>
      <c r="AB35" s="1205"/>
      <c r="AC35" s="1205"/>
      <c r="AD35" s="1205"/>
      <c r="AE35" s="1205"/>
      <c r="AF35" s="1205"/>
      <c r="AG35" s="1205"/>
      <c r="AH35" s="1205"/>
      <c r="AI35" s="1205"/>
      <c r="AJ35" s="1205"/>
      <c r="AK35" s="1205"/>
      <c r="AL35" s="1205"/>
      <c r="AM35" s="1205"/>
      <c r="AN35" s="1205"/>
      <c r="AO35" s="1205"/>
      <c r="AP35" s="1205"/>
      <c r="AQ35" s="524"/>
      <c r="AR35" s="525"/>
      <c r="AS35" s="525"/>
      <c r="AT35" s="1206">
        <v>0</v>
      </c>
      <c r="AU35" s="1207"/>
      <c r="AV35" s="1207"/>
      <c r="AW35" s="1207"/>
      <c r="AX35" s="1207"/>
      <c r="AY35" s="1207"/>
      <c r="AZ35" s="1207"/>
      <c r="BA35" s="1207"/>
      <c r="BB35" s="1207"/>
      <c r="BC35" s="1207"/>
      <c r="BD35" s="1207"/>
      <c r="BE35" s="1207"/>
      <c r="BF35" s="1207"/>
      <c r="BG35" s="526"/>
      <c r="BH35" s="527"/>
      <c r="BI35" s="527"/>
      <c r="BJ35" s="1206">
        <v>0</v>
      </c>
      <c r="BK35" s="1207"/>
      <c r="BL35" s="1207"/>
      <c r="BM35" s="1207"/>
      <c r="BN35" s="1207"/>
      <c r="BO35" s="1207"/>
      <c r="BP35" s="1207"/>
      <c r="BQ35" s="1207"/>
      <c r="BR35" s="1207"/>
      <c r="BS35" s="1207"/>
      <c r="BT35" s="1207"/>
      <c r="BU35" s="1207"/>
      <c r="BV35" s="1207"/>
      <c r="BW35" s="526"/>
      <c r="BX35" s="527"/>
      <c r="BY35" s="527"/>
      <c r="BZ35" s="1208">
        <f t="shared" si="1"/>
        <v>0</v>
      </c>
      <c r="CA35" s="1209"/>
      <c r="CB35" s="1209"/>
      <c r="CC35" s="1209"/>
      <c r="CD35" s="1209"/>
      <c r="CE35" s="1209"/>
      <c r="CF35" s="1209"/>
      <c r="CG35" s="1209"/>
      <c r="CH35" s="1209"/>
      <c r="CI35" s="1209"/>
      <c r="CJ35" s="1209"/>
      <c r="CK35" s="1209"/>
      <c r="CL35" s="1209"/>
      <c r="CM35" s="524"/>
      <c r="CN35" s="525"/>
      <c r="CO35" s="1210"/>
      <c r="CP35" s="1211"/>
      <c r="CQ35" s="1211"/>
      <c r="CR35" s="1211"/>
      <c r="CS35" s="1211"/>
      <c r="CT35" s="1211"/>
      <c r="CU35" s="1211"/>
      <c r="CV35" s="1211"/>
      <c r="CW35" s="1211"/>
      <c r="CX35" s="1211"/>
      <c r="CY35" s="1211"/>
      <c r="CZ35" s="1211"/>
      <c r="DA35" s="1211"/>
      <c r="DB35" s="1211"/>
      <c r="DC35" s="1211"/>
      <c r="DD35" s="1211"/>
      <c r="DE35" s="1211"/>
      <c r="DF35" s="1211"/>
      <c r="DG35" s="1211"/>
      <c r="DH35" s="1211"/>
      <c r="DI35" s="503"/>
      <c r="DJ35" s="512"/>
    </row>
    <row r="36" spans="3:114" ht="18.75" customHeight="1" x14ac:dyDescent="0.3">
      <c r="C36" s="512"/>
      <c r="D36" s="523">
        <v>7</v>
      </c>
      <c r="E36" s="1204"/>
      <c r="F36" s="1205"/>
      <c r="G36" s="1205"/>
      <c r="H36" s="1205"/>
      <c r="I36" s="1205"/>
      <c r="J36" s="1205"/>
      <c r="K36" s="1205"/>
      <c r="L36" s="1205"/>
      <c r="M36" s="1205"/>
      <c r="N36" s="1205"/>
      <c r="O36" s="1205"/>
      <c r="P36" s="1205"/>
      <c r="Q36" s="1205"/>
      <c r="R36" s="1205"/>
      <c r="S36" s="1205"/>
      <c r="T36" s="1205"/>
      <c r="U36" s="1205"/>
      <c r="V36" s="1205"/>
      <c r="W36" s="1205"/>
      <c r="X36" s="1205"/>
      <c r="Y36" s="1205"/>
      <c r="Z36" s="1205"/>
      <c r="AA36" s="1205"/>
      <c r="AB36" s="1205"/>
      <c r="AC36" s="1205"/>
      <c r="AD36" s="1205"/>
      <c r="AE36" s="1205"/>
      <c r="AF36" s="1205"/>
      <c r="AG36" s="1205"/>
      <c r="AH36" s="1205"/>
      <c r="AI36" s="1205"/>
      <c r="AJ36" s="1205"/>
      <c r="AK36" s="1205"/>
      <c r="AL36" s="1205"/>
      <c r="AM36" s="1205"/>
      <c r="AN36" s="1205"/>
      <c r="AO36" s="1205"/>
      <c r="AP36" s="1205"/>
      <c r="AQ36" s="524"/>
      <c r="AR36" s="525"/>
      <c r="AS36" s="525"/>
      <c r="AT36" s="1206">
        <v>0</v>
      </c>
      <c r="AU36" s="1207"/>
      <c r="AV36" s="1207"/>
      <c r="AW36" s="1207"/>
      <c r="AX36" s="1207"/>
      <c r="AY36" s="1207"/>
      <c r="AZ36" s="1207"/>
      <c r="BA36" s="1207"/>
      <c r="BB36" s="1207"/>
      <c r="BC36" s="1207"/>
      <c r="BD36" s="1207"/>
      <c r="BE36" s="1207"/>
      <c r="BF36" s="1207"/>
      <c r="BG36" s="526"/>
      <c r="BH36" s="527"/>
      <c r="BI36" s="527"/>
      <c r="BJ36" s="1206">
        <v>0</v>
      </c>
      <c r="BK36" s="1207"/>
      <c r="BL36" s="1207"/>
      <c r="BM36" s="1207"/>
      <c r="BN36" s="1207"/>
      <c r="BO36" s="1207"/>
      <c r="BP36" s="1207"/>
      <c r="BQ36" s="1207"/>
      <c r="BR36" s="1207"/>
      <c r="BS36" s="1207"/>
      <c r="BT36" s="1207"/>
      <c r="BU36" s="1207"/>
      <c r="BV36" s="1207"/>
      <c r="BW36" s="526"/>
      <c r="BX36" s="527"/>
      <c r="BY36" s="527"/>
      <c r="BZ36" s="1208">
        <f t="shared" si="1"/>
        <v>0</v>
      </c>
      <c r="CA36" s="1209"/>
      <c r="CB36" s="1209"/>
      <c r="CC36" s="1209"/>
      <c r="CD36" s="1209"/>
      <c r="CE36" s="1209"/>
      <c r="CF36" s="1209"/>
      <c r="CG36" s="1209"/>
      <c r="CH36" s="1209"/>
      <c r="CI36" s="1209"/>
      <c r="CJ36" s="1209"/>
      <c r="CK36" s="1209"/>
      <c r="CL36" s="1209"/>
      <c r="CM36" s="524"/>
      <c r="CN36" s="525"/>
      <c r="CO36" s="1210"/>
      <c r="CP36" s="1211"/>
      <c r="CQ36" s="1211"/>
      <c r="CR36" s="1211"/>
      <c r="CS36" s="1211"/>
      <c r="CT36" s="1211"/>
      <c r="CU36" s="1211"/>
      <c r="CV36" s="1211"/>
      <c r="CW36" s="1211"/>
      <c r="CX36" s="1211"/>
      <c r="CY36" s="1211"/>
      <c r="CZ36" s="1211"/>
      <c r="DA36" s="1211"/>
      <c r="DB36" s="1211"/>
      <c r="DC36" s="1211"/>
      <c r="DD36" s="1211"/>
      <c r="DE36" s="1211"/>
      <c r="DF36" s="1211"/>
      <c r="DG36" s="1211"/>
      <c r="DH36" s="1211"/>
      <c r="DJ36" s="512"/>
    </row>
    <row r="37" spans="3:114" ht="18.75" customHeight="1" x14ac:dyDescent="0.3">
      <c r="C37" s="512"/>
      <c r="D37" s="523">
        <v>8</v>
      </c>
      <c r="E37" s="1204"/>
      <c r="F37" s="1205"/>
      <c r="G37" s="1205"/>
      <c r="H37" s="1205"/>
      <c r="I37" s="1205"/>
      <c r="J37" s="1205"/>
      <c r="K37" s="1205"/>
      <c r="L37" s="1205"/>
      <c r="M37" s="1205"/>
      <c r="N37" s="1205"/>
      <c r="O37" s="1205"/>
      <c r="P37" s="1205"/>
      <c r="Q37" s="1205"/>
      <c r="R37" s="1205"/>
      <c r="S37" s="1205"/>
      <c r="T37" s="1205"/>
      <c r="U37" s="1205"/>
      <c r="V37" s="1205"/>
      <c r="W37" s="1205"/>
      <c r="X37" s="1205"/>
      <c r="Y37" s="1205"/>
      <c r="Z37" s="1205"/>
      <c r="AA37" s="1205"/>
      <c r="AB37" s="1205"/>
      <c r="AC37" s="1205"/>
      <c r="AD37" s="1205"/>
      <c r="AE37" s="1205"/>
      <c r="AF37" s="1205"/>
      <c r="AG37" s="1205"/>
      <c r="AH37" s="1205"/>
      <c r="AI37" s="1205"/>
      <c r="AJ37" s="1205"/>
      <c r="AK37" s="1205"/>
      <c r="AL37" s="1205"/>
      <c r="AM37" s="1205"/>
      <c r="AN37" s="1205"/>
      <c r="AO37" s="1205"/>
      <c r="AP37" s="1205"/>
      <c r="AQ37" s="524"/>
      <c r="AR37" s="525"/>
      <c r="AS37" s="525"/>
      <c r="AT37" s="1206">
        <v>0</v>
      </c>
      <c r="AU37" s="1207"/>
      <c r="AV37" s="1207"/>
      <c r="AW37" s="1207"/>
      <c r="AX37" s="1207"/>
      <c r="AY37" s="1207"/>
      <c r="AZ37" s="1207"/>
      <c r="BA37" s="1207"/>
      <c r="BB37" s="1207"/>
      <c r="BC37" s="1207"/>
      <c r="BD37" s="1207"/>
      <c r="BE37" s="1207"/>
      <c r="BF37" s="1207"/>
      <c r="BG37" s="526"/>
      <c r="BH37" s="527"/>
      <c r="BI37" s="527"/>
      <c r="BJ37" s="1206">
        <v>0</v>
      </c>
      <c r="BK37" s="1207"/>
      <c r="BL37" s="1207"/>
      <c r="BM37" s="1207"/>
      <c r="BN37" s="1207"/>
      <c r="BO37" s="1207"/>
      <c r="BP37" s="1207"/>
      <c r="BQ37" s="1207"/>
      <c r="BR37" s="1207"/>
      <c r="BS37" s="1207"/>
      <c r="BT37" s="1207"/>
      <c r="BU37" s="1207"/>
      <c r="BV37" s="1207"/>
      <c r="BW37" s="526"/>
      <c r="BX37" s="527"/>
      <c r="BY37" s="527"/>
      <c r="BZ37" s="1208">
        <f t="shared" si="1"/>
        <v>0</v>
      </c>
      <c r="CA37" s="1209"/>
      <c r="CB37" s="1209"/>
      <c r="CC37" s="1209"/>
      <c r="CD37" s="1209"/>
      <c r="CE37" s="1209"/>
      <c r="CF37" s="1209"/>
      <c r="CG37" s="1209"/>
      <c r="CH37" s="1209"/>
      <c r="CI37" s="1209"/>
      <c r="CJ37" s="1209"/>
      <c r="CK37" s="1209"/>
      <c r="CL37" s="1209"/>
      <c r="CM37" s="524"/>
      <c r="CN37" s="525"/>
      <c r="CO37" s="1210"/>
      <c r="CP37" s="1211"/>
      <c r="CQ37" s="1211"/>
      <c r="CR37" s="1211"/>
      <c r="CS37" s="1211"/>
      <c r="CT37" s="1211"/>
      <c r="CU37" s="1211"/>
      <c r="CV37" s="1211"/>
      <c r="CW37" s="1211"/>
      <c r="CX37" s="1211"/>
      <c r="CY37" s="1211"/>
      <c r="CZ37" s="1211"/>
      <c r="DA37" s="1211"/>
      <c r="DB37" s="1211"/>
      <c r="DC37" s="1211"/>
      <c r="DD37" s="1211"/>
      <c r="DE37" s="1211"/>
      <c r="DF37" s="1211"/>
      <c r="DG37" s="1211"/>
      <c r="DH37" s="1211"/>
      <c r="DI37" s="503"/>
      <c r="DJ37" s="512"/>
    </row>
    <row r="38" spans="3:114" ht="18.75" customHeight="1" x14ac:dyDescent="0.3">
      <c r="C38" s="512"/>
      <c r="D38" s="523">
        <v>9</v>
      </c>
      <c r="E38" s="1204"/>
      <c r="F38" s="1205"/>
      <c r="G38" s="1205"/>
      <c r="H38" s="1205"/>
      <c r="I38" s="1205"/>
      <c r="J38" s="1205"/>
      <c r="K38" s="1205"/>
      <c r="L38" s="1205"/>
      <c r="M38" s="1205"/>
      <c r="N38" s="1205"/>
      <c r="O38" s="1205"/>
      <c r="P38" s="1205"/>
      <c r="Q38" s="1205"/>
      <c r="R38" s="1205"/>
      <c r="S38" s="1205"/>
      <c r="T38" s="1205"/>
      <c r="U38" s="1205"/>
      <c r="V38" s="1205"/>
      <c r="W38" s="1205"/>
      <c r="X38" s="1205"/>
      <c r="Y38" s="1205"/>
      <c r="Z38" s="1205"/>
      <c r="AA38" s="1205"/>
      <c r="AB38" s="1205"/>
      <c r="AC38" s="1205"/>
      <c r="AD38" s="1205"/>
      <c r="AE38" s="1205"/>
      <c r="AF38" s="1205"/>
      <c r="AG38" s="1205"/>
      <c r="AH38" s="1205"/>
      <c r="AI38" s="1205"/>
      <c r="AJ38" s="1205"/>
      <c r="AK38" s="1205"/>
      <c r="AL38" s="1205"/>
      <c r="AM38" s="1205"/>
      <c r="AN38" s="1205"/>
      <c r="AO38" s="1205"/>
      <c r="AP38" s="1205"/>
      <c r="AQ38" s="524"/>
      <c r="AR38" s="525"/>
      <c r="AS38" s="525"/>
      <c r="AT38" s="1206">
        <v>0</v>
      </c>
      <c r="AU38" s="1207"/>
      <c r="AV38" s="1207"/>
      <c r="AW38" s="1207"/>
      <c r="AX38" s="1207"/>
      <c r="AY38" s="1207"/>
      <c r="AZ38" s="1207"/>
      <c r="BA38" s="1207"/>
      <c r="BB38" s="1207"/>
      <c r="BC38" s="1207"/>
      <c r="BD38" s="1207"/>
      <c r="BE38" s="1207"/>
      <c r="BF38" s="1207"/>
      <c r="BG38" s="526"/>
      <c r="BH38" s="527"/>
      <c r="BI38" s="527"/>
      <c r="BJ38" s="1206">
        <v>0</v>
      </c>
      <c r="BK38" s="1207"/>
      <c r="BL38" s="1207"/>
      <c r="BM38" s="1207"/>
      <c r="BN38" s="1207"/>
      <c r="BO38" s="1207"/>
      <c r="BP38" s="1207"/>
      <c r="BQ38" s="1207"/>
      <c r="BR38" s="1207"/>
      <c r="BS38" s="1207"/>
      <c r="BT38" s="1207"/>
      <c r="BU38" s="1207"/>
      <c r="BV38" s="1207"/>
      <c r="BW38" s="526"/>
      <c r="BX38" s="527"/>
      <c r="BY38" s="527"/>
      <c r="BZ38" s="1208">
        <f t="shared" si="1"/>
        <v>0</v>
      </c>
      <c r="CA38" s="1209"/>
      <c r="CB38" s="1209"/>
      <c r="CC38" s="1209"/>
      <c r="CD38" s="1209"/>
      <c r="CE38" s="1209"/>
      <c r="CF38" s="1209"/>
      <c r="CG38" s="1209"/>
      <c r="CH38" s="1209"/>
      <c r="CI38" s="1209"/>
      <c r="CJ38" s="1209"/>
      <c r="CK38" s="1209"/>
      <c r="CL38" s="1209"/>
      <c r="CM38" s="524"/>
      <c r="CN38" s="525"/>
      <c r="CO38" s="1210"/>
      <c r="CP38" s="1211"/>
      <c r="CQ38" s="1211"/>
      <c r="CR38" s="1211"/>
      <c r="CS38" s="1211"/>
      <c r="CT38" s="1211"/>
      <c r="CU38" s="1211"/>
      <c r="CV38" s="1211"/>
      <c r="CW38" s="1211"/>
      <c r="CX38" s="1211"/>
      <c r="CY38" s="1211"/>
      <c r="CZ38" s="1211"/>
      <c r="DA38" s="1211"/>
      <c r="DB38" s="1211"/>
      <c r="DC38" s="1211"/>
      <c r="DD38" s="1211"/>
      <c r="DE38" s="1211"/>
      <c r="DF38" s="1211"/>
      <c r="DG38" s="1211"/>
      <c r="DH38" s="1211"/>
      <c r="DJ38" s="512"/>
    </row>
    <row r="39" spans="3:114" ht="18.75" customHeight="1" x14ac:dyDescent="0.3">
      <c r="C39" s="512"/>
      <c r="D39" s="523">
        <v>10</v>
      </c>
      <c r="E39" s="1204"/>
      <c r="F39" s="1205"/>
      <c r="G39" s="1205"/>
      <c r="H39" s="1205"/>
      <c r="I39" s="1205"/>
      <c r="J39" s="1205"/>
      <c r="K39" s="1205"/>
      <c r="L39" s="1205"/>
      <c r="M39" s="1205"/>
      <c r="N39" s="1205"/>
      <c r="O39" s="1205"/>
      <c r="P39" s="1205"/>
      <c r="Q39" s="1205"/>
      <c r="R39" s="1205"/>
      <c r="S39" s="1205"/>
      <c r="T39" s="1205"/>
      <c r="U39" s="1205"/>
      <c r="V39" s="1205"/>
      <c r="W39" s="1205"/>
      <c r="X39" s="1205"/>
      <c r="Y39" s="1205"/>
      <c r="Z39" s="1205"/>
      <c r="AA39" s="1205"/>
      <c r="AB39" s="1205"/>
      <c r="AC39" s="1205"/>
      <c r="AD39" s="1205"/>
      <c r="AE39" s="1205"/>
      <c r="AF39" s="1205"/>
      <c r="AG39" s="1205"/>
      <c r="AH39" s="1205"/>
      <c r="AI39" s="1205"/>
      <c r="AJ39" s="1205"/>
      <c r="AK39" s="1205"/>
      <c r="AL39" s="1205"/>
      <c r="AM39" s="1205"/>
      <c r="AN39" s="1205"/>
      <c r="AO39" s="1205"/>
      <c r="AP39" s="1205"/>
      <c r="AQ39" s="524"/>
      <c r="AR39" s="525"/>
      <c r="AS39" s="525"/>
      <c r="AT39" s="1206">
        <v>0</v>
      </c>
      <c r="AU39" s="1207"/>
      <c r="AV39" s="1207"/>
      <c r="AW39" s="1207"/>
      <c r="AX39" s="1207"/>
      <c r="AY39" s="1207"/>
      <c r="AZ39" s="1207"/>
      <c r="BA39" s="1207"/>
      <c r="BB39" s="1207"/>
      <c r="BC39" s="1207"/>
      <c r="BD39" s="1207"/>
      <c r="BE39" s="1207"/>
      <c r="BF39" s="1207"/>
      <c r="BG39" s="526"/>
      <c r="BH39" s="527"/>
      <c r="BI39" s="527"/>
      <c r="BJ39" s="1206">
        <v>0</v>
      </c>
      <c r="BK39" s="1207"/>
      <c r="BL39" s="1207"/>
      <c r="BM39" s="1207"/>
      <c r="BN39" s="1207"/>
      <c r="BO39" s="1207"/>
      <c r="BP39" s="1207"/>
      <c r="BQ39" s="1207"/>
      <c r="BR39" s="1207"/>
      <c r="BS39" s="1207"/>
      <c r="BT39" s="1207"/>
      <c r="BU39" s="1207"/>
      <c r="BV39" s="1207"/>
      <c r="BW39" s="526"/>
      <c r="BX39" s="527"/>
      <c r="BY39" s="527"/>
      <c r="BZ39" s="1208">
        <f t="shared" si="1"/>
        <v>0</v>
      </c>
      <c r="CA39" s="1209"/>
      <c r="CB39" s="1209"/>
      <c r="CC39" s="1209"/>
      <c r="CD39" s="1209"/>
      <c r="CE39" s="1209"/>
      <c r="CF39" s="1209"/>
      <c r="CG39" s="1209"/>
      <c r="CH39" s="1209"/>
      <c r="CI39" s="1209"/>
      <c r="CJ39" s="1209"/>
      <c r="CK39" s="1209"/>
      <c r="CL39" s="1209"/>
      <c r="CM39" s="524"/>
      <c r="CN39" s="525"/>
      <c r="CO39" s="1210"/>
      <c r="CP39" s="1211"/>
      <c r="CQ39" s="1211"/>
      <c r="CR39" s="1211"/>
      <c r="CS39" s="1211"/>
      <c r="CT39" s="1211"/>
      <c r="CU39" s="1211"/>
      <c r="CV39" s="1211"/>
      <c r="CW39" s="1211"/>
      <c r="CX39" s="1211"/>
      <c r="CY39" s="1211"/>
      <c r="CZ39" s="1211"/>
      <c r="DA39" s="1211"/>
      <c r="DB39" s="1211"/>
      <c r="DC39" s="1211"/>
      <c r="DD39" s="1211"/>
      <c r="DE39" s="1211"/>
      <c r="DF39" s="1211"/>
      <c r="DG39" s="1211"/>
      <c r="DH39" s="1211"/>
      <c r="DI39" s="503"/>
      <c r="DJ39" s="512"/>
    </row>
    <row r="40" spans="3:114" ht="18.75" customHeight="1" x14ac:dyDescent="0.3">
      <c r="C40" s="512"/>
      <c r="D40" s="523">
        <v>11</v>
      </c>
      <c r="E40" s="1204"/>
      <c r="F40" s="1205"/>
      <c r="G40" s="1205"/>
      <c r="H40" s="1205"/>
      <c r="I40" s="1205"/>
      <c r="J40" s="1205"/>
      <c r="K40" s="1205"/>
      <c r="L40" s="1205"/>
      <c r="M40" s="1205"/>
      <c r="N40" s="1205"/>
      <c r="O40" s="1205"/>
      <c r="P40" s="1205"/>
      <c r="Q40" s="1205"/>
      <c r="R40" s="1205"/>
      <c r="S40" s="1205"/>
      <c r="T40" s="1205"/>
      <c r="U40" s="1205"/>
      <c r="V40" s="1205"/>
      <c r="W40" s="1205"/>
      <c r="X40" s="1205"/>
      <c r="Y40" s="1205"/>
      <c r="Z40" s="1205"/>
      <c r="AA40" s="1205"/>
      <c r="AB40" s="1205"/>
      <c r="AC40" s="1205"/>
      <c r="AD40" s="1205"/>
      <c r="AE40" s="1205"/>
      <c r="AF40" s="1205"/>
      <c r="AG40" s="1205"/>
      <c r="AH40" s="1205"/>
      <c r="AI40" s="1205"/>
      <c r="AJ40" s="1205"/>
      <c r="AK40" s="1205"/>
      <c r="AL40" s="1205"/>
      <c r="AM40" s="1205"/>
      <c r="AN40" s="1205"/>
      <c r="AO40" s="1205"/>
      <c r="AP40" s="1205"/>
      <c r="AQ40" s="524"/>
      <c r="AR40" s="525"/>
      <c r="AS40" s="525"/>
      <c r="AT40" s="1206">
        <v>0</v>
      </c>
      <c r="AU40" s="1207"/>
      <c r="AV40" s="1207"/>
      <c r="AW40" s="1207"/>
      <c r="AX40" s="1207"/>
      <c r="AY40" s="1207"/>
      <c r="AZ40" s="1207"/>
      <c r="BA40" s="1207"/>
      <c r="BB40" s="1207"/>
      <c r="BC40" s="1207"/>
      <c r="BD40" s="1207"/>
      <c r="BE40" s="1207"/>
      <c r="BF40" s="1207"/>
      <c r="BG40" s="526"/>
      <c r="BH40" s="527"/>
      <c r="BI40" s="527"/>
      <c r="BJ40" s="1206">
        <v>0</v>
      </c>
      <c r="BK40" s="1207"/>
      <c r="BL40" s="1207"/>
      <c r="BM40" s="1207"/>
      <c r="BN40" s="1207"/>
      <c r="BO40" s="1207"/>
      <c r="BP40" s="1207"/>
      <c r="BQ40" s="1207"/>
      <c r="BR40" s="1207"/>
      <c r="BS40" s="1207"/>
      <c r="BT40" s="1207"/>
      <c r="BU40" s="1207"/>
      <c r="BV40" s="1207"/>
      <c r="BW40" s="526"/>
      <c r="BX40" s="527"/>
      <c r="BY40" s="527"/>
      <c r="BZ40" s="1208">
        <f t="shared" si="1"/>
        <v>0</v>
      </c>
      <c r="CA40" s="1209"/>
      <c r="CB40" s="1209"/>
      <c r="CC40" s="1209"/>
      <c r="CD40" s="1209"/>
      <c r="CE40" s="1209"/>
      <c r="CF40" s="1209"/>
      <c r="CG40" s="1209"/>
      <c r="CH40" s="1209"/>
      <c r="CI40" s="1209"/>
      <c r="CJ40" s="1209"/>
      <c r="CK40" s="1209"/>
      <c r="CL40" s="1209"/>
      <c r="CM40" s="524"/>
      <c r="CN40" s="525"/>
      <c r="CO40" s="1210"/>
      <c r="CP40" s="1211"/>
      <c r="CQ40" s="1211"/>
      <c r="CR40" s="1211"/>
      <c r="CS40" s="1211"/>
      <c r="CT40" s="1211"/>
      <c r="CU40" s="1211"/>
      <c r="CV40" s="1211"/>
      <c r="CW40" s="1211"/>
      <c r="CX40" s="1211"/>
      <c r="CY40" s="1211"/>
      <c r="CZ40" s="1211"/>
      <c r="DA40" s="1211"/>
      <c r="DB40" s="1211"/>
      <c r="DC40" s="1211"/>
      <c r="DD40" s="1211"/>
      <c r="DE40" s="1211"/>
      <c r="DF40" s="1211"/>
      <c r="DG40" s="1211"/>
      <c r="DH40" s="1211"/>
      <c r="DJ40" s="512"/>
    </row>
    <row r="41" spans="3:114" ht="18.75" customHeight="1" x14ac:dyDescent="0.3">
      <c r="C41" s="512"/>
      <c r="D41" s="523">
        <v>12</v>
      </c>
      <c r="E41" s="1204"/>
      <c r="F41" s="1205"/>
      <c r="G41" s="1205"/>
      <c r="H41" s="1205"/>
      <c r="I41" s="1205"/>
      <c r="J41" s="1205"/>
      <c r="K41" s="1205"/>
      <c r="L41" s="1205"/>
      <c r="M41" s="1205"/>
      <c r="N41" s="1205"/>
      <c r="O41" s="1205"/>
      <c r="P41" s="1205"/>
      <c r="Q41" s="1205"/>
      <c r="R41" s="1205"/>
      <c r="S41" s="1205"/>
      <c r="T41" s="1205"/>
      <c r="U41" s="1205"/>
      <c r="V41" s="1205"/>
      <c r="W41" s="1205"/>
      <c r="X41" s="1205"/>
      <c r="Y41" s="1205"/>
      <c r="Z41" s="1205"/>
      <c r="AA41" s="1205"/>
      <c r="AB41" s="1205"/>
      <c r="AC41" s="1205"/>
      <c r="AD41" s="1205"/>
      <c r="AE41" s="1205"/>
      <c r="AF41" s="1205"/>
      <c r="AG41" s="1205"/>
      <c r="AH41" s="1205"/>
      <c r="AI41" s="1205"/>
      <c r="AJ41" s="1205"/>
      <c r="AK41" s="1205"/>
      <c r="AL41" s="1205"/>
      <c r="AM41" s="1205"/>
      <c r="AN41" s="1205"/>
      <c r="AO41" s="1205"/>
      <c r="AP41" s="1205"/>
      <c r="AQ41" s="524"/>
      <c r="AR41" s="525"/>
      <c r="AS41" s="525"/>
      <c r="AT41" s="1206">
        <v>0</v>
      </c>
      <c r="AU41" s="1207"/>
      <c r="AV41" s="1207"/>
      <c r="AW41" s="1207"/>
      <c r="AX41" s="1207"/>
      <c r="AY41" s="1207"/>
      <c r="AZ41" s="1207"/>
      <c r="BA41" s="1207"/>
      <c r="BB41" s="1207"/>
      <c r="BC41" s="1207"/>
      <c r="BD41" s="1207"/>
      <c r="BE41" s="1207"/>
      <c r="BF41" s="1207"/>
      <c r="BG41" s="526"/>
      <c r="BH41" s="527"/>
      <c r="BI41" s="527"/>
      <c r="BJ41" s="1206">
        <v>0</v>
      </c>
      <c r="BK41" s="1207"/>
      <c r="BL41" s="1207"/>
      <c r="BM41" s="1207"/>
      <c r="BN41" s="1207"/>
      <c r="BO41" s="1207"/>
      <c r="BP41" s="1207"/>
      <c r="BQ41" s="1207"/>
      <c r="BR41" s="1207"/>
      <c r="BS41" s="1207"/>
      <c r="BT41" s="1207"/>
      <c r="BU41" s="1207"/>
      <c r="BV41" s="1207"/>
      <c r="BW41" s="526"/>
      <c r="BX41" s="527"/>
      <c r="BY41" s="527"/>
      <c r="BZ41" s="1208">
        <f t="shared" si="1"/>
        <v>0</v>
      </c>
      <c r="CA41" s="1209"/>
      <c r="CB41" s="1209"/>
      <c r="CC41" s="1209"/>
      <c r="CD41" s="1209"/>
      <c r="CE41" s="1209"/>
      <c r="CF41" s="1209"/>
      <c r="CG41" s="1209"/>
      <c r="CH41" s="1209"/>
      <c r="CI41" s="1209"/>
      <c r="CJ41" s="1209"/>
      <c r="CK41" s="1209"/>
      <c r="CL41" s="1209"/>
      <c r="CM41" s="524"/>
      <c r="CN41" s="525"/>
      <c r="CO41" s="1210"/>
      <c r="CP41" s="1211"/>
      <c r="CQ41" s="1211"/>
      <c r="CR41" s="1211"/>
      <c r="CS41" s="1211"/>
      <c r="CT41" s="1211"/>
      <c r="CU41" s="1211"/>
      <c r="CV41" s="1211"/>
      <c r="CW41" s="1211"/>
      <c r="CX41" s="1211"/>
      <c r="CY41" s="1211"/>
      <c r="CZ41" s="1211"/>
      <c r="DA41" s="1211"/>
      <c r="DB41" s="1211"/>
      <c r="DC41" s="1211"/>
      <c r="DD41" s="1211"/>
      <c r="DE41" s="1211"/>
      <c r="DF41" s="1211"/>
      <c r="DG41" s="1211"/>
      <c r="DH41" s="1211"/>
      <c r="DI41" s="503"/>
      <c r="DJ41" s="512"/>
    </row>
    <row r="42" spans="3:114" ht="18.75" customHeight="1" x14ac:dyDescent="0.3">
      <c r="C42" s="512"/>
      <c r="D42" s="523">
        <v>13</v>
      </c>
      <c r="E42" s="1204"/>
      <c r="F42" s="1205"/>
      <c r="G42" s="1205"/>
      <c r="H42" s="1205"/>
      <c r="I42" s="1205"/>
      <c r="J42" s="1205"/>
      <c r="K42" s="1205"/>
      <c r="L42" s="1205"/>
      <c r="M42" s="1205"/>
      <c r="N42" s="1205"/>
      <c r="O42" s="1205"/>
      <c r="P42" s="1205"/>
      <c r="Q42" s="1205"/>
      <c r="R42" s="1205"/>
      <c r="S42" s="1205"/>
      <c r="T42" s="1205"/>
      <c r="U42" s="1205"/>
      <c r="V42" s="1205"/>
      <c r="W42" s="1205"/>
      <c r="X42" s="1205"/>
      <c r="Y42" s="1205"/>
      <c r="Z42" s="1205"/>
      <c r="AA42" s="1205"/>
      <c r="AB42" s="1205"/>
      <c r="AC42" s="1205"/>
      <c r="AD42" s="1205"/>
      <c r="AE42" s="1205"/>
      <c r="AF42" s="1205"/>
      <c r="AG42" s="1205"/>
      <c r="AH42" s="1205"/>
      <c r="AI42" s="1205"/>
      <c r="AJ42" s="1205"/>
      <c r="AK42" s="1205"/>
      <c r="AL42" s="1205"/>
      <c r="AM42" s="1205"/>
      <c r="AN42" s="1205"/>
      <c r="AO42" s="1205"/>
      <c r="AP42" s="1205"/>
      <c r="AQ42" s="524"/>
      <c r="AR42" s="525"/>
      <c r="AS42" s="525"/>
      <c r="AT42" s="1206">
        <v>0</v>
      </c>
      <c r="AU42" s="1207"/>
      <c r="AV42" s="1207"/>
      <c r="AW42" s="1207"/>
      <c r="AX42" s="1207"/>
      <c r="AY42" s="1207"/>
      <c r="AZ42" s="1207"/>
      <c r="BA42" s="1207"/>
      <c r="BB42" s="1207"/>
      <c r="BC42" s="1207"/>
      <c r="BD42" s="1207"/>
      <c r="BE42" s="1207"/>
      <c r="BF42" s="1207"/>
      <c r="BG42" s="526"/>
      <c r="BH42" s="527"/>
      <c r="BI42" s="527"/>
      <c r="BJ42" s="1206">
        <v>0</v>
      </c>
      <c r="BK42" s="1207"/>
      <c r="BL42" s="1207"/>
      <c r="BM42" s="1207"/>
      <c r="BN42" s="1207"/>
      <c r="BO42" s="1207"/>
      <c r="BP42" s="1207"/>
      <c r="BQ42" s="1207"/>
      <c r="BR42" s="1207"/>
      <c r="BS42" s="1207"/>
      <c r="BT42" s="1207"/>
      <c r="BU42" s="1207"/>
      <c r="BV42" s="1207"/>
      <c r="BW42" s="526"/>
      <c r="BX42" s="527"/>
      <c r="BY42" s="527"/>
      <c r="BZ42" s="1208">
        <f t="shared" si="1"/>
        <v>0</v>
      </c>
      <c r="CA42" s="1209"/>
      <c r="CB42" s="1209"/>
      <c r="CC42" s="1209"/>
      <c r="CD42" s="1209"/>
      <c r="CE42" s="1209"/>
      <c r="CF42" s="1209"/>
      <c r="CG42" s="1209"/>
      <c r="CH42" s="1209"/>
      <c r="CI42" s="1209"/>
      <c r="CJ42" s="1209"/>
      <c r="CK42" s="1209"/>
      <c r="CL42" s="1209"/>
      <c r="CM42" s="524"/>
      <c r="CN42" s="525"/>
      <c r="CO42" s="1210"/>
      <c r="CP42" s="1211"/>
      <c r="CQ42" s="1211"/>
      <c r="CR42" s="1211"/>
      <c r="CS42" s="1211"/>
      <c r="CT42" s="1211"/>
      <c r="CU42" s="1211"/>
      <c r="CV42" s="1211"/>
      <c r="CW42" s="1211"/>
      <c r="CX42" s="1211"/>
      <c r="CY42" s="1211"/>
      <c r="CZ42" s="1211"/>
      <c r="DA42" s="1211"/>
      <c r="DB42" s="1211"/>
      <c r="DC42" s="1211"/>
      <c r="DD42" s="1211"/>
      <c r="DE42" s="1211"/>
      <c r="DF42" s="1211"/>
      <c r="DG42" s="1211"/>
      <c r="DH42" s="1211"/>
      <c r="DJ42" s="512"/>
    </row>
    <row r="43" spans="3:114" ht="18.75" customHeight="1" x14ac:dyDescent="0.3">
      <c r="C43" s="512"/>
      <c r="D43" s="523">
        <v>14</v>
      </c>
      <c r="E43" s="1204"/>
      <c r="F43" s="1205"/>
      <c r="G43" s="1205"/>
      <c r="H43" s="1205"/>
      <c r="I43" s="1205"/>
      <c r="J43" s="1205"/>
      <c r="K43" s="1205"/>
      <c r="L43" s="1205"/>
      <c r="M43" s="1205"/>
      <c r="N43" s="1205"/>
      <c r="O43" s="1205"/>
      <c r="P43" s="1205"/>
      <c r="Q43" s="1205"/>
      <c r="R43" s="1205"/>
      <c r="S43" s="1205"/>
      <c r="T43" s="1205"/>
      <c r="U43" s="1205"/>
      <c r="V43" s="1205"/>
      <c r="W43" s="1205"/>
      <c r="X43" s="1205"/>
      <c r="Y43" s="1205"/>
      <c r="Z43" s="1205"/>
      <c r="AA43" s="1205"/>
      <c r="AB43" s="1205"/>
      <c r="AC43" s="1205"/>
      <c r="AD43" s="1205"/>
      <c r="AE43" s="1205"/>
      <c r="AF43" s="1205"/>
      <c r="AG43" s="1205"/>
      <c r="AH43" s="1205"/>
      <c r="AI43" s="1205"/>
      <c r="AJ43" s="1205"/>
      <c r="AK43" s="1205"/>
      <c r="AL43" s="1205"/>
      <c r="AM43" s="1205"/>
      <c r="AN43" s="1205"/>
      <c r="AO43" s="1205"/>
      <c r="AP43" s="1205"/>
      <c r="AQ43" s="524"/>
      <c r="AR43" s="525"/>
      <c r="AS43" s="525"/>
      <c r="AT43" s="1206">
        <v>0</v>
      </c>
      <c r="AU43" s="1207"/>
      <c r="AV43" s="1207"/>
      <c r="AW43" s="1207"/>
      <c r="AX43" s="1207"/>
      <c r="AY43" s="1207"/>
      <c r="AZ43" s="1207"/>
      <c r="BA43" s="1207"/>
      <c r="BB43" s="1207"/>
      <c r="BC43" s="1207"/>
      <c r="BD43" s="1207"/>
      <c r="BE43" s="1207"/>
      <c r="BF43" s="1207"/>
      <c r="BG43" s="526"/>
      <c r="BH43" s="527"/>
      <c r="BI43" s="527"/>
      <c r="BJ43" s="1206">
        <v>0</v>
      </c>
      <c r="BK43" s="1207"/>
      <c r="BL43" s="1207"/>
      <c r="BM43" s="1207"/>
      <c r="BN43" s="1207"/>
      <c r="BO43" s="1207"/>
      <c r="BP43" s="1207"/>
      <c r="BQ43" s="1207"/>
      <c r="BR43" s="1207"/>
      <c r="BS43" s="1207"/>
      <c r="BT43" s="1207"/>
      <c r="BU43" s="1207"/>
      <c r="BV43" s="1207"/>
      <c r="BW43" s="526"/>
      <c r="BX43" s="527"/>
      <c r="BY43" s="527"/>
      <c r="BZ43" s="1208">
        <f t="shared" si="1"/>
        <v>0</v>
      </c>
      <c r="CA43" s="1209"/>
      <c r="CB43" s="1209"/>
      <c r="CC43" s="1209"/>
      <c r="CD43" s="1209"/>
      <c r="CE43" s="1209"/>
      <c r="CF43" s="1209"/>
      <c r="CG43" s="1209"/>
      <c r="CH43" s="1209"/>
      <c r="CI43" s="1209"/>
      <c r="CJ43" s="1209"/>
      <c r="CK43" s="1209"/>
      <c r="CL43" s="1209"/>
      <c r="CM43" s="524"/>
      <c r="CN43" s="525"/>
      <c r="CO43" s="1210"/>
      <c r="CP43" s="1211"/>
      <c r="CQ43" s="1211"/>
      <c r="CR43" s="1211"/>
      <c r="CS43" s="1211"/>
      <c r="CT43" s="1211"/>
      <c r="CU43" s="1211"/>
      <c r="CV43" s="1211"/>
      <c r="CW43" s="1211"/>
      <c r="CX43" s="1211"/>
      <c r="CY43" s="1211"/>
      <c r="CZ43" s="1211"/>
      <c r="DA43" s="1211"/>
      <c r="DB43" s="1211"/>
      <c r="DC43" s="1211"/>
      <c r="DD43" s="1211"/>
      <c r="DE43" s="1211"/>
      <c r="DF43" s="1211"/>
      <c r="DG43" s="1211"/>
      <c r="DH43" s="1211"/>
      <c r="DI43" s="503"/>
      <c r="DJ43" s="512"/>
    </row>
    <row r="44" spans="3:114" ht="18.75" customHeight="1" x14ac:dyDescent="0.3">
      <c r="C44" s="512"/>
      <c r="D44" s="523">
        <v>15</v>
      </c>
      <c r="E44" s="1204"/>
      <c r="F44" s="1205"/>
      <c r="G44" s="1205"/>
      <c r="H44" s="1205"/>
      <c r="I44" s="1205"/>
      <c r="J44" s="1205"/>
      <c r="K44" s="1205"/>
      <c r="L44" s="1205"/>
      <c r="M44" s="1205"/>
      <c r="N44" s="1205"/>
      <c r="O44" s="1205"/>
      <c r="P44" s="1205"/>
      <c r="Q44" s="1205"/>
      <c r="R44" s="1205"/>
      <c r="S44" s="1205"/>
      <c r="T44" s="1205"/>
      <c r="U44" s="1205"/>
      <c r="V44" s="1205"/>
      <c r="W44" s="1205"/>
      <c r="X44" s="1205"/>
      <c r="Y44" s="1205"/>
      <c r="Z44" s="1205"/>
      <c r="AA44" s="1205"/>
      <c r="AB44" s="1205"/>
      <c r="AC44" s="1205"/>
      <c r="AD44" s="1205"/>
      <c r="AE44" s="1205"/>
      <c r="AF44" s="1205"/>
      <c r="AG44" s="1205"/>
      <c r="AH44" s="1205"/>
      <c r="AI44" s="1205"/>
      <c r="AJ44" s="1205"/>
      <c r="AK44" s="1205"/>
      <c r="AL44" s="1205"/>
      <c r="AM44" s="1205"/>
      <c r="AN44" s="1205"/>
      <c r="AO44" s="1205"/>
      <c r="AP44" s="1205"/>
      <c r="AQ44" s="524"/>
      <c r="AR44" s="525"/>
      <c r="AS44" s="525"/>
      <c r="AT44" s="1206">
        <v>0</v>
      </c>
      <c r="AU44" s="1207"/>
      <c r="AV44" s="1207"/>
      <c r="AW44" s="1207"/>
      <c r="AX44" s="1207"/>
      <c r="AY44" s="1207"/>
      <c r="AZ44" s="1207"/>
      <c r="BA44" s="1207"/>
      <c r="BB44" s="1207"/>
      <c r="BC44" s="1207"/>
      <c r="BD44" s="1207"/>
      <c r="BE44" s="1207"/>
      <c r="BF44" s="1207"/>
      <c r="BG44" s="526"/>
      <c r="BH44" s="527"/>
      <c r="BI44" s="527"/>
      <c r="BJ44" s="1206">
        <v>0</v>
      </c>
      <c r="BK44" s="1207"/>
      <c r="BL44" s="1207"/>
      <c r="BM44" s="1207"/>
      <c r="BN44" s="1207"/>
      <c r="BO44" s="1207"/>
      <c r="BP44" s="1207"/>
      <c r="BQ44" s="1207"/>
      <c r="BR44" s="1207"/>
      <c r="BS44" s="1207"/>
      <c r="BT44" s="1207"/>
      <c r="BU44" s="1207"/>
      <c r="BV44" s="1207"/>
      <c r="BW44" s="526"/>
      <c r="BX44" s="527"/>
      <c r="BY44" s="527"/>
      <c r="BZ44" s="1208">
        <f t="shared" si="1"/>
        <v>0</v>
      </c>
      <c r="CA44" s="1209"/>
      <c r="CB44" s="1209"/>
      <c r="CC44" s="1209"/>
      <c r="CD44" s="1209"/>
      <c r="CE44" s="1209"/>
      <c r="CF44" s="1209"/>
      <c r="CG44" s="1209"/>
      <c r="CH44" s="1209"/>
      <c r="CI44" s="1209"/>
      <c r="CJ44" s="1209"/>
      <c r="CK44" s="1209"/>
      <c r="CL44" s="1209"/>
      <c r="CM44" s="524"/>
      <c r="CN44" s="525"/>
      <c r="CO44" s="1210"/>
      <c r="CP44" s="1211"/>
      <c r="CQ44" s="1211"/>
      <c r="CR44" s="1211"/>
      <c r="CS44" s="1211"/>
      <c r="CT44" s="1211"/>
      <c r="CU44" s="1211"/>
      <c r="CV44" s="1211"/>
      <c r="CW44" s="1211"/>
      <c r="CX44" s="1211"/>
      <c r="CY44" s="1211"/>
      <c r="CZ44" s="1211"/>
      <c r="DA44" s="1211"/>
      <c r="DB44" s="1211"/>
      <c r="DC44" s="1211"/>
      <c r="DD44" s="1211"/>
      <c r="DE44" s="1211"/>
      <c r="DF44" s="1211"/>
      <c r="DG44" s="1211"/>
      <c r="DH44" s="1211"/>
      <c r="DJ44" s="512"/>
    </row>
    <row r="45" spans="3:114" ht="18.75" customHeight="1" x14ac:dyDescent="0.3">
      <c r="C45" s="512"/>
      <c r="D45" s="523">
        <v>16</v>
      </c>
      <c r="E45" s="1204"/>
      <c r="F45" s="1205"/>
      <c r="G45" s="1205"/>
      <c r="H45" s="1205"/>
      <c r="I45" s="1205"/>
      <c r="J45" s="1205"/>
      <c r="K45" s="1205"/>
      <c r="L45" s="1205"/>
      <c r="M45" s="1205"/>
      <c r="N45" s="1205"/>
      <c r="O45" s="1205"/>
      <c r="P45" s="1205"/>
      <c r="Q45" s="1205"/>
      <c r="R45" s="1205"/>
      <c r="S45" s="1205"/>
      <c r="T45" s="1205"/>
      <c r="U45" s="1205"/>
      <c r="V45" s="1205"/>
      <c r="W45" s="1205"/>
      <c r="X45" s="1205"/>
      <c r="Y45" s="1205"/>
      <c r="Z45" s="1205"/>
      <c r="AA45" s="1205"/>
      <c r="AB45" s="1205"/>
      <c r="AC45" s="1205"/>
      <c r="AD45" s="1205"/>
      <c r="AE45" s="1205"/>
      <c r="AF45" s="1205"/>
      <c r="AG45" s="1205"/>
      <c r="AH45" s="1205"/>
      <c r="AI45" s="1205"/>
      <c r="AJ45" s="1205"/>
      <c r="AK45" s="1205"/>
      <c r="AL45" s="1205"/>
      <c r="AM45" s="1205"/>
      <c r="AN45" s="1205"/>
      <c r="AO45" s="1205"/>
      <c r="AP45" s="1205"/>
      <c r="AQ45" s="524"/>
      <c r="AR45" s="525"/>
      <c r="AS45" s="525"/>
      <c r="AT45" s="1206">
        <v>0</v>
      </c>
      <c r="AU45" s="1207"/>
      <c r="AV45" s="1207"/>
      <c r="AW45" s="1207"/>
      <c r="AX45" s="1207"/>
      <c r="AY45" s="1207"/>
      <c r="AZ45" s="1207"/>
      <c r="BA45" s="1207"/>
      <c r="BB45" s="1207"/>
      <c r="BC45" s="1207"/>
      <c r="BD45" s="1207"/>
      <c r="BE45" s="1207"/>
      <c r="BF45" s="1207"/>
      <c r="BG45" s="526"/>
      <c r="BH45" s="527"/>
      <c r="BI45" s="527"/>
      <c r="BJ45" s="1206">
        <v>0</v>
      </c>
      <c r="BK45" s="1207"/>
      <c r="BL45" s="1207"/>
      <c r="BM45" s="1207"/>
      <c r="BN45" s="1207"/>
      <c r="BO45" s="1207"/>
      <c r="BP45" s="1207"/>
      <c r="BQ45" s="1207"/>
      <c r="BR45" s="1207"/>
      <c r="BS45" s="1207"/>
      <c r="BT45" s="1207"/>
      <c r="BU45" s="1207"/>
      <c r="BV45" s="1207"/>
      <c r="BW45" s="526"/>
      <c r="BX45" s="527"/>
      <c r="BY45" s="527"/>
      <c r="BZ45" s="1208">
        <f t="shared" si="1"/>
        <v>0</v>
      </c>
      <c r="CA45" s="1209"/>
      <c r="CB45" s="1209"/>
      <c r="CC45" s="1209"/>
      <c r="CD45" s="1209"/>
      <c r="CE45" s="1209"/>
      <c r="CF45" s="1209"/>
      <c r="CG45" s="1209"/>
      <c r="CH45" s="1209"/>
      <c r="CI45" s="1209"/>
      <c r="CJ45" s="1209"/>
      <c r="CK45" s="1209"/>
      <c r="CL45" s="1209"/>
      <c r="CM45" s="524"/>
      <c r="CN45" s="525"/>
      <c r="CO45" s="1210"/>
      <c r="CP45" s="1211"/>
      <c r="CQ45" s="1211"/>
      <c r="CR45" s="1211"/>
      <c r="CS45" s="1211"/>
      <c r="CT45" s="1211"/>
      <c r="CU45" s="1211"/>
      <c r="CV45" s="1211"/>
      <c r="CW45" s="1211"/>
      <c r="CX45" s="1211"/>
      <c r="CY45" s="1211"/>
      <c r="CZ45" s="1211"/>
      <c r="DA45" s="1211"/>
      <c r="DB45" s="1211"/>
      <c r="DC45" s="1211"/>
      <c r="DD45" s="1211"/>
      <c r="DE45" s="1211"/>
      <c r="DF45" s="1211"/>
      <c r="DG45" s="1211"/>
      <c r="DH45" s="1211"/>
      <c r="DI45" s="503"/>
      <c r="DJ45" s="512"/>
    </row>
    <row r="46" spans="3:114" ht="18.75" customHeight="1" x14ac:dyDescent="0.3">
      <c r="C46" s="512"/>
      <c r="D46" s="523">
        <v>17</v>
      </c>
      <c r="E46" s="1204"/>
      <c r="F46" s="1205"/>
      <c r="G46" s="1205"/>
      <c r="H46" s="1205"/>
      <c r="I46" s="1205"/>
      <c r="J46" s="1205"/>
      <c r="K46" s="1205"/>
      <c r="L46" s="1205"/>
      <c r="M46" s="1205"/>
      <c r="N46" s="1205"/>
      <c r="O46" s="1205"/>
      <c r="P46" s="1205"/>
      <c r="Q46" s="1205"/>
      <c r="R46" s="1205"/>
      <c r="S46" s="1205"/>
      <c r="T46" s="1205"/>
      <c r="U46" s="1205"/>
      <c r="V46" s="1205"/>
      <c r="W46" s="1205"/>
      <c r="X46" s="1205"/>
      <c r="Y46" s="1205"/>
      <c r="Z46" s="1205"/>
      <c r="AA46" s="1205"/>
      <c r="AB46" s="1205"/>
      <c r="AC46" s="1205"/>
      <c r="AD46" s="1205"/>
      <c r="AE46" s="1205"/>
      <c r="AF46" s="1205"/>
      <c r="AG46" s="1205"/>
      <c r="AH46" s="1205"/>
      <c r="AI46" s="1205"/>
      <c r="AJ46" s="1205"/>
      <c r="AK46" s="1205"/>
      <c r="AL46" s="1205"/>
      <c r="AM46" s="1205"/>
      <c r="AN46" s="1205"/>
      <c r="AO46" s="1205"/>
      <c r="AP46" s="1205"/>
      <c r="AQ46" s="524"/>
      <c r="AR46" s="525"/>
      <c r="AS46" s="525"/>
      <c r="AT46" s="1206">
        <v>0</v>
      </c>
      <c r="AU46" s="1207"/>
      <c r="AV46" s="1207"/>
      <c r="AW46" s="1207"/>
      <c r="AX46" s="1207"/>
      <c r="AY46" s="1207"/>
      <c r="AZ46" s="1207"/>
      <c r="BA46" s="1207"/>
      <c r="BB46" s="1207"/>
      <c r="BC46" s="1207"/>
      <c r="BD46" s="1207"/>
      <c r="BE46" s="1207"/>
      <c r="BF46" s="1207"/>
      <c r="BG46" s="526"/>
      <c r="BH46" s="527"/>
      <c r="BI46" s="527"/>
      <c r="BJ46" s="1206">
        <v>0</v>
      </c>
      <c r="BK46" s="1207"/>
      <c r="BL46" s="1207"/>
      <c r="BM46" s="1207"/>
      <c r="BN46" s="1207"/>
      <c r="BO46" s="1207"/>
      <c r="BP46" s="1207"/>
      <c r="BQ46" s="1207"/>
      <c r="BR46" s="1207"/>
      <c r="BS46" s="1207"/>
      <c r="BT46" s="1207"/>
      <c r="BU46" s="1207"/>
      <c r="BV46" s="1207"/>
      <c r="BW46" s="526"/>
      <c r="BX46" s="527"/>
      <c r="BY46" s="527"/>
      <c r="BZ46" s="1208">
        <f t="shared" si="1"/>
        <v>0</v>
      </c>
      <c r="CA46" s="1209"/>
      <c r="CB46" s="1209"/>
      <c r="CC46" s="1209"/>
      <c r="CD46" s="1209"/>
      <c r="CE46" s="1209"/>
      <c r="CF46" s="1209"/>
      <c r="CG46" s="1209"/>
      <c r="CH46" s="1209"/>
      <c r="CI46" s="1209"/>
      <c r="CJ46" s="1209"/>
      <c r="CK46" s="1209"/>
      <c r="CL46" s="1209"/>
      <c r="CM46" s="524"/>
      <c r="CN46" s="525"/>
      <c r="CO46" s="1210"/>
      <c r="CP46" s="1211"/>
      <c r="CQ46" s="1211"/>
      <c r="CR46" s="1211"/>
      <c r="CS46" s="1211"/>
      <c r="CT46" s="1211"/>
      <c r="CU46" s="1211"/>
      <c r="CV46" s="1211"/>
      <c r="CW46" s="1211"/>
      <c r="CX46" s="1211"/>
      <c r="CY46" s="1211"/>
      <c r="CZ46" s="1211"/>
      <c r="DA46" s="1211"/>
      <c r="DB46" s="1211"/>
      <c r="DC46" s="1211"/>
      <c r="DD46" s="1211"/>
      <c r="DE46" s="1211"/>
      <c r="DF46" s="1211"/>
      <c r="DG46" s="1211"/>
      <c r="DH46" s="1211"/>
      <c r="DJ46" s="512"/>
    </row>
    <row r="47" spans="3:114" ht="18.75" customHeight="1" x14ac:dyDescent="0.3">
      <c r="C47" s="512"/>
      <c r="D47" s="523">
        <v>18</v>
      </c>
      <c r="E47" s="1204"/>
      <c r="F47" s="1205"/>
      <c r="G47" s="1205"/>
      <c r="H47" s="1205"/>
      <c r="I47" s="1205"/>
      <c r="J47" s="1205"/>
      <c r="K47" s="1205"/>
      <c r="L47" s="1205"/>
      <c r="M47" s="1205"/>
      <c r="N47" s="1205"/>
      <c r="O47" s="1205"/>
      <c r="P47" s="1205"/>
      <c r="Q47" s="1205"/>
      <c r="R47" s="1205"/>
      <c r="S47" s="1205"/>
      <c r="T47" s="1205"/>
      <c r="U47" s="1205"/>
      <c r="V47" s="1205"/>
      <c r="W47" s="1205"/>
      <c r="X47" s="1205"/>
      <c r="Y47" s="1205"/>
      <c r="Z47" s="1205"/>
      <c r="AA47" s="1205"/>
      <c r="AB47" s="1205"/>
      <c r="AC47" s="1205"/>
      <c r="AD47" s="1205"/>
      <c r="AE47" s="1205"/>
      <c r="AF47" s="1205"/>
      <c r="AG47" s="1205"/>
      <c r="AH47" s="1205"/>
      <c r="AI47" s="1205"/>
      <c r="AJ47" s="1205"/>
      <c r="AK47" s="1205"/>
      <c r="AL47" s="1205"/>
      <c r="AM47" s="1205"/>
      <c r="AN47" s="1205"/>
      <c r="AO47" s="1205"/>
      <c r="AP47" s="1205"/>
      <c r="AQ47" s="524"/>
      <c r="AR47" s="525"/>
      <c r="AS47" s="525"/>
      <c r="AT47" s="1206">
        <v>0</v>
      </c>
      <c r="AU47" s="1207"/>
      <c r="AV47" s="1207"/>
      <c r="AW47" s="1207"/>
      <c r="AX47" s="1207"/>
      <c r="AY47" s="1207"/>
      <c r="AZ47" s="1207"/>
      <c r="BA47" s="1207"/>
      <c r="BB47" s="1207"/>
      <c r="BC47" s="1207"/>
      <c r="BD47" s="1207"/>
      <c r="BE47" s="1207"/>
      <c r="BF47" s="1207"/>
      <c r="BG47" s="526"/>
      <c r="BH47" s="527"/>
      <c r="BI47" s="527"/>
      <c r="BJ47" s="1206">
        <v>0</v>
      </c>
      <c r="BK47" s="1207"/>
      <c r="BL47" s="1207"/>
      <c r="BM47" s="1207"/>
      <c r="BN47" s="1207"/>
      <c r="BO47" s="1207"/>
      <c r="BP47" s="1207"/>
      <c r="BQ47" s="1207"/>
      <c r="BR47" s="1207"/>
      <c r="BS47" s="1207"/>
      <c r="BT47" s="1207"/>
      <c r="BU47" s="1207"/>
      <c r="BV47" s="1207"/>
      <c r="BW47" s="526"/>
      <c r="BX47" s="527"/>
      <c r="BY47" s="527"/>
      <c r="BZ47" s="1208">
        <f t="shared" si="1"/>
        <v>0</v>
      </c>
      <c r="CA47" s="1209"/>
      <c r="CB47" s="1209"/>
      <c r="CC47" s="1209"/>
      <c r="CD47" s="1209"/>
      <c r="CE47" s="1209"/>
      <c r="CF47" s="1209"/>
      <c r="CG47" s="1209"/>
      <c r="CH47" s="1209"/>
      <c r="CI47" s="1209"/>
      <c r="CJ47" s="1209"/>
      <c r="CK47" s="1209"/>
      <c r="CL47" s="1209"/>
      <c r="CM47" s="524"/>
      <c r="CN47" s="525"/>
      <c r="CO47" s="1210"/>
      <c r="CP47" s="1211"/>
      <c r="CQ47" s="1211"/>
      <c r="CR47" s="1211"/>
      <c r="CS47" s="1211"/>
      <c r="CT47" s="1211"/>
      <c r="CU47" s="1211"/>
      <c r="CV47" s="1211"/>
      <c r="CW47" s="1211"/>
      <c r="CX47" s="1211"/>
      <c r="CY47" s="1211"/>
      <c r="CZ47" s="1211"/>
      <c r="DA47" s="1211"/>
      <c r="DB47" s="1211"/>
      <c r="DC47" s="1211"/>
      <c r="DD47" s="1211"/>
      <c r="DE47" s="1211"/>
      <c r="DF47" s="1211"/>
      <c r="DG47" s="1211"/>
      <c r="DH47" s="1211"/>
      <c r="DI47" s="503"/>
      <c r="DJ47" s="512"/>
    </row>
    <row r="48" spans="3:114" ht="18.75" customHeight="1" x14ac:dyDescent="0.3">
      <c r="C48" s="512"/>
      <c r="D48" s="523">
        <v>19</v>
      </c>
      <c r="E48" s="1204"/>
      <c r="F48" s="1205"/>
      <c r="G48" s="1205"/>
      <c r="H48" s="1205"/>
      <c r="I48" s="1205"/>
      <c r="J48" s="1205"/>
      <c r="K48" s="1205"/>
      <c r="L48" s="1205"/>
      <c r="M48" s="1205"/>
      <c r="N48" s="1205"/>
      <c r="O48" s="1205"/>
      <c r="P48" s="1205"/>
      <c r="Q48" s="1205"/>
      <c r="R48" s="1205"/>
      <c r="S48" s="1205"/>
      <c r="T48" s="1205"/>
      <c r="U48" s="1205"/>
      <c r="V48" s="1205"/>
      <c r="W48" s="1205"/>
      <c r="X48" s="1205"/>
      <c r="Y48" s="1205"/>
      <c r="Z48" s="1205"/>
      <c r="AA48" s="1205"/>
      <c r="AB48" s="1205"/>
      <c r="AC48" s="1205"/>
      <c r="AD48" s="1205"/>
      <c r="AE48" s="1205"/>
      <c r="AF48" s="1205"/>
      <c r="AG48" s="1205"/>
      <c r="AH48" s="1205"/>
      <c r="AI48" s="1205"/>
      <c r="AJ48" s="1205"/>
      <c r="AK48" s="1205"/>
      <c r="AL48" s="1205"/>
      <c r="AM48" s="1205"/>
      <c r="AN48" s="1205"/>
      <c r="AO48" s="1205"/>
      <c r="AP48" s="1205"/>
      <c r="AQ48" s="524"/>
      <c r="AR48" s="525"/>
      <c r="AS48" s="525"/>
      <c r="AT48" s="1206">
        <v>0</v>
      </c>
      <c r="AU48" s="1207"/>
      <c r="AV48" s="1207"/>
      <c r="AW48" s="1207"/>
      <c r="AX48" s="1207"/>
      <c r="AY48" s="1207"/>
      <c r="AZ48" s="1207"/>
      <c r="BA48" s="1207"/>
      <c r="BB48" s="1207"/>
      <c r="BC48" s="1207"/>
      <c r="BD48" s="1207"/>
      <c r="BE48" s="1207"/>
      <c r="BF48" s="1207"/>
      <c r="BG48" s="526"/>
      <c r="BH48" s="527"/>
      <c r="BI48" s="527"/>
      <c r="BJ48" s="1206">
        <v>0</v>
      </c>
      <c r="BK48" s="1207"/>
      <c r="BL48" s="1207"/>
      <c r="BM48" s="1207"/>
      <c r="BN48" s="1207"/>
      <c r="BO48" s="1207"/>
      <c r="BP48" s="1207"/>
      <c r="BQ48" s="1207"/>
      <c r="BR48" s="1207"/>
      <c r="BS48" s="1207"/>
      <c r="BT48" s="1207"/>
      <c r="BU48" s="1207"/>
      <c r="BV48" s="1207"/>
      <c r="BW48" s="526"/>
      <c r="BX48" s="527"/>
      <c r="BY48" s="527"/>
      <c r="BZ48" s="1208">
        <f t="shared" si="1"/>
        <v>0</v>
      </c>
      <c r="CA48" s="1209"/>
      <c r="CB48" s="1209"/>
      <c r="CC48" s="1209"/>
      <c r="CD48" s="1209"/>
      <c r="CE48" s="1209"/>
      <c r="CF48" s="1209"/>
      <c r="CG48" s="1209"/>
      <c r="CH48" s="1209"/>
      <c r="CI48" s="1209"/>
      <c r="CJ48" s="1209"/>
      <c r="CK48" s="1209"/>
      <c r="CL48" s="1209"/>
      <c r="CM48" s="524"/>
      <c r="CN48" s="525"/>
      <c r="CO48" s="1210"/>
      <c r="CP48" s="1211"/>
      <c r="CQ48" s="1211"/>
      <c r="CR48" s="1211"/>
      <c r="CS48" s="1211"/>
      <c r="CT48" s="1211"/>
      <c r="CU48" s="1211"/>
      <c r="CV48" s="1211"/>
      <c r="CW48" s="1211"/>
      <c r="CX48" s="1211"/>
      <c r="CY48" s="1211"/>
      <c r="CZ48" s="1211"/>
      <c r="DA48" s="1211"/>
      <c r="DB48" s="1211"/>
      <c r="DC48" s="1211"/>
      <c r="DD48" s="1211"/>
      <c r="DE48" s="1211"/>
      <c r="DF48" s="1211"/>
      <c r="DG48" s="1211"/>
      <c r="DH48" s="1211"/>
      <c r="DJ48" s="512"/>
    </row>
    <row r="49" spans="3:114" ht="18.75" customHeight="1" x14ac:dyDescent="0.3">
      <c r="C49" s="512"/>
      <c r="D49" s="523">
        <v>20</v>
      </c>
      <c r="E49" s="1204"/>
      <c r="F49" s="1205"/>
      <c r="G49" s="1205"/>
      <c r="H49" s="1205"/>
      <c r="I49" s="1205"/>
      <c r="J49" s="1205"/>
      <c r="K49" s="1205"/>
      <c r="L49" s="1205"/>
      <c r="M49" s="1205"/>
      <c r="N49" s="1205"/>
      <c r="O49" s="1205"/>
      <c r="P49" s="1205"/>
      <c r="Q49" s="1205"/>
      <c r="R49" s="1205"/>
      <c r="S49" s="1205"/>
      <c r="T49" s="1205"/>
      <c r="U49" s="1205"/>
      <c r="V49" s="1205"/>
      <c r="W49" s="1205"/>
      <c r="X49" s="1205"/>
      <c r="Y49" s="1205"/>
      <c r="Z49" s="1205"/>
      <c r="AA49" s="1205"/>
      <c r="AB49" s="1205"/>
      <c r="AC49" s="1205"/>
      <c r="AD49" s="1205"/>
      <c r="AE49" s="1205"/>
      <c r="AF49" s="1205"/>
      <c r="AG49" s="1205"/>
      <c r="AH49" s="1205"/>
      <c r="AI49" s="1205"/>
      <c r="AJ49" s="1205"/>
      <c r="AK49" s="1205"/>
      <c r="AL49" s="1205"/>
      <c r="AM49" s="1205"/>
      <c r="AN49" s="1205"/>
      <c r="AO49" s="1205"/>
      <c r="AP49" s="1205"/>
      <c r="AQ49" s="524"/>
      <c r="AR49" s="525"/>
      <c r="AS49" s="525"/>
      <c r="AT49" s="1206">
        <v>0</v>
      </c>
      <c r="AU49" s="1207"/>
      <c r="AV49" s="1207"/>
      <c r="AW49" s="1207"/>
      <c r="AX49" s="1207"/>
      <c r="AY49" s="1207"/>
      <c r="AZ49" s="1207"/>
      <c r="BA49" s="1207"/>
      <c r="BB49" s="1207"/>
      <c r="BC49" s="1207"/>
      <c r="BD49" s="1207"/>
      <c r="BE49" s="1207"/>
      <c r="BF49" s="1207"/>
      <c r="BG49" s="526"/>
      <c r="BH49" s="527"/>
      <c r="BI49" s="527"/>
      <c r="BJ49" s="1206">
        <v>0</v>
      </c>
      <c r="BK49" s="1207"/>
      <c r="BL49" s="1207"/>
      <c r="BM49" s="1207"/>
      <c r="BN49" s="1207"/>
      <c r="BO49" s="1207"/>
      <c r="BP49" s="1207"/>
      <c r="BQ49" s="1207"/>
      <c r="BR49" s="1207"/>
      <c r="BS49" s="1207"/>
      <c r="BT49" s="1207"/>
      <c r="BU49" s="1207"/>
      <c r="BV49" s="1207"/>
      <c r="BW49" s="526"/>
      <c r="BX49" s="527"/>
      <c r="BY49" s="527"/>
      <c r="BZ49" s="1208">
        <f t="shared" si="1"/>
        <v>0</v>
      </c>
      <c r="CA49" s="1209"/>
      <c r="CB49" s="1209"/>
      <c r="CC49" s="1209"/>
      <c r="CD49" s="1209"/>
      <c r="CE49" s="1209"/>
      <c r="CF49" s="1209"/>
      <c r="CG49" s="1209"/>
      <c r="CH49" s="1209"/>
      <c r="CI49" s="1209"/>
      <c r="CJ49" s="1209"/>
      <c r="CK49" s="1209"/>
      <c r="CL49" s="1209"/>
      <c r="CM49" s="524"/>
      <c r="CN49" s="525"/>
      <c r="CO49" s="1210"/>
      <c r="CP49" s="1211"/>
      <c r="CQ49" s="1211"/>
      <c r="CR49" s="1211"/>
      <c r="CS49" s="1211"/>
      <c r="CT49" s="1211"/>
      <c r="CU49" s="1211"/>
      <c r="CV49" s="1211"/>
      <c r="CW49" s="1211"/>
      <c r="CX49" s="1211"/>
      <c r="CY49" s="1211"/>
      <c r="CZ49" s="1211"/>
      <c r="DA49" s="1211"/>
      <c r="DB49" s="1211"/>
      <c r="DC49" s="1211"/>
      <c r="DD49" s="1211"/>
      <c r="DE49" s="1211"/>
      <c r="DF49" s="1211"/>
      <c r="DG49" s="1211"/>
      <c r="DH49" s="1211"/>
      <c r="DI49" s="503"/>
      <c r="DJ49" s="512"/>
    </row>
    <row r="50" spans="3:114" ht="18.75" customHeight="1" x14ac:dyDescent="0.3">
      <c r="C50" s="512"/>
      <c r="D50" s="523">
        <v>21</v>
      </c>
      <c r="E50" s="1204"/>
      <c r="F50" s="1205"/>
      <c r="G50" s="1205"/>
      <c r="H50" s="1205"/>
      <c r="I50" s="1205"/>
      <c r="J50" s="1205"/>
      <c r="K50" s="1205"/>
      <c r="L50" s="1205"/>
      <c r="M50" s="1205"/>
      <c r="N50" s="1205"/>
      <c r="O50" s="1205"/>
      <c r="P50" s="1205"/>
      <c r="Q50" s="1205"/>
      <c r="R50" s="1205"/>
      <c r="S50" s="1205"/>
      <c r="T50" s="1205"/>
      <c r="U50" s="1205"/>
      <c r="V50" s="1205"/>
      <c r="W50" s="1205"/>
      <c r="X50" s="1205"/>
      <c r="Y50" s="1205"/>
      <c r="Z50" s="1205"/>
      <c r="AA50" s="1205"/>
      <c r="AB50" s="1205"/>
      <c r="AC50" s="1205"/>
      <c r="AD50" s="1205"/>
      <c r="AE50" s="1205"/>
      <c r="AF50" s="1205"/>
      <c r="AG50" s="1205"/>
      <c r="AH50" s="1205"/>
      <c r="AI50" s="1205"/>
      <c r="AJ50" s="1205"/>
      <c r="AK50" s="1205"/>
      <c r="AL50" s="1205"/>
      <c r="AM50" s="1205"/>
      <c r="AN50" s="1205"/>
      <c r="AO50" s="1205"/>
      <c r="AP50" s="1205"/>
      <c r="AQ50" s="524"/>
      <c r="AR50" s="525"/>
      <c r="AS50" s="525"/>
      <c r="AT50" s="1206">
        <v>0</v>
      </c>
      <c r="AU50" s="1207"/>
      <c r="AV50" s="1207"/>
      <c r="AW50" s="1207"/>
      <c r="AX50" s="1207"/>
      <c r="AY50" s="1207"/>
      <c r="AZ50" s="1207"/>
      <c r="BA50" s="1207"/>
      <c r="BB50" s="1207"/>
      <c r="BC50" s="1207"/>
      <c r="BD50" s="1207"/>
      <c r="BE50" s="1207"/>
      <c r="BF50" s="1207"/>
      <c r="BG50" s="526"/>
      <c r="BH50" s="527"/>
      <c r="BI50" s="527"/>
      <c r="BJ50" s="1206">
        <v>0</v>
      </c>
      <c r="BK50" s="1207"/>
      <c r="BL50" s="1207"/>
      <c r="BM50" s="1207"/>
      <c r="BN50" s="1207"/>
      <c r="BO50" s="1207"/>
      <c r="BP50" s="1207"/>
      <c r="BQ50" s="1207"/>
      <c r="BR50" s="1207"/>
      <c r="BS50" s="1207"/>
      <c r="BT50" s="1207"/>
      <c r="BU50" s="1207"/>
      <c r="BV50" s="1207"/>
      <c r="BW50" s="526"/>
      <c r="BX50" s="527"/>
      <c r="BY50" s="527"/>
      <c r="BZ50" s="1208">
        <f t="shared" ref="BZ50:BZ58" si="2">AT50-BJ50</f>
        <v>0</v>
      </c>
      <c r="CA50" s="1209"/>
      <c r="CB50" s="1209"/>
      <c r="CC50" s="1209"/>
      <c r="CD50" s="1209"/>
      <c r="CE50" s="1209"/>
      <c r="CF50" s="1209"/>
      <c r="CG50" s="1209"/>
      <c r="CH50" s="1209"/>
      <c r="CI50" s="1209"/>
      <c r="CJ50" s="1209"/>
      <c r="CK50" s="1209"/>
      <c r="CL50" s="1209"/>
      <c r="CM50" s="524"/>
      <c r="CN50" s="525"/>
      <c r="CO50" s="1210"/>
      <c r="CP50" s="1211"/>
      <c r="CQ50" s="1211"/>
      <c r="CR50" s="1211"/>
      <c r="CS50" s="1211"/>
      <c r="CT50" s="1211"/>
      <c r="CU50" s="1211"/>
      <c r="CV50" s="1211"/>
      <c r="CW50" s="1211"/>
      <c r="CX50" s="1211"/>
      <c r="CY50" s="1211"/>
      <c r="CZ50" s="1211"/>
      <c r="DA50" s="1211"/>
      <c r="DB50" s="1211"/>
      <c r="DC50" s="1211"/>
      <c r="DD50" s="1211"/>
      <c r="DE50" s="1211"/>
      <c r="DF50" s="1211"/>
      <c r="DG50" s="1211"/>
      <c r="DH50" s="1211"/>
      <c r="DJ50" s="512"/>
    </row>
    <row r="51" spans="3:114" ht="18.75" customHeight="1" x14ac:dyDescent="0.3">
      <c r="C51" s="512"/>
      <c r="D51" s="523">
        <v>22</v>
      </c>
      <c r="E51" s="1204"/>
      <c r="F51" s="1205"/>
      <c r="G51" s="1205"/>
      <c r="H51" s="1205"/>
      <c r="I51" s="1205"/>
      <c r="J51" s="1205"/>
      <c r="K51" s="1205"/>
      <c r="L51" s="1205"/>
      <c r="M51" s="1205"/>
      <c r="N51" s="1205"/>
      <c r="O51" s="1205"/>
      <c r="P51" s="1205"/>
      <c r="Q51" s="1205"/>
      <c r="R51" s="1205"/>
      <c r="S51" s="1205"/>
      <c r="T51" s="1205"/>
      <c r="U51" s="1205"/>
      <c r="V51" s="1205"/>
      <c r="W51" s="1205"/>
      <c r="X51" s="1205"/>
      <c r="Y51" s="1205"/>
      <c r="Z51" s="1205"/>
      <c r="AA51" s="1205"/>
      <c r="AB51" s="1205"/>
      <c r="AC51" s="1205"/>
      <c r="AD51" s="1205"/>
      <c r="AE51" s="1205"/>
      <c r="AF51" s="1205"/>
      <c r="AG51" s="1205"/>
      <c r="AH51" s="1205"/>
      <c r="AI51" s="1205"/>
      <c r="AJ51" s="1205"/>
      <c r="AK51" s="1205"/>
      <c r="AL51" s="1205"/>
      <c r="AM51" s="1205"/>
      <c r="AN51" s="1205"/>
      <c r="AO51" s="1205"/>
      <c r="AP51" s="1205"/>
      <c r="AQ51" s="524"/>
      <c r="AR51" s="525"/>
      <c r="AS51" s="525"/>
      <c r="AT51" s="1206">
        <v>0</v>
      </c>
      <c r="AU51" s="1207"/>
      <c r="AV51" s="1207"/>
      <c r="AW51" s="1207"/>
      <c r="AX51" s="1207"/>
      <c r="AY51" s="1207"/>
      <c r="AZ51" s="1207"/>
      <c r="BA51" s="1207"/>
      <c r="BB51" s="1207"/>
      <c r="BC51" s="1207"/>
      <c r="BD51" s="1207"/>
      <c r="BE51" s="1207"/>
      <c r="BF51" s="1207"/>
      <c r="BG51" s="526"/>
      <c r="BH51" s="527"/>
      <c r="BI51" s="527"/>
      <c r="BJ51" s="1206">
        <v>0</v>
      </c>
      <c r="BK51" s="1207"/>
      <c r="BL51" s="1207"/>
      <c r="BM51" s="1207"/>
      <c r="BN51" s="1207"/>
      <c r="BO51" s="1207"/>
      <c r="BP51" s="1207"/>
      <c r="BQ51" s="1207"/>
      <c r="BR51" s="1207"/>
      <c r="BS51" s="1207"/>
      <c r="BT51" s="1207"/>
      <c r="BU51" s="1207"/>
      <c r="BV51" s="1207"/>
      <c r="BW51" s="526"/>
      <c r="BX51" s="527"/>
      <c r="BY51" s="527"/>
      <c r="BZ51" s="1208">
        <f t="shared" si="2"/>
        <v>0</v>
      </c>
      <c r="CA51" s="1209"/>
      <c r="CB51" s="1209"/>
      <c r="CC51" s="1209"/>
      <c r="CD51" s="1209"/>
      <c r="CE51" s="1209"/>
      <c r="CF51" s="1209"/>
      <c r="CG51" s="1209"/>
      <c r="CH51" s="1209"/>
      <c r="CI51" s="1209"/>
      <c r="CJ51" s="1209"/>
      <c r="CK51" s="1209"/>
      <c r="CL51" s="1209"/>
      <c r="CM51" s="524"/>
      <c r="CN51" s="525"/>
      <c r="CO51" s="1210"/>
      <c r="CP51" s="1211"/>
      <c r="CQ51" s="1211"/>
      <c r="CR51" s="1211"/>
      <c r="CS51" s="1211"/>
      <c r="CT51" s="1211"/>
      <c r="CU51" s="1211"/>
      <c r="CV51" s="1211"/>
      <c r="CW51" s="1211"/>
      <c r="CX51" s="1211"/>
      <c r="CY51" s="1211"/>
      <c r="CZ51" s="1211"/>
      <c r="DA51" s="1211"/>
      <c r="DB51" s="1211"/>
      <c r="DC51" s="1211"/>
      <c r="DD51" s="1211"/>
      <c r="DE51" s="1211"/>
      <c r="DF51" s="1211"/>
      <c r="DG51" s="1211"/>
      <c r="DH51" s="1211"/>
      <c r="DI51" s="503"/>
      <c r="DJ51" s="512"/>
    </row>
    <row r="52" spans="3:114" ht="18.75" customHeight="1" x14ac:dyDescent="0.3">
      <c r="C52" s="512"/>
      <c r="D52" s="523">
        <v>23</v>
      </c>
      <c r="E52" s="1204"/>
      <c r="F52" s="1205"/>
      <c r="G52" s="1205"/>
      <c r="H52" s="1205"/>
      <c r="I52" s="1205"/>
      <c r="J52" s="1205"/>
      <c r="K52" s="1205"/>
      <c r="L52" s="1205"/>
      <c r="M52" s="1205"/>
      <c r="N52" s="1205"/>
      <c r="O52" s="1205"/>
      <c r="P52" s="1205"/>
      <c r="Q52" s="1205"/>
      <c r="R52" s="1205"/>
      <c r="S52" s="1205"/>
      <c r="T52" s="1205"/>
      <c r="U52" s="1205"/>
      <c r="V52" s="1205"/>
      <c r="W52" s="1205"/>
      <c r="X52" s="1205"/>
      <c r="Y52" s="1205"/>
      <c r="Z52" s="1205"/>
      <c r="AA52" s="1205"/>
      <c r="AB52" s="1205"/>
      <c r="AC52" s="1205"/>
      <c r="AD52" s="1205"/>
      <c r="AE52" s="1205"/>
      <c r="AF52" s="1205"/>
      <c r="AG52" s="1205"/>
      <c r="AH52" s="1205"/>
      <c r="AI52" s="1205"/>
      <c r="AJ52" s="1205"/>
      <c r="AK52" s="1205"/>
      <c r="AL52" s="1205"/>
      <c r="AM52" s="1205"/>
      <c r="AN52" s="1205"/>
      <c r="AO52" s="1205"/>
      <c r="AP52" s="1205"/>
      <c r="AQ52" s="524"/>
      <c r="AR52" s="525"/>
      <c r="AS52" s="525"/>
      <c r="AT52" s="1206">
        <v>0</v>
      </c>
      <c r="AU52" s="1207"/>
      <c r="AV52" s="1207"/>
      <c r="AW52" s="1207"/>
      <c r="AX52" s="1207"/>
      <c r="AY52" s="1207"/>
      <c r="AZ52" s="1207"/>
      <c r="BA52" s="1207"/>
      <c r="BB52" s="1207"/>
      <c r="BC52" s="1207"/>
      <c r="BD52" s="1207"/>
      <c r="BE52" s="1207"/>
      <c r="BF52" s="1207"/>
      <c r="BG52" s="526"/>
      <c r="BH52" s="527"/>
      <c r="BI52" s="527"/>
      <c r="BJ52" s="1206">
        <v>0</v>
      </c>
      <c r="BK52" s="1207"/>
      <c r="BL52" s="1207"/>
      <c r="BM52" s="1207"/>
      <c r="BN52" s="1207"/>
      <c r="BO52" s="1207"/>
      <c r="BP52" s="1207"/>
      <c r="BQ52" s="1207"/>
      <c r="BR52" s="1207"/>
      <c r="BS52" s="1207"/>
      <c r="BT52" s="1207"/>
      <c r="BU52" s="1207"/>
      <c r="BV52" s="1207"/>
      <c r="BW52" s="526"/>
      <c r="BX52" s="527"/>
      <c r="BY52" s="527"/>
      <c r="BZ52" s="1208">
        <f t="shared" si="2"/>
        <v>0</v>
      </c>
      <c r="CA52" s="1209"/>
      <c r="CB52" s="1209"/>
      <c r="CC52" s="1209"/>
      <c r="CD52" s="1209"/>
      <c r="CE52" s="1209"/>
      <c r="CF52" s="1209"/>
      <c r="CG52" s="1209"/>
      <c r="CH52" s="1209"/>
      <c r="CI52" s="1209"/>
      <c r="CJ52" s="1209"/>
      <c r="CK52" s="1209"/>
      <c r="CL52" s="1209"/>
      <c r="CM52" s="524"/>
      <c r="CN52" s="525"/>
      <c r="CO52" s="1210"/>
      <c r="CP52" s="1211"/>
      <c r="CQ52" s="1211"/>
      <c r="CR52" s="1211"/>
      <c r="CS52" s="1211"/>
      <c r="CT52" s="1211"/>
      <c r="CU52" s="1211"/>
      <c r="CV52" s="1211"/>
      <c r="CW52" s="1211"/>
      <c r="CX52" s="1211"/>
      <c r="CY52" s="1211"/>
      <c r="CZ52" s="1211"/>
      <c r="DA52" s="1211"/>
      <c r="DB52" s="1211"/>
      <c r="DC52" s="1211"/>
      <c r="DD52" s="1211"/>
      <c r="DE52" s="1211"/>
      <c r="DF52" s="1211"/>
      <c r="DG52" s="1211"/>
      <c r="DH52" s="1211"/>
      <c r="DJ52" s="512"/>
    </row>
    <row r="53" spans="3:114" ht="18.75" customHeight="1" x14ac:dyDescent="0.3">
      <c r="C53" s="512"/>
      <c r="D53" s="523">
        <v>24</v>
      </c>
      <c r="E53" s="1204"/>
      <c r="F53" s="1205"/>
      <c r="G53" s="1205"/>
      <c r="H53" s="1205"/>
      <c r="I53" s="1205"/>
      <c r="J53" s="1205"/>
      <c r="K53" s="1205"/>
      <c r="L53" s="1205"/>
      <c r="M53" s="1205"/>
      <c r="N53" s="1205"/>
      <c r="O53" s="1205"/>
      <c r="P53" s="1205"/>
      <c r="Q53" s="1205"/>
      <c r="R53" s="1205"/>
      <c r="S53" s="1205"/>
      <c r="T53" s="1205"/>
      <c r="U53" s="1205"/>
      <c r="V53" s="1205"/>
      <c r="W53" s="1205"/>
      <c r="X53" s="1205"/>
      <c r="Y53" s="1205"/>
      <c r="Z53" s="1205"/>
      <c r="AA53" s="1205"/>
      <c r="AB53" s="1205"/>
      <c r="AC53" s="1205"/>
      <c r="AD53" s="1205"/>
      <c r="AE53" s="1205"/>
      <c r="AF53" s="1205"/>
      <c r="AG53" s="1205"/>
      <c r="AH53" s="1205"/>
      <c r="AI53" s="1205"/>
      <c r="AJ53" s="1205"/>
      <c r="AK53" s="1205"/>
      <c r="AL53" s="1205"/>
      <c r="AM53" s="1205"/>
      <c r="AN53" s="1205"/>
      <c r="AO53" s="1205"/>
      <c r="AP53" s="1205"/>
      <c r="AQ53" s="524"/>
      <c r="AR53" s="525"/>
      <c r="AS53" s="525"/>
      <c r="AT53" s="1206">
        <v>0</v>
      </c>
      <c r="AU53" s="1207"/>
      <c r="AV53" s="1207"/>
      <c r="AW53" s="1207"/>
      <c r="AX53" s="1207"/>
      <c r="AY53" s="1207"/>
      <c r="AZ53" s="1207"/>
      <c r="BA53" s="1207"/>
      <c r="BB53" s="1207"/>
      <c r="BC53" s="1207"/>
      <c r="BD53" s="1207"/>
      <c r="BE53" s="1207"/>
      <c r="BF53" s="1207"/>
      <c r="BG53" s="526"/>
      <c r="BH53" s="527"/>
      <c r="BI53" s="527"/>
      <c r="BJ53" s="1206">
        <v>0</v>
      </c>
      <c r="BK53" s="1207"/>
      <c r="BL53" s="1207"/>
      <c r="BM53" s="1207"/>
      <c r="BN53" s="1207"/>
      <c r="BO53" s="1207"/>
      <c r="BP53" s="1207"/>
      <c r="BQ53" s="1207"/>
      <c r="BR53" s="1207"/>
      <c r="BS53" s="1207"/>
      <c r="BT53" s="1207"/>
      <c r="BU53" s="1207"/>
      <c r="BV53" s="1207"/>
      <c r="BW53" s="526"/>
      <c r="BX53" s="527"/>
      <c r="BY53" s="527"/>
      <c r="BZ53" s="1208">
        <f t="shared" si="2"/>
        <v>0</v>
      </c>
      <c r="CA53" s="1209"/>
      <c r="CB53" s="1209"/>
      <c r="CC53" s="1209"/>
      <c r="CD53" s="1209"/>
      <c r="CE53" s="1209"/>
      <c r="CF53" s="1209"/>
      <c r="CG53" s="1209"/>
      <c r="CH53" s="1209"/>
      <c r="CI53" s="1209"/>
      <c r="CJ53" s="1209"/>
      <c r="CK53" s="1209"/>
      <c r="CL53" s="1209"/>
      <c r="CM53" s="524"/>
      <c r="CN53" s="525"/>
      <c r="CO53" s="1210"/>
      <c r="CP53" s="1211"/>
      <c r="CQ53" s="1211"/>
      <c r="CR53" s="1211"/>
      <c r="CS53" s="1211"/>
      <c r="CT53" s="1211"/>
      <c r="CU53" s="1211"/>
      <c r="CV53" s="1211"/>
      <c r="CW53" s="1211"/>
      <c r="CX53" s="1211"/>
      <c r="CY53" s="1211"/>
      <c r="CZ53" s="1211"/>
      <c r="DA53" s="1211"/>
      <c r="DB53" s="1211"/>
      <c r="DC53" s="1211"/>
      <c r="DD53" s="1211"/>
      <c r="DE53" s="1211"/>
      <c r="DF53" s="1211"/>
      <c r="DG53" s="1211"/>
      <c r="DH53" s="1211"/>
      <c r="DJ53" s="512"/>
    </row>
    <row r="54" spans="3:114" ht="18.75" customHeight="1" x14ac:dyDescent="0.3">
      <c r="C54" s="512"/>
      <c r="D54" s="523">
        <v>25</v>
      </c>
      <c r="E54" s="1204"/>
      <c r="F54" s="1205"/>
      <c r="G54" s="1205"/>
      <c r="H54" s="1205"/>
      <c r="I54" s="1205"/>
      <c r="J54" s="1205"/>
      <c r="K54" s="1205"/>
      <c r="L54" s="1205"/>
      <c r="M54" s="1205"/>
      <c r="N54" s="1205"/>
      <c r="O54" s="1205"/>
      <c r="P54" s="1205"/>
      <c r="Q54" s="1205"/>
      <c r="R54" s="1205"/>
      <c r="S54" s="1205"/>
      <c r="T54" s="1205"/>
      <c r="U54" s="1205"/>
      <c r="V54" s="1205"/>
      <c r="W54" s="1205"/>
      <c r="X54" s="1205"/>
      <c r="Y54" s="1205"/>
      <c r="Z54" s="1205"/>
      <c r="AA54" s="1205"/>
      <c r="AB54" s="1205"/>
      <c r="AC54" s="1205"/>
      <c r="AD54" s="1205"/>
      <c r="AE54" s="1205"/>
      <c r="AF54" s="1205"/>
      <c r="AG54" s="1205"/>
      <c r="AH54" s="1205"/>
      <c r="AI54" s="1205"/>
      <c r="AJ54" s="1205"/>
      <c r="AK54" s="1205"/>
      <c r="AL54" s="1205"/>
      <c r="AM54" s="1205"/>
      <c r="AN54" s="1205"/>
      <c r="AO54" s="1205"/>
      <c r="AP54" s="1205"/>
      <c r="AQ54" s="524"/>
      <c r="AR54" s="525"/>
      <c r="AS54" s="525"/>
      <c r="AT54" s="1206">
        <v>0</v>
      </c>
      <c r="AU54" s="1207"/>
      <c r="AV54" s="1207"/>
      <c r="AW54" s="1207"/>
      <c r="AX54" s="1207"/>
      <c r="AY54" s="1207"/>
      <c r="AZ54" s="1207"/>
      <c r="BA54" s="1207"/>
      <c r="BB54" s="1207"/>
      <c r="BC54" s="1207"/>
      <c r="BD54" s="1207"/>
      <c r="BE54" s="1207"/>
      <c r="BF54" s="1207"/>
      <c r="BG54" s="526"/>
      <c r="BH54" s="527"/>
      <c r="BI54" s="527"/>
      <c r="BJ54" s="1206">
        <v>0</v>
      </c>
      <c r="BK54" s="1207"/>
      <c r="BL54" s="1207"/>
      <c r="BM54" s="1207"/>
      <c r="BN54" s="1207"/>
      <c r="BO54" s="1207"/>
      <c r="BP54" s="1207"/>
      <c r="BQ54" s="1207"/>
      <c r="BR54" s="1207"/>
      <c r="BS54" s="1207"/>
      <c r="BT54" s="1207"/>
      <c r="BU54" s="1207"/>
      <c r="BV54" s="1207"/>
      <c r="BW54" s="526"/>
      <c r="BX54" s="527"/>
      <c r="BY54" s="527"/>
      <c r="BZ54" s="1208">
        <f t="shared" si="2"/>
        <v>0</v>
      </c>
      <c r="CA54" s="1209"/>
      <c r="CB54" s="1209"/>
      <c r="CC54" s="1209"/>
      <c r="CD54" s="1209"/>
      <c r="CE54" s="1209"/>
      <c r="CF54" s="1209"/>
      <c r="CG54" s="1209"/>
      <c r="CH54" s="1209"/>
      <c r="CI54" s="1209"/>
      <c r="CJ54" s="1209"/>
      <c r="CK54" s="1209"/>
      <c r="CL54" s="1209"/>
      <c r="CM54" s="524"/>
      <c r="CN54" s="525"/>
      <c r="CO54" s="1210"/>
      <c r="CP54" s="1211"/>
      <c r="CQ54" s="1211"/>
      <c r="CR54" s="1211"/>
      <c r="CS54" s="1211"/>
      <c r="CT54" s="1211"/>
      <c r="CU54" s="1211"/>
      <c r="CV54" s="1211"/>
      <c r="CW54" s="1211"/>
      <c r="CX54" s="1211"/>
      <c r="CY54" s="1211"/>
      <c r="CZ54" s="1211"/>
      <c r="DA54" s="1211"/>
      <c r="DB54" s="1211"/>
      <c r="DC54" s="1211"/>
      <c r="DD54" s="1211"/>
      <c r="DE54" s="1211"/>
      <c r="DF54" s="1211"/>
      <c r="DG54" s="1211"/>
      <c r="DH54" s="1211"/>
      <c r="DI54" s="503"/>
      <c r="DJ54" s="512"/>
    </row>
    <row r="55" spans="3:114" ht="18.75" customHeight="1" x14ac:dyDescent="0.3">
      <c r="C55" s="512"/>
      <c r="D55" s="523">
        <v>26</v>
      </c>
      <c r="E55" s="1204"/>
      <c r="F55" s="1205"/>
      <c r="G55" s="1205"/>
      <c r="H55" s="1205"/>
      <c r="I55" s="1205"/>
      <c r="J55" s="1205"/>
      <c r="K55" s="1205"/>
      <c r="L55" s="1205"/>
      <c r="M55" s="1205"/>
      <c r="N55" s="1205"/>
      <c r="O55" s="1205"/>
      <c r="P55" s="1205"/>
      <c r="Q55" s="1205"/>
      <c r="R55" s="1205"/>
      <c r="S55" s="1205"/>
      <c r="T55" s="1205"/>
      <c r="U55" s="1205"/>
      <c r="V55" s="1205"/>
      <c r="W55" s="1205"/>
      <c r="X55" s="1205"/>
      <c r="Y55" s="1205"/>
      <c r="Z55" s="1205"/>
      <c r="AA55" s="1205"/>
      <c r="AB55" s="1205"/>
      <c r="AC55" s="1205"/>
      <c r="AD55" s="1205"/>
      <c r="AE55" s="1205"/>
      <c r="AF55" s="1205"/>
      <c r="AG55" s="1205"/>
      <c r="AH55" s="1205"/>
      <c r="AI55" s="1205"/>
      <c r="AJ55" s="1205"/>
      <c r="AK55" s="1205"/>
      <c r="AL55" s="1205"/>
      <c r="AM55" s="1205"/>
      <c r="AN55" s="1205"/>
      <c r="AO55" s="1205"/>
      <c r="AP55" s="1205"/>
      <c r="AQ55" s="524"/>
      <c r="AR55" s="525"/>
      <c r="AS55" s="525"/>
      <c r="AT55" s="1206">
        <v>0</v>
      </c>
      <c r="AU55" s="1207"/>
      <c r="AV55" s="1207"/>
      <c r="AW55" s="1207"/>
      <c r="AX55" s="1207"/>
      <c r="AY55" s="1207"/>
      <c r="AZ55" s="1207"/>
      <c r="BA55" s="1207"/>
      <c r="BB55" s="1207"/>
      <c r="BC55" s="1207"/>
      <c r="BD55" s="1207"/>
      <c r="BE55" s="1207"/>
      <c r="BF55" s="1207"/>
      <c r="BG55" s="526"/>
      <c r="BH55" s="527"/>
      <c r="BI55" s="527"/>
      <c r="BJ55" s="1206">
        <v>0</v>
      </c>
      <c r="BK55" s="1207"/>
      <c r="BL55" s="1207"/>
      <c r="BM55" s="1207"/>
      <c r="BN55" s="1207"/>
      <c r="BO55" s="1207"/>
      <c r="BP55" s="1207"/>
      <c r="BQ55" s="1207"/>
      <c r="BR55" s="1207"/>
      <c r="BS55" s="1207"/>
      <c r="BT55" s="1207"/>
      <c r="BU55" s="1207"/>
      <c r="BV55" s="1207"/>
      <c r="BW55" s="526"/>
      <c r="BX55" s="527"/>
      <c r="BY55" s="527"/>
      <c r="BZ55" s="1208">
        <f t="shared" si="2"/>
        <v>0</v>
      </c>
      <c r="CA55" s="1209"/>
      <c r="CB55" s="1209"/>
      <c r="CC55" s="1209"/>
      <c r="CD55" s="1209"/>
      <c r="CE55" s="1209"/>
      <c r="CF55" s="1209"/>
      <c r="CG55" s="1209"/>
      <c r="CH55" s="1209"/>
      <c r="CI55" s="1209"/>
      <c r="CJ55" s="1209"/>
      <c r="CK55" s="1209"/>
      <c r="CL55" s="1209"/>
      <c r="CM55" s="524"/>
      <c r="CN55" s="525"/>
      <c r="CO55" s="1210"/>
      <c r="CP55" s="1211"/>
      <c r="CQ55" s="1211"/>
      <c r="CR55" s="1211"/>
      <c r="CS55" s="1211"/>
      <c r="CT55" s="1211"/>
      <c r="CU55" s="1211"/>
      <c r="CV55" s="1211"/>
      <c r="CW55" s="1211"/>
      <c r="CX55" s="1211"/>
      <c r="CY55" s="1211"/>
      <c r="CZ55" s="1211"/>
      <c r="DA55" s="1211"/>
      <c r="DB55" s="1211"/>
      <c r="DC55" s="1211"/>
      <c r="DD55" s="1211"/>
      <c r="DE55" s="1211"/>
      <c r="DF55" s="1211"/>
      <c r="DG55" s="1211"/>
      <c r="DH55" s="1211"/>
      <c r="DJ55" s="512"/>
    </row>
    <row r="56" spans="3:114" ht="18.75" customHeight="1" x14ac:dyDescent="0.3">
      <c r="C56" s="512"/>
      <c r="D56" s="523">
        <v>27</v>
      </c>
      <c r="E56" s="1204"/>
      <c r="F56" s="1205"/>
      <c r="G56" s="1205"/>
      <c r="H56" s="1205"/>
      <c r="I56" s="1205"/>
      <c r="J56" s="1205"/>
      <c r="K56" s="1205"/>
      <c r="L56" s="1205"/>
      <c r="M56" s="1205"/>
      <c r="N56" s="1205"/>
      <c r="O56" s="1205"/>
      <c r="P56" s="1205"/>
      <c r="Q56" s="1205"/>
      <c r="R56" s="1205"/>
      <c r="S56" s="1205"/>
      <c r="T56" s="1205"/>
      <c r="U56" s="1205"/>
      <c r="V56" s="1205"/>
      <c r="W56" s="1205"/>
      <c r="X56" s="1205"/>
      <c r="Y56" s="1205"/>
      <c r="Z56" s="1205"/>
      <c r="AA56" s="1205"/>
      <c r="AB56" s="1205"/>
      <c r="AC56" s="1205"/>
      <c r="AD56" s="1205"/>
      <c r="AE56" s="1205"/>
      <c r="AF56" s="1205"/>
      <c r="AG56" s="1205"/>
      <c r="AH56" s="1205"/>
      <c r="AI56" s="1205"/>
      <c r="AJ56" s="1205"/>
      <c r="AK56" s="1205"/>
      <c r="AL56" s="1205"/>
      <c r="AM56" s="1205"/>
      <c r="AN56" s="1205"/>
      <c r="AO56" s="1205"/>
      <c r="AP56" s="1205"/>
      <c r="AQ56" s="524"/>
      <c r="AR56" s="525"/>
      <c r="AS56" s="525"/>
      <c r="AT56" s="1206">
        <v>0</v>
      </c>
      <c r="AU56" s="1207"/>
      <c r="AV56" s="1207"/>
      <c r="AW56" s="1207"/>
      <c r="AX56" s="1207"/>
      <c r="AY56" s="1207"/>
      <c r="AZ56" s="1207"/>
      <c r="BA56" s="1207"/>
      <c r="BB56" s="1207"/>
      <c r="BC56" s="1207"/>
      <c r="BD56" s="1207"/>
      <c r="BE56" s="1207"/>
      <c r="BF56" s="1207"/>
      <c r="BG56" s="526"/>
      <c r="BH56" s="527"/>
      <c r="BI56" s="527"/>
      <c r="BJ56" s="1206">
        <v>0</v>
      </c>
      <c r="BK56" s="1207"/>
      <c r="BL56" s="1207"/>
      <c r="BM56" s="1207"/>
      <c r="BN56" s="1207"/>
      <c r="BO56" s="1207"/>
      <c r="BP56" s="1207"/>
      <c r="BQ56" s="1207"/>
      <c r="BR56" s="1207"/>
      <c r="BS56" s="1207"/>
      <c r="BT56" s="1207"/>
      <c r="BU56" s="1207"/>
      <c r="BV56" s="1207"/>
      <c r="BW56" s="526"/>
      <c r="BX56" s="527"/>
      <c r="BY56" s="527"/>
      <c r="BZ56" s="1208">
        <f t="shared" si="2"/>
        <v>0</v>
      </c>
      <c r="CA56" s="1209"/>
      <c r="CB56" s="1209"/>
      <c r="CC56" s="1209"/>
      <c r="CD56" s="1209"/>
      <c r="CE56" s="1209"/>
      <c r="CF56" s="1209"/>
      <c r="CG56" s="1209"/>
      <c r="CH56" s="1209"/>
      <c r="CI56" s="1209"/>
      <c r="CJ56" s="1209"/>
      <c r="CK56" s="1209"/>
      <c r="CL56" s="1209"/>
      <c r="CM56" s="524"/>
      <c r="CN56" s="525"/>
      <c r="CO56" s="1210"/>
      <c r="CP56" s="1211"/>
      <c r="CQ56" s="1211"/>
      <c r="CR56" s="1211"/>
      <c r="CS56" s="1211"/>
      <c r="CT56" s="1211"/>
      <c r="CU56" s="1211"/>
      <c r="CV56" s="1211"/>
      <c r="CW56" s="1211"/>
      <c r="CX56" s="1211"/>
      <c r="CY56" s="1211"/>
      <c r="CZ56" s="1211"/>
      <c r="DA56" s="1211"/>
      <c r="DB56" s="1211"/>
      <c r="DC56" s="1211"/>
      <c r="DD56" s="1211"/>
      <c r="DE56" s="1211"/>
      <c r="DF56" s="1211"/>
      <c r="DG56" s="1211"/>
      <c r="DH56" s="1211"/>
      <c r="DJ56" s="512"/>
    </row>
    <row r="57" spans="3:114" ht="18.75" customHeight="1" x14ac:dyDescent="0.3">
      <c r="C57" s="512"/>
      <c r="D57" s="523">
        <v>28</v>
      </c>
      <c r="E57" s="1204"/>
      <c r="F57" s="1205"/>
      <c r="G57" s="1205"/>
      <c r="H57" s="1205"/>
      <c r="I57" s="1205"/>
      <c r="J57" s="1205"/>
      <c r="K57" s="1205"/>
      <c r="L57" s="1205"/>
      <c r="M57" s="1205"/>
      <c r="N57" s="1205"/>
      <c r="O57" s="1205"/>
      <c r="P57" s="1205"/>
      <c r="Q57" s="1205"/>
      <c r="R57" s="1205"/>
      <c r="S57" s="1205"/>
      <c r="T57" s="1205"/>
      <c r="U57" s="1205"/>
      <c r="V57" s="1205"/>
      <c r="W57" s="1205"/>
      <c r="X57" s="1205"/>
      <c r="Y57" s="1205"/>
      <c r="Z57" s="1205"/>
      <c r="AA57" s="1205"/>
      <c r="AB57" s="1205"/>
      <c r="AC57" s="1205"/>
      <c r="AD57" s="1205"/>
      <c r="AE57" s="1205"/>
      <c r="AF57" s="1205"/>
      <c r="AG57" s="1205"/>
      <c r="AH57" s="1205"/>
      <c r="AI57" s="1205"/>
      <c r="AJ57" s="1205"/>
      <c r="AK57" s="1205"/>
      <c r="AL57" s="1205"/>
      <c r="AM57" s="1205"/>
      <c r="AN57" s="1205"/>
      <c r="AO57" s="1205"/>
      <c r="AP57" s="1205"/>
      <c r="AQ57" s="524"/>
      <c r="AR57" s="525"/>
      <c r="AS57" s="525"/>
      <c r="AT57" s="1206">
        <v>0</v>
      </c>
      <c r="AU57" s="1207"/>
      <c r="AV57" s="1207"/>
      <c r="AW57" s="1207"/>
      <c r="AX57" s="1207"/>
      <c r="AY57" s="1207"/>
      <c r="AZ57" s="1207"/>
      <c r="BA57" s="1207"/>
      <c r="BB57" s="1207"/>
      <c r="BC57" s="1207"/>
      <c r="BD57" s="1207"/>
      <c r="BE57" s="1207"/>
      <c r="BF57" s="1207"/>
      <c r="BG57" s="526"/>
      <c r="BH57" s="527"/>
      <c r="BI57" s="527"/>
      <c r="BJ57" s="1206">
        <v>0</v>
      </c>
      <c r="BK57" s="1207"/>
      <c r="BL57" s="1207"/>
      <c r="BM57" s="1207"/>
      <c r="BN57" s="1207"/>
      <c r="BO57" s="1207"/>
      <c r="BP57" s="1207"/>
      <c r="BQ57" s="1207"/>
      <c r="BR57" s="1207"/>
      <c r="BS57" s="1207"/>
      <c r="BT57" s="1207"/>
      <c r="BU57" s="1207"/>
      <c r="BV57" s="1207"/>
      <c r="BW57" s="526"/>
      <c r="BX57" s="527"/>
      <c r="BY57" s="527"/>
      <c r="BZ57" s="1208">
        <f t="shared" si="2"/>
        <v>0</v>
      </c>
      <c r="CA57" s="1209"/>
      <c r="CB57" s="1209"/>
      <c r="CC57" s="1209"/>
      <c r="CD57" s="1209"/>
      <c r="CE57" s="1209"/>
      <c r="CF57" s="1209"/>
      <c r="CG57" s="1209"/>
      <c r="CH57" s="1209"/>
      <c r="CI57" s="1209"/>
      <c r="CJ57" s="1209"/>
      <c r="CK57" s="1209"/>
      <c r="CL57" s="1209"/>
      <c r="CM57" s="524"/>
      <c r="CN57" s="525"/>
      <c r="CO57" s="1210"/>
      <c r="CP57" s="1211"/>
      <c r="CQ57" s="1211"/>
      <c r="CR57" s="1211"/>
      <c r="CS57" s="1211"/>
      <c r="CT57" s="1211"/>
      <c r="CU57" s="1211"/>
      <c r="CV57" s="1211"/>
      <c r="CW57" s="1211"/>
      <c r="CX57" s="1211"/>
      <c r="CY57" s="1211"/>
      <c r="CZ57" s="1211"/>
      <c r="DA57" s="1211"/>
      <c r="DB57" s="1211"/>
      <c r="DC57" s="1211"/>
      <c r="DD57" s="1211"/>
      <c r="DE57" s="1211"/>
      <c r="DF57" s="1211"/>
      <c r="DG57" s="1211"/>
      <c r="DH57" s="1211"/>
      <c r="DI57" s="503"/>
      <c r="DJ57" s="512"/>
    </row>
    <row r="58" spans="3:114" ht="18.75" customHeight="1" x14ac:dyDescent="0.3">
      <c r="C58" s="512"/>
      <c r="D58" s="523">
        <v>29</v>
      </c>
      <c r="E58" s="1204"/>
      <c r="F58" s="1205"/>
      <c r="G58" s="1205"/>
      <c r="H58" s="1205"/>
      <c r="I58" s="1205"/>
      <c r="J58" s="1205"/>
      <c r="K58" s="1205"/>
      <c r="L58" s="1205"/>
      <c r="M58" s="1205"/>
      <c r="N58" s="1205"/>
      <c r="O58" s="1205"/>
      <c r="P58" s="1205"/>
      <c r="Q58" s="1205"/>
      <c r="R58" s="1205"/>
      <c r="S58" s="1205"/>
      <c r="T58" s="1205"/>
      <c r="U58" s="1205"/>
      <c r="V58" s="1205"/>
      <c r="W58" s="1205"/>
      <c r="X58" s="1205"/>
      <c r="Y58" s="1205"/>
      <c r="Z58" s="1205"/>
      <c r="AA58" s="1205"/>
      <c r="AB58" s="1205"/>
      <c r="AC58" s="1205"/>
      <c r="AD58" s="1205"/>
      <c r="AE58" s="1205"/>
      <c r="AF58" s="1205"/>
      <c r="AG58" s="1205"/>
      <c r="AH58" s="1205"/>
      <c r="AI58" s="1205"/>
      <c r="AJ58" s="1205"/>
      <c r="AK58" s="1205"/>
      <c r="AL58" s="1205"/>
      <c r="AM58" s="1205"/>
      <c r="AN58" s="1205"/>
      <c r="AO58" s="1205"/>
      <c r="AP58" s="1205"/>
      <c r="AQ58" s="524"/>
      <c r="AR58" s="525"/>
      <c r="AS58" s="525"/>
      <c r="AT58" s="1206">
        <v>0</v>
      </c>
      <c r="AU58" s="1207"/>
      <c r="AV58" s="1207"/>
      <c r="AW58" s="1207"/>
      <c r="AX58" s="1207"/>
      <c r="AY58" s="1207"/>
      <c r="AZ58" s="1207"/>
      <c r="BA58" s="1207"/>
      <c r="BB58" s="1207"/>
      <c r="BC58" s="1207"/>
      <c r="BD58" s="1207"/>
      <c r="BE58" s="1207"/>
      <c r="BF58" s="1207"/>
      <c r="BG58" s="526"/>
      <c r="BH58" s="527"/>
      <c r="BI58" s="527"/>
      <c r="BJ58" s="1206">
        <v>0</v>
      </c>
      <c r="BK58" s="1207"/>
      <c r="BL58" s="1207"/>
      <c r="BM58" s="1207"/>
      <c r="BN58" s="1207"/>
      <c r="BO58" s="1207"/>
      <c r="BP58" s="1207"/>
      <c r="BQ58" s="1207"/>
      <c r="BR58" s="1207"/>
      <c r="BS58" s="1207"/>
      <c r="BT58" s="1207"/>
      <c r="BU58" s="1207"/>
      <c r="BV58" s="1207"/>
      <c r="BW58" s="526"/>
      <c r="BX58" s="527"/>
      <c r="BY58" s="527"/>
      <c r="BZ58" s="1208">
        <f t="shared" si="2"/>
        <v>0</v>
      </c>
      <c r="CA58" s="1209"/>
      <c r="CB58" s="1209"/>
      <c r="CC58" s="1209"/>
      <c r="CD58" s="1209"/>
      <c r="CE58" s="1209"/>
      <c r="CF58" s="1209"/>
      <c r="CG58" s="1209"/>
      <c r="CH58" s="1209"/>
      <c r="CI58" s="1209"/>
      <c r="CJ58" s="1209"/>
      <c r="CK58" s="1209"/>
      <c r="CL58" s="1209"/>
      <c r="CM58" s="524"/>
      <c r="CN58" s="525"/>
      <c r="CO58" s="1210"/>
      <c r="CP58" s="1211"/>
      <c r="CQ58" s="1211"/>
      <c r="CR58" s="1211"/>
      <c r="CS58" s="1211"/>
      <c r="CT58" s="1211"/>
      <c r="CU58" s="1211"/>
      <c r="CV58" s="1211"/>
      <c r="CW58" s="1211"/>
      <c r="CX58" s="1211"/>
      <c r="CY58" s="1211"/>
      <c r="CZ58" s="1211"/>
      <c r="DA58" s="1211"/>
      <c r="DB58" s="1211"/>
      <c r="DC58" s="1211"/>
      <c r="DD58" s="1211"/>
      <c r="DE58" s="1211"/>
      <c r="DF58" s="1211"/>
      <c r="DG58" s="1211"/>
      <c r="DH58" s="1211"/>
      <c r="DJ58" s="512"/>
    </row>
    <row r="59" spans="3:114" ht="18.75" customHeight="1" thickBot="1" x14ac:dyDescent="0.35">
      <c r="C59" s="512"/>
      <c r="D59" s="523">
        <v>30</v>
      </c>
      <c r="E59" s="1212" t="str">
        <f ca="1">' '!A237&amp;" ["&amp;Logo!D12&amp;"]"</f>
        <v>TOTAL external resources [CHF]</v>
      </c>
      <c r="F59" s="1213"/>
      <c r="G59" s="1213"/>
      <c r="H59" s="1213"/>
      <c r="I59" s="1213"/>
      <c r="J59" s="1213"/>
      <c r="K59" s="1213"/>
      <c r="L59" s="1213"/>
      <c r="M59" s="1213"/>
      <c r="N59" s="1213"/>
      <c r="O59" s="1213"/>
      <c r="P59" s="1213"/>
      <c r="Q59" s="1213"/>
      <c r="R59" s="1213"/>
      <c r="S59" s="1213"/>
      <c r="T59" s="1213"/>
      <c r="U59" s="1213"/>
      <c r="V59" s="1213"/>
      <c r="W59" s="1213"/>
      <c r="X59" s="1213"/>
      <c r="Y59" s="1213"/>
      <c r="Z59" s="1213"/>
      <c r="AA59" s="1213"/>
      <c r="AB59" s="1213"/>
      <c r="AC59" s="1213"/>
      <c r="AD59" s="1213"/>
      <c r="AE59" s="1213"/>
      <c r="AF59" s="1213"/>
      <c r="AG59" s="1213"/>
      <c r="AH59" s="1213"/>
      <c r="AI59" s="1213"/>
      <c r="AJ59" s="1213"/>
      <c r="AK59" s="1213"/>
      <c r="AL59" s="1213"/>
      <c r="AM59" s="1213"/>
      <c r="AN59" s="1213"/>
      <c r="AO59" s="1213"/>
      <c r="AP59" s="1213"/>
      <c r="AQ59" s="528"/>
      <c r="AR59" s="529"/>
      <c r="AS59" s="529"/>
      <c r="AT59" s="1214">
        <f>SUM(AT30:BF58)</f>
        <v>0</v>
      </c>
      <c r="AU59" s="1215"/>
      <c r="AV59" s="1215"/>
      <c r="AW59" s="1215"/>
      <c r="AX59" s="1215"/>
      <c r="AY59" s="1215"/>
      <c r="AZ59" s="1215"/>
      <c r="BA59" s="1215"/>
      <c r="BB59" s="1215"/>
      <c r="BC59" s="1215"/>
      <c r="BD59" s="1215"/>
      <c r="BE59" s="1215"/>
      <c r="BF59" s="1215"/>
      <c r="BG59" s="530"/>
      <c r="BH59" s="531"/>
      <c r="BI59" s="531"/>
      <c r="BJ59" s="1214">
        <f>SUM(BJ30:BV58)</f>
        <v>0</v>
      </c>
      <c r="BK59" s="1215"/>
      <c r="BL59" s="1215"/>
      <c r="BM59" s="1215"/>
      <c r="BN59" s="1215"/>
      <c r="BO59" s="1215"/>
      <c r="BP59" s="1215"/>
      <c r="BQ59" s="1215"/>
      <c r="BR59" s="1215"/>
      <c r="BS59" s="1215"/>
      <c r="BT59" s="1215"/>
      <c r="BU59" s="1215"/>
      <c r="BV59" s="1215"/>
      <c r="BW59" s="530"/>
      <c r="BX59" s="531"/>
      <c r="BY59" s="531"/>
      <c r="BZ59" s="1214">
        <f t="shared" si="1"/>
        <v>0</v>
      </c>
      <c r="CA59" s="1215"/>
      <c r="CB59" s="1215"/>
      <c r="CC59" s="1215"/>
      <c r="CD59" s="1215"/>
      <c r="CE59" s="1215"/>
      <c r="CF59" s="1215"/>
      <c r="CG59" s="1215"/>
      <c r="CH59" s="1215"/>
      <c r="CI59" s="1215"/>
      <c r="CJ59" s="1215"/>
      <c r="CK59" s="1215"/>
      <c r="CL59" s="1215"/>
      <c r="CM59" s="528"/>
      <c r="CN59" s="529"/>
      <c r="CO59" s="1216">
        <f>IF(AT59&lt;&gt;0,BJ59/AT59,0)</f>
        <v>0</v>
      </c>
      <c r="CP59" s="1217"/>
      <c r="CQ59" s="1217"/>
      <c r="CR59" s="1217"/>
      <c r="CS59" s="1217"/>
      <c r="CT59" s="1217"/>
      <c r="CU59" s="1217"/>
      <c r="CV59" s="1217"/>
      <c r="CW59" s="1217"/>
      <c r="CX59" s="1217"/>
      <c r="CY59" s="1217"/>
      <c r="CZ59" s="1217"/>
      <c r="DA59" s="1217"/>
      <c r="DB59" s="1217"/>
      <c r="DC59" s="1217"/>
      <c r="DD59" s="1217"/>
      <c r="DE59" s="1217"/>
      <c r="DF59" s="1217"/>
      <c r="DG59" s="1217"/>
      <c r="DH59" s="1217"/>
      <c r="DJ59" s="512"/>
    </row>
    <row r="60" spans="3:114" ht="9.75" customHeight="1" thickTop="1" x14ac:dyDescent="0.3">
      <c r="C60" s="512"/>
      <c r="D60" s="515"/>
      <c r="E60" s="1229"/>
      <c r="F60" s="1229"/>
      <c r="G60" s="1229"/>
      <c r="H60" s="1229"/>
      <c r="I60" s="1229"/>
      <c r="J60" s="1229"/>
      <c r="K60" s="1229"/>
      <c r="L60" s="1229"/>
      <c r="M60" s="1229"/>
      <c r="N60" s="1229"/>
      <c r="O60" s="1229"/>
      <c r="P60" s="1229"/>
      <c r="Q60" s="1229"/>
      <c r="R60" s="1229"/>
      <c r="S60" s="1229"/>
      <c r="T60" s="1229"/>
      <c r="U60" s="1229"/>
      <c r="V60" s="1229"/>
      <c r="W60" s="1229"/>
      <c r="X60" s="1229"/>
      <c r="Y60" s="1229"/>
      <c r="Z60" s="1229"/>
      <c r="AA60" s="1229"/>
      <c r="AB60" s="1229"/>
      <c r="AC60" s="1229"/>
      <c r="AD60" s="1229"/>
      <c r="AE60" s="1229"/>
      <c r="AF60" s="1229"/>
      <c r="AG60" s="1229"/>
      <c r="AH60" s="1229"/>
      <c r="AI60" s="1229"/>
      <c r="AJ60" s="1229"/>
      <c r="AK60" s="1229"/>
      <c r="AL60" s="1229"/>
      <c r="AM60" s="1229"/>
      <c r="AN60" s="1229"/>
      <c r="AO60" s="1229"/>
      <c r="AP60" s="1229"/>
      <c r="AQ60" s="524"/>
      <c r="AR60" s="525"/>
      <c r="AS60" s="525"/>
      <c r="AT60" s="1225"/>
      <c r="AU60" s="1225"/>
      <c r="AV60" s="1225"/>
      <c r="AW60" s="1225"/>
      <c r="AX60" s="1225"/>
      <c r="AY60" s="1225"/>
      <c r="AZ60" s="1225"/>
      <c r="BA60" s="1225"/>
      <c r="BB60" s="1225"/>
      <c r="BC60" s="1225"/>
      <c r="BD60" s="1225"/>
      <c r="BE60" s="1225"/>
      <c r="BF60" s="1225"/>
      <c r="BG60" s="524"/>
      <c r="BH60" s="525"/>
      <c r="BI60" s="525"/>
      <c r="BJ60" s="1225"/>
      <c r="BK60" s="1225"/>
      <c r="BL60" s="1225"/>
      <c r="BM60" s="1225"/>
      <c r="BN60" s="1225"/>
      <c r="BO60" s="1225"/>
      <c r="BP60" s="1225"/>
      <c r="BQ60" s="1225"/>
      <c r="BR60" s="1225"/>
      <c r="BS60" s="1225"/>
      <c r="BT60" s="1225"/>
      <c r="BU60" s="1225"/>
      <c r="BV60" s="1225"/>
      <c r="BW60" s="524"/>
      <c r="BX60" s="525"/>
      <c r="BY60" s="525"/>
      <c r="BZ60" s="1225"/>
      <c r="CA60" s="1225"/>
      <c r="CB60" s="1225"/>
      <c r="CC60" s="1225"/>
      <c r="CD60" s="1225"/>
      <c r="CE60" s="1225"/>
      <c r="CF60" s="1225"/>
      <c r="CG60" s="1225"/>
      <c r="CH60" s="1225"/>
      <c r="CI60" s="1225"/>
      <c r="CJ60" s="1225"/>
      <c r="CK60" s="1225"/>
      <c r="CL60" s="1225"/>
      <c r="CM60" s="524"/>
      <c r="CN60" s="525"/>
      <c r="CO60" s="1223"/>
      <c r="CP60" s="1223"/>
      <c r="CQ60" s="1223"/>
      <c r="CR60" s="1223"/>
      <c r="CS60" s="1223"/>
      <c r="CT60" s="1223"/>
      <c r="CU60" s="1223"/>
      <c r="CV60" s="1223"/>
      <c r="CW60" s="1223"/>
      <c r="CX60" s="1223"/>
      <c r="CY60" s="1223"/>
      <c r="CZ60" s="1223"/>
      <c r="DA60" s="1223"/>
      <c r="DB60" s="1223"/>
      <c r="DC60" s="1223"/>
      <c r="DD60" s="1223"/>
      <c r="DE60" s="1223"/>
      <c r="DF60" s="1223"/>
      <c r="DG60" s="1223"/>
      <c r="DH60" s="1223"/>
      <c r="DJ60" s="512"/>
    </row>
    <row r="61" spans="3:114" ht="24" customHeight="1" thickBot="1" x14ac:dyDescent="0.35">
      <c r="C61" s="512"/>
      <c r="D61" s="523">
        <v>23</v>
      </c>
      <c r="E61" s="1227" t="str">
        <f ca="1">' '!A242</f>
        <v>TOTAL RESOURCES</v>
      </c>
      <c r="F61" s="1227"/>
      <c r="G61" s="1227"/>
      <c r="H61" s="1227"/>
      <c r="I61" s="1227"/>
      <c r="J61" s="1227"/>
      <c r="K61" s="1227"/>
      <c r="L61" s="1227"/>
      <c r="M61" s="1227"/>
      <c r="N61" s="1227"/>
      <c r="O61" s="1227"/>
      <c r="P61" s="1227"/>
      <c r="Q61" s="1227"/>
      <c r="R61" s="1227"/>
      <c r="S61" s="1227"/>
      <c r="T61" s="1227"/>
      <c r="U61" s="1227"/>
      <c r="V61" s="1227"/>
      <c r="W61" s="1227"/>
      <c r="X61" s="1227"/>
      <c r="Y61" s="1227"/>
      <c r="Z61" s="1227"/>
      <c r="AA61" s="1227"/>
      <c r="AB61" s="1227"/>
      <c r="AC61" s="1227"/>
      <c r="AD61" s="1227"/>
      <c r="AE61" s="1227"/>
      <c r="AF61" s="1227"/>
      <c r="AG61" s="1227"/>
      <c r="AH61" s="1227"/>
      <c r="AI61" s="1227"/>
      <c r="AJ61" s="1227"/>
      <c r="AK61" s="1227"/>
      <c r="AL61" s="1227"/>
      <c r="AM61" s="1227"/>
      <c r="AN61" s="1227"/>
      <c r="AO61" s="1227"/>
      <c r="AP61" s="1227"/>
      <c r="AQ61" s="537"/>
      <c r="AR61" s="538"/>
      <c r="AS61" s="538"/>
      <c r="AT61" s="1226">
        <f>IF(Projektteam!$BL$3=TRUE,AT59+AT24,AT59)</f>
        <v>500</v>
      </c>
      <c r="AU61" s="1226"/>
      <c r="AV61" s="1226"/>
      <c r="AW61" s="1226"/>
      <c r="AX61" s="1226"/>
      <c r="AY61" s="1226"/>
      <c r="AZ61" s="1226"/>
      <c r="BA61" s="1226"/>
      <c r="BB61" s="1226"/>
      <c r="BC61" s="1226"/>
      <c r="BD61" s="1226"/>
      <c r="BE61" s="1226"/>
      <c r="BF61" s="1226"/>
      <c r="BG61" s="539"/>
      <c r="BH61" s="540"/>
      <c r="BI61" s="540"/>
      <c r="BJ61" s="1226">
        <f>IF(Projektteam!$BL$3=TRUE,BJ59+BJ24,BJ59)</f>
        <v>500</v>
      </c>
      <c r="BK61" s="1226"/>
      <c r="BL61" s="1226"/>
      <c r="BM61" s="1226"/>
      <c r="BN61" s="1226"/>
      <c r="BO61" s="1226"/>
      <c r="BP61" s="1226"/>
      <c r="BQ61" s="1226"/>
      <c r="BR61" s="1226"/>
      <c r="BS61" s="1226"/>
      <c r="BT61" s="1226"/>
      <c r="BU61" s="1226"/>
      <c r="BV61" s="1226"/>
      <c r="BW61" s="539"/>
      <c r="BX61" s="540"/>
      <c r="BY61" s="540"/>
      <c r="BZ61" s="1226">
        <f>IF(Projektteam!$BL$3=TRUE,AT61-BJ61,BZ59)</f>
        <v>0</v>
      </c>
      <c r="CA61" s="1226"/>
      <c r="CB61" s="1226"/>
      <c r="CC61" s="1226"/>
      <c r="CD61" s="1226"/>
      <c r="CE61" s="1226"/>
      <c r="CF61" s="1226"/>
      <c r="CG61" s="1226"/>
      <c r="CH61" s="1226"/>
      <c r="CI61" s="1226"/>
      <c r="CJ61" s="1226"/>
      <c r="CK61" s="1226"/>
      <c r="CL61" s="1226"/>
      <c r="CM61" s="537"/>
      <c r="CN61" s="529"/>
      <c r="CO61" s="1216">
        <f>IF(Projektteam!$BL$3=TRUE,
IF(AT61&lt;&gt;0,BJ61/AT61),CO59)</f>
        <v>1</v>
      </c>
      <c r="CP61" s="1217"/>
      <c r="CQ61" s="1217"/>
      <c r="CR61" s="1217"/>
      <c r="CS61" s="1217"/>
      <c r="CT61" s="1217"/>
      <c r="CU61" s="1217"/>
      <c r="CV61" s="1217"/>
      <c r="CW61" s="1217"/>
      <c r="CX61" s="1217"/>
      <c r="CY61" s="1217"/>
      <c r="CZ61" s="1217"/>
      <c r="DA61" s="1217"/>
      <c r="DB61" s="1217"/>
      <c r="DC61" s="1217"/>
      <c r="DD61" s="1217"/>
      <c r="DE61" s="1217"/>
      <c r="DF61" s="1217"/>
      <c r="DG61" s="1217"/>
      <c r="DH61" s="1217"/>
      <c r="DJ61" s="512"/>
    </row>
    <row r="62" spans="3:114" ht="14.4" thickTop="1" x14ac:dyDescent="0.3">
      <c r="C62" s="532"/>
      <c r="D62" s="533"/>
      <c r="E62" s="533"/>
      <c r="F62" s="533"/>
      <c r="G62" s="533"/>
      <c r="H62" s="533"/>
      <c r="I62" s="533"/>
      <c r="J62" s="533"/>
      <c r="K62" s="533"/>
      <c r="L62" s="533"/>
      <c r="M62" s="533"/>
      <c r="N62" s="533"/>
      <c r="O62" s="533"/>
      <c r="P62" s="533"/>
      <c r="Q62" s="533"/>
      <c r="R62" s="533"/>
      <c r="S62" s="533"/>
      <c r="T62" s="533"/>
      <c r="U62" s="533"/>
      <c r="V62" s="533"/>
      <c r="W62" s="533"/>
      <c r="X62" s="533"/>
      <c r="Y62" s="533"/>
      <c r="Z62" s="533"/>
      <c r="AA62" s="533"/>
      <c r="AB62" s="533"/>
      <c r="AC62" s="533"/>
      <c r="AD62" s="533"/>
      <c r="AE62" s="533"/>
      <c r="AF62" s="533"/>
      <c r="AG62" s="533"/>
      <c r="AH62" s="533"/>
      <c r="AI62" s="533"/>
      <c r="AJ62" s="533"/>
      <c r="AK62" s="533"/>
      <c r="AL62" s="533"/>
      <c r="AM62" s="533"/>
      <c r="AN62" s="533"/>
      <c r="AO62" s="533"/>
      <c r="AP62" s="533"/>
      <c r="AQ62" s="533"/>
      <c r="AR62" s="533"/>
      <c r="AS62" s="533"/>
      <c r="AT62" s="533"/>
      <c r="AU62" s="533"/>
      <c r="AV62" s="533"/>
      <c r="AW62" s="533"/>
      <c r="AX62" s="533"/>
      <c r="AY62" s="533"/>
      <c r="AZ62" s="533"/>
      <c r="BA62" s="533"/>
      <c r="BB62" s="533"/>
      <c r="BC62" s="533"/>
      <c r="BD62" s="533"/>
      <c r="BE62" s="533"/>
      <c r="BF62" s="533"/>
      <c r="BG62" s="533"/>
      <c r="BH62" s="533"/>
      <c r="BI62" s="533"/>
      <c r="BJ62" s="533"/>
      <c r="BK62" s="533"/>
      <c r="BL62" s="533"/>
      <c r="BM62" s="533"/>
      <c r="BN62" s="533"/>
      <c r="BO62" s="533"/>
      <c r="BP62" s="533"/>
      <c r="BQ62" s="533"/>
      <c r="BR62" s="533"/>
      <c r="BS62" s="533"/>
      <c r="BT62" s="533"/>
      <c r="BU62" s="533"/>
      <c r="BV62" s="533"/>
      <c r="BW62" s="533"/>
      <c r="BX62" s="533"/>
      <c r="BY62" s="533"/>
      <c r="BZ62" s="533"/>
      <c r="CA62" s="533"/>
      <c r="CB62" s="533"/>
      <c r="CC62" s="533"/>
      <c r="CD62" s="533"/>
      <c r="CE62" s="533"/>
      <c r="CF62" s="533"/>
      <c r="CG62" s="533"/>
      <c r="CH62" s="533"/>
      <c r="CI62" s="533"/>
      <c r="CJ62" s="533"/>
      <c r="CK62" s="533"/>
      <c r="CL62" s="533"/>
      <c r="CM62" s="533"/>
      <c r="CN62" s="533"/>
      <c r="CO62" s="533"/>
      <c r="CP62" s="533"/>
      <c r="CQ62" s="533"/>
      <c r="CR62" s="533"/>
      <c r="CS62" s="533"/>
      <c r="CT62" s="533"/>
      <c r="CU62" s="533"/>
      <c r="CV62" s="533"/>
      <c r="CW62" s="533"/>
      <c r="CX62" s="533"/>
      <c r="CY62" s="533"/>
      <c r="CZ62" s="533"/>
      <c r="DA62" s="533"/>
      <c r="DB62" s="533"/>
      <c r="DC62" s="533"/>
      <c r="DD62" s="533"/>
      <c r="DE62" s="533"/>
      <c r="DF62" s="533"/>
      <c r="DG62" s="533"/>
      <c r="DH62" s="533"/>
      <c r="DI62" s="533"/>
      <c r="DJ62" s="512"/>
    </row>
    <row r="63" spans="3:114" x14ac:dyDescent="0.3">
      <c r="C63" s="515"/>
      <c r="D63" s="515"/>
      <c r="E63" s="515"/>
      <c r="F63" s="515"/>
      <c r="G63" s="515"/>
      <c r="H63" s="515"/>
      <c r="I63" s="515"/>
      <c r="J63" s="515"/>
      <c r="K63" s="515"/>
      <c r="L63" s="515"/>
      <c r="M63" s="515"/>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row>
    <row r="64" spans="3:114" s="513" customFormat="1" ht="11.25" customHeight="1" x14ac:dyDescent="0.3">
      <c r="C64" s="536"/>
      <c r="D64" s="511"/>
      <c r="E64" s="511"/>
      <c r="F64" s="511"/>
      <c r="G64" s="511"/>
      <c r="H64" s="511"/>
      <c r="I64" s="511"/>
      <c r="J64" s="511"/>
      <c r="K64" s="511"/>
      <c r="L64" s="511"/>
      <c r="M64" s="511"/>
      <c r="N64" s="511"/>
      <c r="O64" s="511"/>
      <c r="P64" s="511"/>
      <c r="Q64" s="511"/>
      <c r="R64" s="511"/>
      <c r="S64" s="511"/>
      <c r="T64" s="511"/>
      <c r="U64" s="511"/>
      <c r="V64" s="511"/>
      <c r="W64" s="511"/>
      <c r="X64" s="511"/>
      <c r="Y64" s="511"/>
      <c r="Z64" s="511"/>
      <c r="AA64" s="511"/>
      <c r="AB64" s="511"/>
      <c r="AC64" s="511"/>
      <c r="AD64" s="511"/>
      <c r="AE64" s="511"/>
      <c r="AF64" s="511"/>
      <c r="AG64" s="511"/>
      <c r="AH64" s="511"/>
      <c r="AI64" s="511"/>
      <c r="AJ64" s="511"/>
      <c r="AK64" s="511"/>
      <c r="AL64" s="511"/>
      <c r="AM64" s="511"/>
      <c r="AN64" s="511"/>
      <c r="AO64" s="511"/>
      <c r="AP64" s="511"/>
      <c r="AQ64" s="511"/>
      <c r="AR64" s="511"/>
      <c r="AS64" s="511"/>
      <c r="AT64" s="511"/>
      <c r="AU64" s="511"/>
      <c r="AV64" s="511"/>
      <c r="AW64" s="511"/>
      <c r="AX64" s="511"/>
      <c r="AY64" s="511"/>
      <c r="AZ64" s="511"/>
      <c r="BA64" s="511"/>
      <c r="BB64" s="511"/>
      <c r="BC64" s="511"/>
      <c r="BD64" s="511"/>
      <c r="BE64" s="511"/>
      <c r="BF64" s="511"/>
      <c r="BG64" s="511"/>
      <c r="BH64" s="511"/>
      <c r="BI64" s="511"/>
      <c r="BJ64" s="511"/>
      <c r="BK64" s="511"/>
      <c r="BL64" s="511"/>
      <c r="BM64" s="511"/>
      <c r="BN64" s="511"/>
      <c r="BO64" s="511"/>
      <c r="BP64" s="511"/>
      <c r="BQ64" s="511"/>
      <c r="BR64" s="511"/>
      <c r="BS64" s="511"/>
      <c r="BT64" s="511"/>
      <c r="BU64" s="511"/>
      <c r="BV64" s="511"/>
      <c r="BW64" s="511"/>
      <c r="BX64" s="511"/>
      <c r="BY64" s="511"/>
      <c r="BZ64" s="511"/>
      <c r="CA64" s="511"/>
      <c r="CB64" s="511"/>
      <c r="CC64" s="511"/>
      <c r="CD64" s="511"/>
      <c r="CE64" s="511"/>
      <c r="CF64" s="511"/>
      <c r="CG64" s="511"/>
      <c r="CH64" s="511"/>
      <c r="CI64" s="511"/>
      <c r="CJ64" s="511"/>
      <c r="CK64" s="511"/>
      <c r="CL64" s="511"/>
      <c r="CM64" s="511"/>
      <c r="CN64" s="511"/>
      <c r="CO64" s="511"/>
      <c r="CP64" s="511"/>
      <c r="CQ64" s="511"/>
      <c r="CR64" s="511"/>
      <c r="CS64" s="511"/>
      <c r="CT64" s="511"/>
      <c r="CU64" s="511"/>
      <c r="CV64" s="511"/>
      <c r="CW64" s="511"/>
      <c r="CX64" s="511"/>
      <c r="CY64" s="511"/>
      <c r="CZ64" s="511"/>
      <c r="DA64" s="511"/>
      <c r="DB64" s="511"/>
      <c r="DC64" s="511"/>
      <c r="DD64" s="511"/>
      <c r="DE64" s="511"/>
      <c r="DF64" s="511"/>
      <c r="DG64" s="511"/>
      <c r="DH64" s="511"/>
      <c r="DI64" s="511"/>
      <c r="DJ64" s="512"/>
    </row>
    <row r="65" spans="3:114" ht="24.75" customHeight="1" x14ac:dyDescent="0.3">
      <c r="C65" s="512"/>
      <c r="D65" s="515"/>
      <c r="E65" s="1218" t="str">
        <f ca="1">' '!A235</f>
        <v xml:space="preserve">External financing </v>
      </c>
      <c r="F65" s="1218"/>
      <c r="G65" s="1218"/>
      <c r="H65" s="1218"/>
      <c r="I65" s="1218"/>
      <c r="J65" s="1218"/>
      <c r="K65" s="1218"/>
      <c r="L65" s="1218"/>
      <c r="M65" s="1218"/>
      <c r="N65" s="1218"/>
      <c r="O65" s="1218"/>
      <c r="P65" s="1218"/>
      <c r="Q65" s="1218"/>
      <c r="R65" s="1218"/>
      <c r="S65" s="1218"/>
      <c r="T65" s="1218"/>
      <c r="U65" s="1218"/>
      <c r="V65" s="1218"/>
      <c r="W65" s="1218"/>
      <c r="X65" s="1218"/>
      <c r="Y65" s="1218"/>
      <c r="Z65" s="1218"/>
      <c r="AA65" s="1218"/>
      <c r="AB65" s="1218"/>
      <c r="AC65" s="1218"/>
      <c r="AD65" s="1218"/>
      <c r="AE65" s="1218"/>
      <c r="AF65" s="1218"/>
      <c r="AG65" s="1218"/>
      <c r="AH65" s="1218"/>
      <c r="AI65" s="1218"/>
      <c r="AJ65" s="1218"/>
      <c r="AK65" s="1218"/>
      <c r="AL65" s="1218"/>
      <c r="AM65" s="1218"/>
      <c r="AN65" s="1218"/>
      <c r="AO65" s="1218"/>
      <c r="AP65" s="1218"/>
      <c r="AQ65" s="516"/>
      <c r="AR65" s="517"/>
      <c r="AS65" s="517"/>
      <c r="AT65" s="1219" t="str">
        <f ca="1">AT28</f>
        <v>Plan [CHF]</v>
      </c>
      <c r="AU65" s="1219"/>
      <c r="AV65" s="1219"/>
      <c r="AW65" s="1219"/>
      <c r="AX65" s="1219"/>
      <c r="AY65" s="1219"/>
      <c r="AZ65" s="1219"/>
      <c r="BA65" s="1219"/>
      <c r="BB65" s="1219"/>
      <c r="BC65" s="1219"/>
      <c r="BD65" s="1219"/>
      <c r="BE65" s="1219"/>
      <c r="BF65" s="1219"/>
      <c r="BG65" s="518"/>
      <c r="BH65" s="519"/>
      <c r="BI65" s="519"/>
      <c r="BJ65" s="1219" t="str">
        <f ca="1">BJ28</f>
        <v>Actual state [CHF]</v>
      </c>
      <c r="BK65" s="1219"/>
      <c r="BL65" s="1219"/>
      <c r="BM65" s="1219"/>
      <c r="BN65" s="1219"/>
      <c r="BO65" s="1219"/>
      <c r="BP65" s="1219"/>
      <c r="BQ65" s="1219"/>
      <c r="BR65" s="1219"/>
      <c r="BS65" s="1219"/>
      <c r="BT65" s="1219"/>
      <c r="BU65" s="1219"/>
      <c r="BV65" s="1219"/>
      <c r="BW65" s="518"/>
      <c r="BX65" s="519"/>
      <c r="BY65" s="519"/>
      <c r="BZ65" s="1219" t="str">
        <f ca="1">BZ28</f>
        <v>Balance [CHF]</v>
      </c>
      <c r="CA65" s="1219"/>
      <c r="CB65" s="1219"/>
      <c r="CC65" s="1219"/>
      <c r="CD65" s="1219"/>
      <c r="CE65" s="1219"/>
      <c r="CF65" s="1219"/>
      <c r="CG65" s="1219"/>
      <c r="CH65" s="1219"/>
      <c r="CI65" s="1219"/>
      <c r="CJ65" s="1219"/>
      <c r="CK65" s="1219"/>
      <c r="CL65" s="1219"/>
      <c r="CM65" s="520"/>
      <c r="CN65" s="521"/>
      <c r="CO65" s="1220" t="str">
        <f ca="1">CO28</f>
        <v>Remarks</v>
      </c>
      <c r="CP65" s="1220"/>
      <c r="CQ65" s="1220"/>
      <c r="CR65" s="1220"/>
      <c r="CS65" s="1220"/>
      <c r="CT65" s="1220"/>
      <c r="CU65" s="1220"/>
      <c r="CV65" s="1220"/>
      <c r="CW65" s="1220"/>
      <c r="CX65" s="1220"/>
      <c r="CY65" s="1220"/>
      <c r="CZ65" s="1220"/>
      <c r="DA65" s="1220"/>
      <c r="DB65" s="1220"/>
      <c r="DC65" s="1220"/>
      <c r="DD65" s="1220"/>
      <c r="DE65" s="1220"/>
      <c r="DF65" s="1220"/>
      <c r="DG65" s="1220"/>
      <c r="DH65" s="1220"/>
      <c r="DJ65" s="512"/>
    </row>
    <row r="66" spans="3:114" ht="7.5" customHeight="1" x14ac:dyDescent="0.3">
      <c r="C66" s="512"/>
      <c r="D66" s="515"/>
      <c r="E66" s="522"/>
      <c r="F66" s="522"/>
      <c r="G66" s="522"/>
      <c r="H66" s="522"/>
      <c r="I66" s="522"/>
      <c r="J66" s="522"/>
      <c r="K66" s="522"/>
      <c r="L66" s="522"/>
      <c r="M66" s="522"/>
      <c r="N66" s="522"/>
      <c r="O66" s="522"/>
      <c r="P66" s="522"/>
      <c r="Q66" s="522"/>
      <c r="R66" s="522"/>
      <c r="S66" s="522"/>
      <c r="T66" s="522"/>
      <c r="U66" s="522"/>
      <c r="V66" s="522"/>
      <c r="W66" s="522"/>
      <c r="X66" s="522"/>
      <c r="Y66" s="522"/>
      <c r="Z66" s="522"/>
      <c r="AA66" s="522"/>
      <c r="AB66" s="522"/>
      <c r="AC66" s="522"/>
      <c r="AD66" s="522"/>
      <c r="AE66" s="522"/>
      <c r="AF66" s="522"/>
      <c r="AG66" s="522"/>
      <c r="AH66" s="522"/>
      <c r="AI66" s="522"/>
      <c r="AJ66" s="522"/>
      <c r="AK66" s="522"/>
      <c r="AL66" s="522"/>
      <c r="AM66" s="522"/>
      <c r="AN66" s="522"/>
      <c r="AO66" s="522"/>
      <c r="AP66" s="522"/>
      <c r="AQ66" s="522"/>
      <c r="AR66" s="522"/>
      <c r="AS66" s="522"/>
      <c r="AT66" s="522">
        <v>0</v>
      </c>
      <c r="AU66" s="522"/>
      <c r="AV66" s="522"/>
      <c r="AW66" s="522"/>
      <c r="AX66" s="522"/>
      <c r="AY66" s="522"/>
      <c r="AZ66" s="522"/>
      <c r="BA66" s="522"/>
      <c r="BB66" s="522"/>
      <c r="BC66" s="522"/>
      <c r="BD66" s="522"/>
      <c r="BE66" s="522"/>
      <c r="BF66" s="522"/>
      <c r="BG66" s="522"/>
      <c r="BH66" s="522"/>
      <c r="BI66" s="522"/>
      <c r="BJ66" s="522">
        <v>2</v>
      </c>
      <c r="BK66" s="522"/>
      <c r="BL66" s="522"/>
      <c r="BM66" s="522"/>
      <c r="BN66" s="522"/>
      <c r="BO66" s="522"/>
      <c r="BP66" s="522"/>
      <c r="BQ66" s="522"/>
      <c r="BR66" s="522"/>
      <c r="BS66" s="522"/>
      <c r="BT66" s="522"/>
      <c r="BU66" s="522"/>
      <c r="BV66" s="522"/>
      <c r="BW66" s="522"/>
      <c r="BX66" s="522"/>
      <c r="BY66" s="522"/>
      <c r="BZ66" s="522">
        <v>0</v>
      </c>
      <c r="CA66" s="522"/>
      <c r="CB66" s="522"/>
      <c r="CC66" s="522"/>
      <c r="CD66" s="522"/>
      <c r="CE66" s="522"/>
      <c r="CF66" s="522"/>
      <c r="CG66" s="522"/>
      <c r="CH66" s="522"/>
      <c r="CI66" s="522"/>
      <c r="CJ66" s="522"/>
      <c r="CK66" s="522"/>
      <c r="CL66" s="522"/>
      <c r="CM66" s="522"/>
      <c r="CN66" s="522"/>
      <c r="CO66" s="522">
        <v>0</v>
      </c>
      <c r="CP66" s="522"/>
      <c r="CQ66" s="522"/>
      <c r="CR66" s="522"/>
      <c r="CS66" s="522"/>
      <c r="CT66" s="522"/>
      <c r="CU66" s="522"/>
      <c r="CV66" s="522"/>
      <c r="CW66" s="522"/>
      <c r="CX66" s="522"/>
      <c r="CY66" s="522"/>
      <c r="CZ66" s="522"/>
      <c r="DA66" s="522"/>
      <c r="DB66" s="522"/>
      <c r="DC66" s="522"/>
      <c r="DD66" s="522"/>
      <c r="DE66" s="522"/>
      <c r="DF66" s="522"/>
      <c r="DG66" s="522"/>
      <c r="DH66" s="522"/>
      <c r="DI66" s="503"/>
      <c r="DJ66" s="512"/>
    </row>
    <row r="67" spans="3:114" ht="18.75" customHeight="1" x14ac:dyDescent="0.3">
      <c r="C67" s="512"/>
      <c r="D67" s="523">
        <v>1</v>
      </c>
      <c r="E67" s="1204"/>
      <c r="F67" s="1205"/>
      <c r="G67" s="1205"/>
      <c r="H67" s="1205"/>
      <c r="I67" s="1205"/>
      <c r="J67" s="1205"/>
      <c r="K67" s="1205"/>
      <c r="L67" s="1205"/>
      <c r="M67" s="1205"/>
      <c r="N67" s="1205"/>
      <c r="O67" s="1205"/>
      <c r="P67" s="1205"/>
      <c r="Q67" s="1205"/>
      <c r="R67" s="1205"/>
      <c r="S67" s="1205"/>
      <c r="T67" s="1205"/>
      <c r="U67" s="1205"/>
      <c r="V67" s="1205"/>
      <c r="W67" s="1205"/>
      <c r="X67" s="1205"/>
      <c r="Y67" s="1205"/>
      <c r="Z67" s="1205"/>
      <c r="AA67" s="1205"/>
      <c r="AB67" s="1205"/>
      <c r="AC67" s="1205"/>
      <c r="AD67" s="1205"/>
      <c r="AE67" s="1205"/>
      <c r="AF67" s="1205"/>
      <c r="AG67" s="1205"/>
      <c r="AH67" s="1205"/>
      <c r="AI67" s="1205"/>
      <c r="AJ67" s="1205"/>
      <c r="AK67" s="1205"/>
      <c r="AL67" s="1205"/>
      <c r="AM67" s="1205"/>
      <c r="AN67" s="1205"/>
      <c r="AO67" s="1205"/>
      <c r="AP67" s="1205"/>
      <c r="AQ67" s="524"/>
      <c r="AR67" s="525"/>
      <c r="AS67" s="525"/>
      <c r="AT67" s="1206"/>
      <c r="AU67" s="1207"/>
      <c r="AV67" s="1207"/>
      <c r="AW67" s="1207"/>
      <c r="AX67" s="1207"/>
      <c r="AY67" s="1207"/>
      <c r="AZ67" s="1207"/>
      <c r="BA67" s="1207"/>
      <c r="BB67" s="1207"/>
      <c r="BC67" s="1207"/>
      <c r="BD67" s="1207"/>
      <c r="BE67" s="1207"/>
      <c r="BF67" s="1207"/>
      <c r="BG67" s="526"/>
      <c r="BH67" s="527"/>
      <c r="BI67" s="527"/>
      <c r="BJ67" s="1206">
        <v>0</v>
      </c>
      <c r="BK67" s="1207"/>
      <c r="BL67" s="1207"/>
      <c r="BM67" s="1207"/>
      <c r="BN67" s="1207"/>
      <c r="BO67" s="1207"/>
      <c r="BP67" s="1207"/>
      <c r="BQ67" s="1207"/>
      <c r="BR67" s="1207"/>
      <c r="BS67" s="1207"/>
      <c r="BT67" s="1207"/>
      <c r="BU67" s="1207"/>
      <c r="BV67" s="1207"/>
      <c r="BW67" s="526"/>
      <c r="BX67" s="527"/>
      <c r="BY67" s="527"/>
      <c r="BZ67" s="1208">
        <f t="shared" ref="BZ67:BZ77" si="3">AT67-BJ67</f>
        <v>0</v>
      </c>
      <c r="CA67" s="1209"/>
      <c r="CB67" s="1209"/>
      <c r="CC67" s="1209"/>
      <c r="CD67" s="1209"/>
      <c r="CE67" s="1209"/>
      <c r="CF67" s="1209"/>
      <c r="CG67" s="1209"/>
      <c r="CH67" s="1209"/>
      <c r="CI67" s="1209"/>
      <c r="CJ67" s="1209"/>
      <c r="CK67" s="1209"/>
      <c r="CL67" s="1209"/>
      <c r="CM67" s="524"/>
      <c r="CN67" s="525"/>
      <c r="CO67" s="1221" t="str">
        <f ca="1">' '!A236</f>
        <v>External financing (eg customers, subsidies etc.)</v>
      </c>
      <c r="CP67" s="1222"/>
      <c r="CQ67" s="1222"/>
      <c r="CR67" s="1222"/>
      <c r="CS67" s="1222"/>
      <c r="CT67" s="1222"/>
      <c r="CU67" s="1222"/>
      <c r="CV67" s="1222"/>
      <c r="CW67" s="1222"/>
      <c r="CX67" s="1222"/>
      <c r="CY67" s="1222"/>
      <c r="CZ67" s="1222"/>
      <c r="DA67" s="1222"/>
      <c r="DB67" s="1222"/>
      <c r="DC67" s="1222"/>
      <c r="DD67" s="1222"/>
      <c r="DE67" s="1222"/>
      <c r="DF67" s="1222"/>
      <c r="DG67" s="1222"/>
      <c r="DH67" s="1222"/>
      <c r="DJ67" s="512"/>
    </row>
    <row r="68" spans="3:114" ht="18.75" customHeight="1" x14ac:dyDescent="0.3">
      <c r="C68" s="512"/>
      <c r="D68" s="523">
        <v>2</v>
      </c>
      <c r="E68" s="1204"/>
      <c r="F68" s="1205"/>
      <c r="G68" s="1205"/>
      <c r="H68" s="1205"/>
      <c r="I68" s="1205"/>
      <c r="J68" s="1205"/>
      <c r="K68" s="1205"/>
      <c r="L68" s="1205"/>
      <c r="M68" s="1205"/>
      <c r="N68" s="1205"/>
      <c r="O68" s="1205"/>
      <c r="P68" s="1205"/>
      <c r="Q68" s="1205"/>
      <c r="R68" s="1205"/>
      <c r="S68" s="1205"/>
      <c r="T68" s="1205"/>
      <c r="U68" s="1205"/>
      <c r="V68" s="1205"/>
      <c r="W68" s="1205"/>
      <c r="X68" s="1205"/>
      <c r="Y68" s="1205"/>
      <c r="Z68" s="1205"/>
      <c r="AA68" s="1205"/>
      <c r="AB68" s="1205"/>
      <c r="AC68" s="1205"/>
      <c r="AD68" s="1205"/>
      <c r="AE68" s="1205"/>
      <c r="AF68" s="1205"/>
      <c r="AG68" s="1205"/>
      <c r="AH68" s="1205"/>
      <c r="AI68" s="1205"/>
      <c r="AJ68" s="1205"/>
      <c r="AK68" s="1205"/>
      <c r="AL68" s="1205"/>
      <c r="AM68" s="1205"/>
      <c r="AN68" s="1205"/>
      <c r="AO68" s="1205"/>
      <c r="AP68" s="1205"/>
      <c r="AQ68" s="524"/>
      <c r="AR68" s="525"/>
      <c r="AS68" s="525"/>
      <c r="AT68" s="1206">
        <v>0</v>
      </c>
      <c r="AU68" s="1207"/>
      <c r="AV68" s="1207"/>
      <c r="AW68" s="1207"/>
      <c r="AX68" s="1207"/>
      <c r="AY68" s="1207"/>
      <c r="AZ68" s="1207"/>
      <c r="BA68" s="1207"/>
      <c r="BB68" s="1207"/>
      <c r="BC68" s="1207"/>
      <c r="BD68" s="1207"/>
      <c r="BE68" s="1207"/>
      <c r="BF68" s="1207"/>
      <c r="BG68" s="526"/>
      <c r="BH68" s="527"/>
      <c r="BI68" s="527"/>
      <c r="BJ68" s="1206">
        <v>0</v>
      </c>
      <c r="BK68" s="1207"/>
      <c r="BL68" s="1207"/>
      <c r="BM68" s="1207"/>
      <c r="BN68" s="1207"/>
      <c r="BO68" s="1207"/>
      <c r="BP68" s="1207"/>
      <c r="BQ68" s="1207"/>
      <c r="BR68" s="1207"/>
      <c r="BS68" s="1207"/>
      <c r="BT68" s="1207"/>
      <c r="BU68" s="1207"/>
      <c r="BV68" s="1207"/>
      <c r="BW68" s="526"/>
      <c r="BX68" s="527"/>
      <c r="BY68" s="527"/>
      <c r="BZ68" s="1208">
        <f t="shared" si="3"/>
        <v>0</v>
      </c>
      <c r="CA68" s="1209"/>
      <c r="CB68" s="1209"/>
      <c r="CC68" s="1209"/>
      <c r="CD68" s="1209"/>
      <c r="CE68" s="1209"/>
      <c r="CF68" s="1209"/>
      <c r="CG68" s="1209"/>
      <c r="CH68" s="1209"/>
      <c r="CI68" s="1209"/>
      <c r="CJ68" s="1209"/>
      <c r="CK68" s="1209"/>
      <c r="CL68" s="1209"/>
      <c r="CM68" s="524"/>
      <c r="CN68" s="525"/>
      <c r="CO68" s="1210"/>
      <c r="CP68" s="1211"/>
      <c r="CQ68" s="1211"/>
      <c r="CR68" s="1211"/>
      <c r="CS68" s="1211"/>
      <c r="CT68" s="1211"/>
      <c r="CU68" s="1211"/>
      <c r="CV68" s="1211"/>
      <c r="CW68" s="1211"/>
      <c r="CX68" s="1211"/>
      <c r="CY68" s="1211"/>
      <c r="CZ68" s="1211"/>
      <c r="DA68" s="1211"/>
      <c r="DB68" s="1211"/>
      <c r="DC68" s="1211"/>
      <c r="DD68" s="1211"/>
      <c r="DE68" s="1211"/>
      <c r="DF68" s="1211"/>
      <c r="DG68" s="1211"/>
      <c r="DH68" s="1211"/>
      <c r="DJ68" s="512"/>
    </row>
    <row r="69" spans="3:114" ht="18.75" customHeight="1" x14ac:dyDescent="0.3">
      <c r="C69" s="512"/>
      <c r="D69" s="523">
        <v>3</v>
      </c>
      <c r="E69" s="1204"/>
      <c r="F69" s="1205"/>
      <c r="G69" s="1205"/>
      <c r="H69" s="1205"/>
      <c r="I69" s="1205"/>
      <c r="J69" s="1205"/>
      <c r="K69" s="1205"/>
      <c r="L69" s="1205"/>
      <c r="M69" s="1205"/>
      <c r="N69" s="1205"/>
      <c r="O69" s="1205"/>
      <c r="P69" s="1205"/>
      <c r="Q69" s="1205"/>
      <c r="R69" s="1205"/>
      <c r="S69" s="1205"/>
      <c r="T69" s="1205"/>
      <c r="U69" s="1205"/>
      <c r="V69" s="1205"/>
      <c r="W69" s="1205"/>
      <c r="X69" s="1205"/>
      <c r="Y69" s="1205"/>
      <c r="Z69" s="1205"/>
      <c r="AA69" s="1205"/>
      <c r="AB69" s="1205"/>
      <c r="AC69" s="1205"/>
      <c r="AD69" s="1205"/>
      <c r="AE69" s="1205"/>
      <c r="AF69" s="1205"/>
      <c r="AG69" s="1205"/>
      <c r="AH69" s="1205"/>
      <c r="AI69" s="1205"/>
      <c r="AJ69" s="1205"/>
      <c r="AK69" s="1205"/>
      <c r="AL69" s="1205"/>
      <c r="AM69" s="1205"/>
      <c r="AN69" s="1205"/>
      <c r="AO69" s="1205"/>
      <c r="AP69" s="1205"/>
      <c r="AQ69" s="524"/>
      <c r="AR69" s="525"/>
      <c r="AS69" s="525"/>
      <c r="AT69" s="1206">
        <v>0</v>
      </c>
      <c r="AU69" s="1207"/>
      <c r="AV69" s="1207"/>
      <c r="AW69" s="1207"/>
      <c r="AX69" s="1207"/>
      <c r="AY69" s="1207"/>
      <c r="AZ69" s="1207"/>
      <c r="BA69" s="1207"/>
      <c r="BB69" s="1207"/>
      <c r="BC69" s="1207"/>
      <c r="BD69" s="1207"/>
      <c r="BE69" s="1207"/>
      <c r="BF69" s="1207"/>
      <c r="BG69" s="526"/>
      <c r="BH69" s="527"/>
      <c r="BI69" s="527"/>
      <c r="BJ69" s="1206">
        <v>0</v>
      </c>
      <c r="BK69" s="1207"/>
      <c r="BL69" s="1207"/>
      <c r="BM69" s="1207"/>
      <c r="BN69" s="1207"/>
      <c r="BO69" s="1207"/>
      <c r="BP69" s="1207"/>
      <c r="BQ69" s="1207"/>
      <c r="BR69" s="1207"/>
      <c r="BS69" s="1207"/>
      <c r="BT69" s="1207"/>
      <c r="BU69" s="1207"/>
      <c r="BV69" s="1207"/>
      <c r="BW69" s="526"/>
      <c r="BX69" s="527"/>
      <c r="BY69" s="527"/>
      <c r="BZ69" s="1208">
        <f t="shared" si="3"/>
        <v>0</v>
      </c>
      <c r="CA69" s="1209"/>
      <c r="CB69" s="1209"/>
      <c r="CC69" s="1209"/>
      <c r="CD69" s="1209"/>
      <c r="CE69" s="1209"/>
      <c r="CF69" s="1209"/>
      <c r="CG69" s="1209"/>
      <c r="CH69" s="1209"/>
      <c r="CI69" s="1209"/>
      <c r="CJ69" s="1209"/>
      <c r="CK69" s="1209"/>
      <c r="CL69" s="1209"/>
      <c r="CM69" s="524"/>
      <c r="CN69" s="525"/>
      <c r="CO69" s="1210"/>
      <c r="CP69" s="1211"/>
      <c r="CQ69" s="1211"/>
      <c r="CR69" s="1211"/>
      <c r="CS69" s="1211"/>
      <c r="CT69" s="1211"/>
      <c r="CU69" s="1211"/>
      <c r="CV69" s="1211"/>
      <c r="CW69" s="1211"/>
      <c r="CX69" s="1211"/>
      <c r="CY69" s="1211"/>
      <c r="CZ69" s="1211"/>
      <c r="DA69" s="1211"/>
      <c r="DB69" s="1211"/>
      <c r="DC69" s="1211"/>
      <c r="DD69" s="1211"/>
      <c r="DE69" s="1211"/>
      <c r="DF69" s="1211"/>
      <c r="DG69" s="1211"/>
      <c r="DH69" s="1211"/>
      <c r="DJ69" s="512"/>
    </row>
    <row r="70" spans="3:114" ht="18.75" customHeight="1" x14ac:dyDescent="0.3">
      <c r="C70" s="512"/>
      <c r="D70" s="523">
        <v>4</v>
      </c>
      <c r="E70" s="1204"/>
      <c r="F70" s="1205"/>
      <c r="G70" s="1205"/>
      <c r="H70" s="1205"/>
      <c r="I70" s="1205"/>
      <c r="J70" s="1205"/>
      <c r="K70" s="1205"/>
      <c r="L70" s="1205"/>
      <c r="M70" s="1205"/>
      <c r="N70" s="1205"/>
      <c r="O70" s="1205"/>
      <c r="P70" s="1205"/>
      <c r="Q70" s="1205"/>
      <c r="R70" s="1205"/>
      <c r="S70" s="1205"/>
      <c r="T70" s="1205"/>
      <c r="U70" s="1205"/>
      <c r="V70" s="1205"/>
      <c r="W70" s="1205"/>
      <c r="X70" s="1205"/>
      <c r="Y70" s="1205"/>
      <c r="Z70" s="1205"/>
      <c r="AA70" s="1205"/>
      <c r="AB70" s="1205"/>
      <c r="AC70" s="1205"/>
      <c r="AD70" s="1205"/>
      <c r="AE70" s="1205"/>
      <c r="AF70" s="1205"/>
      <c r="AG70" s="1205"/>
      <c r="AH70" s="1205"/>
      <c r="AI70" s="1205"/>
      <c r="AJ70" s="1205"/>
      <c r="AK70" s="1205"/>
      <c r="AL70" s="1205"/>
      <c r="AM70" s="1205"/>
      <c r="AN70" s="1205"/>
      <c r="AO70" s="1205"/>
      <c r="AP70" s="1205"/>
      <c r="AQ70" s="524"/>
      <c r="AR70" s="525"/>
      <c r="AS70" s="525"/>
      <c r="AT70" s="1206">
        <v>0</v>
      </c>
      <c r="AU70" s="1207"/>
      <c r="AV70" s="1207"/>
      <c r="AW70" s="1207"/>
      <c r="AX70" s="1207"/>
      <c r="AY70" s="1207"/>
      <c r="AZ70" s="1207"/>
      <c r="BA70" s="1207"/>
      <c r="BB70" s="1207"/>
      <c r="BC70" s="1207"/>
      <c r="BD70" s="1207"/>
      <c r="BE70" s="1207"/>
      <c r="BF70" s="1207"/>
      <c r="BG70" s="526"/>
      <c r="BH70" s="527"/>
      <c r="BI70" s="527"/>
      <c r="BJ70" s="1206">
        <v>0</v>
      </c>
      <c r="BK70" s="1207"/>
      <c r="BL70" s="1207"/>
      <c r="BM70" s="1207"/>
      <c r="BN70" s="1207"/>
      <c r="BO70" s="1207"/>
      <c r="BP70" s="1207"/>
      <c r="BQ70" s="1207"/>
      <c r="BR70" s="1207"/>
      <c r="BS70" s="1207"/>
      <c r="BT70" s="1207"/>
      <c r="BU70" s="1207"/>
      <c r="BV70" s="1207"/>
      <c r="BW70" s="526"/>
      <c r="BX70" s="527"/>
      <c r="BY70" s="527"/>
      <c r="BZ70" s="1208">
        <f t="shared" si="3"/>
        <v>0</v>
      </c>
      <c r="CA70" s="1209"/>
      <c r="CB70" s="1209"/>
      <c r="CC70" s="1209"/>
      <c r="CD70" s="1209"/>
      <c r="CE70" s="1209"/>
      <c r="CF70" s="1209"/>
      <c r="CG70" s="1209"/>
      <c r="CH70" s="1209"/>
      <c r="CI70" s="1209"/>
      <c r="CJ70" s="1209"/>
      <c r="CK70" s="1209"/>
      <c r="CL70" s="1209"/>
      <c r="CM70" s="524"/>
      <c r="CN70" s="525"/>
      <c r="CO70" s="1210"/>
      <c r="CP70" s="1211"/>
      <c r="CQ70" s="1211"/>
      <c r="CR70" s="1211"/>
      <c r="CS70" s="1211"/>
      <c r="CT70" s="1211"/>
      <c r="CU70" s="1211"/>
      <c r="CV70" s="1211"/>
      <c r="CW70" s="1211"/>
      <c r="CX70" s="1211"/>
      <c r="CY70" s="1211"/>
      <c r="CZ70" s="1211"/>
      <c r="DA70" s="1211"/>
      <c r="DB70" s="1211"/>
      <c r="DC70" s="1211"/>
      <c r="DD70" s="1211"/>
      <c r="DE70" s="1211"/>
      <c r="DF70" s="1211"/>
      <c r="DG70" s="1211"/>
      <c r="DH70" s="1211"/>
      <c r="DI70" s="503"/>
      <c r="DJ70" s="512"/>
    </row>
    <row r="71" spans="3:114" ht="18.75" customHeight="1" x14ac:dyDescent="0.3">
      <c r="C71" s="512"/>
      <c r="D71" s="523">
        <v>5</v>
      </c>
      <c r="E71" s="1204"/>
      <c r="F71" s="1205"/>
      <c r="G71" s="1205"/>
      <c r="H71" s="1205"/>
      <c r="I71" s="1205"/>
      <c r="J71" s="1205"/>
      <c r="K71" s="1205"/>
      <c r="L71" s="1205"/>
      <c r="M71" s="1205"/>
      <c r="N71" s="1205"/>
      <c r="O71" s="1205"/>
      <c r="P71" s="1205"/>
      <c r="Q71" s="1205"/>
      <c r="R71" s="1205"/>
      <c r="S71" s="1205"/>
      <c r="T71" s="1205"/>
      <c r="U71" s="1205"/>
      <c r="V71" s="1205"/>
      <c r="W71" s="1205"/>
      <c r="X71" s="1205"/>
      <c r="Y71" s="1205"/>
      <c r="Z71" s="1205"/>
      <c r="AA71" s="1205"/>
      <c r="AB71" s="1205"/>
      <c r="AC71" s="1205"/>
      <c r="AD71" s="1205"/>
      <c r="AE71" s="1205"/>
      <c r="AF71" s="1205"/>
      <c r="AG71" s="1205"/>
      <c r="AH71" s="1205"/>
      <c r="AI71" s="1205"/>
      <c r="AJ71" s="1205"/>
      <c r="AK71" s="1205"/>
      <c r="AL71" s="1205"/>
      <c r="AM71" s="1205"/>
      <c r="AN71" s="1205"/>
      <c r="AO71" s="1205"/>
      <c r="AP71" s="1205"/>
      <c r="AQ71" s="524"/>
      <c r="AR71" s="525"/>
      <c r="AS71" s="525"/>
      <c r="AT71" s="1206">
        <v>0</v>
      </c>
      <c r="AU71" s="1207"/>
      <c r="AV71" s="1207"/>
      <c r="AW71" s="1207"/>
      <c r="AX71" s="1207"/>
      <c r="AY71" s="1207"/>
      <c r="AZ71" s="1207"/>
      <c r="BA71" s="1207"/>
      <c r="BB71" s="1207"/>
      <c r="BC71" s="1207"/>
      <c r="BD71" s="1207"/>
      <c r="BE71" s="1207"/>
      <c r="BF71" s="1207"/>
      <c r="BG71" s="526"/>
      <c r="BH71" s="527"/>
      <c r="BI71" s="527"/>
      <c r="BJ71" s="1206">
        <v>0</v>
      </c>
      <c r="BK71" s="1207"/>
      <c r="BL71" s="1207"/>
      <c r="BM71" s="1207"/>
      <c r="BN71" s="1207"/>
      <c r="BO71" s="1207"/>
      <c r="BP71" s="1207"/>
      <c r="BQ71" s="1207"/>
      <c r="BR71" s="1207"/>
      <c r="BS71" s="1207"/>
      <c r="BT71" s="1207"/>
      <c r="BU71" s="1207"/>
      <c r="BV71" s="1207"/>
      <c r="BW71" s="526"/>
      <c r="BX71" s="527"/>
      <c r="BY71" s="527"/>
      <c r="BZ71" s="1208">
        <f t="shared" si="3"/>
        <v>0</v>
      </c>
      <c r="CA71" s="1209"/>
      <c r="CB71" s="1209"/>
      <c r="CC71" s="1209"/>
      <c r="CD71" s="1209"/>
      <c r="CE71" s="1209"/>
      <c r="CF71" s="1209"/>
      <c r="CG71" s="1209"/>
      <c r="CH71" s="1209"/>
      <c r="CI71" s="1209"/>
      <c r="CJ71" s="1209"/>
      <c r="CK71" s="1209"/>
      <c r="CL71" s="1209"/>
      <c r="CM71" s="524"/>
      <c r="CN71" s="525"/>
      <c r="CO71" s="1210"/>
      <c r="CP71" s="1211"/>
      <c r="CQ71" s="1211"/>
      <c r="CR71" s="1211"/>
      <c r="CS71" s="1211"/>
      <c r="CT71" s="1211"/>
      <c r="CU71" s="1211"/>
      <c r="CV71" s="1211"/>
      <c r="CW71" s="1211"/>
      <c r="CX71" s="1211"/>
      <c r="CY71" s="1211"/>
      <c r="CZ71" s="1211"/>
      <c r="DA71" s="1211"/>
      <c r="DB71" s="1211"/>
      <c r="DC71" s="1211"/>
      <c r="DD71" s="1211"/>
      <c r="DE71" s="1211"/>
      <c r="DF71" s="1211"/>
      <c r="DG71" s="1211"/>
      <c r="DH71" s="1211"/>
      <c r="DJ71" s="512"/>
    </row>
    <row r="72" spans="3:114" ht="18.75" customHeight="1" x14ac:dyDescent="0.3">
      <c r="C72" s="512"/>
      <c r="D72" s="523">
        <v>6</v>
      </c>
      <c r="E72" s="1204"/>
      <c r="F72" s="1205"/>
      <c r="G72" s="1205"/>
      <c r="H72" s="1205"/>
      <c r="I72" s="1205"/>
      <c r="J72" s="1205"/>
      <c r="K72" s="1205"/>
      <c r="L72" s="1205"/>
      <c r="M72" s="1205"/>
      <c r="N72" s="1205"/>
      <c r="O72" s="1205"/>
      <c r="P72" s="1205"/>
      <c r="Q72" s="1205"/>
      <c r="R72" s="1205"/>
      <c r="S72" s="1205"/>
      <c r="T72" s="1205"/>
      <c r="U72" s="1205"/>
      <c r="V72" s="1205"/>
      <c r="W72" s="1205"/>
      <c r="X72" s="1205"/>
      <c r="Y72" s="1205"/>
      <c r="Z72" s="1205"/>
      <c r="AA72" s="1205"/>
      <c r="AB72" s="1205"/>
      <c r="AC72" s="1205"/>
      <c r="AD72" s="1205"/>
      <c r="AE72" s="1205"/>
      <c r="AF72" s="1205"/>
      <c r="AG72" s="1205"/>
      <c r="AH72" s="1205"/>
      <c r="AI72" s="1205"/>
      <c r="AJ72" s="1205"/>
      <c r="AK72" s="1205"/>
      <c r="AL72" s="1205"/>
      <c r="AM72" s="1205"/>
      <c r="AN72" s="1205"/>
      <c r="AO72" s="1205"/>
      <c r="AP72" s="1205"/>
      <c r="AQ72" s="524"/>
      <c r="AR72" s="525"/>
      <c r="AS72" s="525"/>
      <c r="AT72" s="1206">
        <v>0</v>
      </c>
      <c r="AU72" s="1207"/>
      <c r="AV72" s="1207"/>
      <c r="AW72" s="1207"/>
      <c r="AX72" s="1207"/>
      <c r="AY72" s="1207"/>
      <c r="AZ72" s="1207"/>
      <c r="BA72" s="1207"/>
      <c r="BB72" s="1207"/>
      <c r="BC72" s="1207"/>
      <c r="BD72" s="1207"/>
      <c r="BE72" s="1207"/>
      <c r="BF72" s="1207"/>
      <c r="BG72" s="526"/>
      <c r="BH72" s="527"/>
      <c r="BI72" s="527"/>
      <c r="BJ72" s="1206">
        <v>0</v>
      </c>
      <c r="BK72" s="1207"/>
      <c r="BL72" s="1207"/>
      <c r="BM72" s="1207"/>
      <c r="BN72" s="1207"/>
      <c r="BO72" s="1207"/>
      <c r="BP72" s="1207"/>
      <c r="BQ72" s="1207"/>
      <c r="BR72" s="1207"/>
      <c r="BS72" s="1207"/>
      <c r="BT72" s="1207"/>
      <c r="BU72" s="1207"/>
      <c r="BV72" s="1207"/>
      <c r="BW72" s="526"/>
      <c r="BX72" s="527"/>
      <c r="BY72" s="527"/>
      <c r="BZ72" s="1208">
        <f t="shared" si="3"/>
        <v>0</v>
      </c>
      <c r="CA72" s="1209"/>
      <c r="CB72" s="1209"/>
      <c r="CC72" s="1209"/>
      <c r="CD72" s="1209"/>
      <c r="CE72" s="1209"/>
      <c r="CF72" s="1209"/>
      <c r="CG72" s="1209"/>
      <c r="CH72" s="1209"/>
      <c r="CI72" s="1209"/>
      <c r="CJ72" s="1209"/>
      <c r="CK72" s="1209"/>
      <c r="CL72" s="1209"/>
      <c r="CM72" s="524"/>
      <c r="CN72" s="525"/>
      <c r="CO72" s="1210"/>
      <c r="CP72" s="1211"/>
      <c r="CQ72" s="1211"/>
      <c r="CR72" s="1211"/>
      <c r="CS72" s="1211"/>
      <c r="CT72" s="1211"/>
      <c r="CU72" s="1211"/>
      <c r="CV72" s="1211"/>
      <c r="CW72" s="1211"/>
      <c r="CX72" s="1211"/>
      <c r="CY72" s="1211"/>
      <c r="CZ72" s="1211"/>
      <c r="DA72" s="1211"/>
      <c r="DB72" s="1211"/>
      <c r="DC72" s="1211"/>
      <c r="DD72" s="1211"/>
      <c r="DE72" s="1211"/>
      <c r="DF72" s="1211"/>
      <c r="DG72" s="1211"/>
      <c r="DH72" s="1211"/>
      <c r="DI72" s="503"/>
      <c r="DJ72" s="512"/>
    </row>
    <row r="73" spans="3:114" ht="18.75" customHeight="1" x14ac:dyDescent="0.3">
      <c r="C73" s="512"/>
      <c r="D73" s="523">
        <v>7</v>
      </c>
      <c r="E73" s="1204"/>
      <c r="F73" s="1205"/>
      <c r="G73" s="1205"/>
      <c r="H73" s="1205"/>
      <c r="I73" s="1205"/>
      <c r="J73" s="1205"/>
      <c r="K73" s="1205"/>
      <c r="L73" s="1205"/>
      <c r="M73" s="1205"/>
      <c r="N73" s="1205"/>
      <c r="O73" s="1205"/>
      <c r="P73" s="1205"/>
      <c r="Q73" s="1205"/>
      <c r="R73" s="1205"/>
      <c r="S73" s="1205"/>
      <c r="T73" s="1205"/>
      <c r="U73" s="1205"/>
      <c r="V73" s="1205"/>
      <c r="W73" s="1205"/>
      <c r="X73" s="1205"/>
      <c r="Y73" s="1205"/>
      <c r="Z73" s="1205"/>
      <c r="AA73" s="1205"/>
      <c r="AB73" s="1205"/>
      <c r="AC73" s="1205"/>
      <c r="AD73" s="1205"/>
      <c r="AE73" s="1205"/>
      <c r="AF73" s="1205"/>
      <c r="AG73" s="1205"/>
      <c r="AH73" s="1205"/>
      <c r="AI73" s="1205"/>
      <c r="AJ73" s="1205"/>
      <c r="AK73" s="1205"/>
      <c r="AL73" s="1205"/>
      <c r="AM73" s="1205"/>
      <c r="AN73" s="1205"/>
      <c r="AO73" s="1205"/>
      <c r="AP73" s="1205"/>
      <c r="AQ73" s="524"/>
      <c r="AR73" s="525"/>
      <c r="AS73" s="525"/>
      <c r="AT73" s="1206">
        <v>0</v>
      </c>
      <c r="AU73" s="1207"/>
      <c r="AV73" s="1207"/>
      <c r="AW73" s="1207"/>
      <c r="AX73" s="1207"/>
      <c r="AY73" s="1207"/>
      <c r="AZ73" s="1207"/>
      <c r="BA73" s="1207"/>
      <c r="BB73" s="1207"/>
      <c r="BC73" s="1207"/>
      <c r="BD73" s="1207"/>
      <c r="BE73" s="1207"/>
      <c r="BF73" s="1207"/>
      <c r="BG73" s="526"/>
      <c r="BH73" s="527"/>
      <c r="BI73" s="527"/>
      <c r="BJ73" s="1206">
        <v>0</v>
      </c>
      <c r="BK73" s="1207"/>
      <c r="BL73" s="1207"/>
      <c r="BM73" s="1207"/>
      <c r="BN73" s="1207"/>
      <c r="BO73" s="1207"/>
      <c r="BP73" s="1207"/>
      <c r="BQ73" s="1207"/>
      <c r="BR73" s="1207"/>
      <c r="BS73" s="1207"/>
      <c r="BT73" s="1207"/>
      <c r="BU73" s="1207"/>
      <c r="BV73" s="1207"/>
      <c r="BW73" s="526"/>
      <c r="BX73" s="527"/>
      <c r="BY73" s="527"/>
      <c r="BZ73" s="1208">
        <f t="shared" si="3"/>
        <v>0</v>
      </c>
      <c r="CA73" s="1209"/>
      <c r="CB73" s="1209"/>
      <c r="CC73" s="1209"/>
      <c r="CD73" s="1209"/>
      <c r="CE73" s="1209"/>
      <c r="CF73" s="1209"/>
      <c r="CG73" s="1209"/>
      <c r="CH73" s="1209"/>
      <c r="CI73" s="1209"/>
      <c r="CJ73" s="1209"/>
      <c r="CK73" s="1209"/>
      <c r="CL73" s="1209"/>
      <c r="CM73" s="524"/>
      <c r="CN73" s="525"/>
      <c r="CO73" s="1210"/>
      <c r="CP73" s="1211"/>
      <c r="CQ73" s="1211"/>
      <c r="CR73" s="1211"/>
      <c r="CS73" s="1211"/>
      <c r="CT73" s="1211"/>
      <c r="CU73" s="1211"/>
      <c r="CV73" s="1211"/>
      <c r="CW73" s="1211"/>
      <c r="CX73" s="1211"/>
      <c r="CY73" s="1211"/>
      <c r="CZ73" s="1211"/>
      <c r="DA73" s="1211"/>
      <c r="DB73" s="1211"/>
      <c r="DC73" s="1211"/>
      <c r="DD73" s="1211"/>
      <c r="DE73" s="1211"/>
      <c r="DF73" s="1211"/>
      <c r="DG73" s="1211"/>
      <c r="DH73" s="1211"/>
      <c r="DJ73" s="512"/>
    </row>
    <row r="74" spans="3:114" ht="18.75" customHeight="1" x14ac:dyDescent="0.3">
      <c r="C74" s="512"/>
      <c r="D74" s="523">
        <v>8</v>
      </c>
      <c r="E74" s="1204"/>
      <c r="F74" s="1205"/>
      <c r="G74" s="1205"/>
      <c r="H74" s="1205"/>
      <c r="I74" s="1205"/>
      <c r="J74" s="1205"/>
      <c r="K74" s="1205"/>
      <c r="L74" s="1205"/>
      <c r="M74" s="1205"/>
      <c r="N74" s="1205"/>
      <c r="O74" s="1205"/>
      <c r="P74" s="1205"/>
      <c r="Q74" s="1205"/>
      <c r="R74" s="1205"/>
      <c r="S74" s="1205"/>
      <c r="T74" s="1205"/>
      <c r="U74" s="1205"/>
      <c r="V74" s="1205"/>
      <c r="W74" s="1205"/>
      <c r="X74" s="1205"/>
      <c r="Y74" s="1205"/>
      <c r="Z74" s="1205"/>
      <c r="AA74" s="1205"/>
      <c r="AB74" s="1205"/>
      <c r="AC74" s="1205"/>
      <c r="AD74" s="1205"/>
      <c r="AE74" s="1205"/>
      <c r="AF74" s="1205"/>
      <c r="AG74" s="1205"/>
      <c r="AH74" s="1205"/>
      <c r="AI74" s="1205"/>
      <c r="AJ74" s="1205"/>
      <c r="AK74" s="1205"/>
      <c r="AL74" s="1205"/>
      <c r="AM74" s="1205"/>
      <c r="AN74" s="1205"/>
      <c r="AO74" s="1205"/>
      <c r="AP74" s="1205"/>
      <c r="AQ74" s="524"/>
      <c r="AR74" s="525"/>
      <c r="AS74" s="525"/>
      <c r="AT74" s="1206">
        <v>0</v>
      </c>
      <c r="AU74" s="1207"/>
      <c r="AV74" s="1207"/>
      <c r="AW74" s="1207"/>
      <c r="AX74" s="1207"/>
      <c r="AY74" s="1207"/>
      <c r="AZ74" s="1207"/>
      <c r="BA74" s="1207"/>
      <c r="BB74" s="1207"/>
      <c r="BC74" s="1207"/>
      <c r="BD74" s="1207"/>
      <c r="BE74" s="1207"/>
      <c r="BF74" s="1207"/>
      <c r="BG74" s="526"/>
      <c r="BH74" s="527"/>
      <c r="BI74" s="527"/>
      <c r="BJ74" s="1206">
        <v>0</v>
      </c>
      <c r="BK74" s="1207"/>
      <c r="BL74" s="1207"/>
      <c r="BM74" s="1207"/>
      <c r="BN74" s="1207"/>
      <c r="BO74" s="1207"/>
      <c r="BP74" s="1207"/>
      <c r="BQ74" s="1207"/>
      <c r="BR74" s="1207"/>
      <c r="BS74" s="1207"/>
      <c r="BT74" s="1207"/>
      <c r="BU74" s="1207"/>
      <c r="BV74" s="1207"/>
      <c r="BW74" s="526"/>
      <c r="BX74" s="527"/>
      <c r="BY74" s="527"/>
      <c r="BZ74" s="1208">
        <f t="shared" si="3"/>
        <v>0</v>
      </c>
      <c r="CA74" s="1209"/>
      <c r="CB74" s="1209"/>
      <c r="CC74" s="1209"/>
      <c r="CD74" s="1209"/>
      <c r="CE74" s="1209"/>
      <c r="CF74" s="1209"/>
      <c r="CG74" s="1209"/>
      <c r="CH74" s="1209"/>
      <c r="CI74" s="1209"/>
      <c r="CJ74" s="1209"/>
      <c r="CK74" s="1209"/>
      <c r="CL74" s="1209"/>
      <c r="CM74" s="524"/>
      <c r="CN74" s="525"/>
      <c r="CO74" s="1210"/>
      <c r="CP74" s="1211"/>
      <c r="CQ74" s="1211"/>
      <c r="CR74" s="1211"/>
      <c r="CS74" s="1211"/>
      <c r="CT74" s="1211"/>
      <c r="CU74" s="1211"/>
      <c r="CV74" s="1211"/>
      <c r="CW74" s="1211"/>
      <c r="CX74" s="1211"/>
      <c r="CY74" s="1211"/>
      <c r="CZ74" s="1211"/>
      <c r="DA74" s="1211"/>
      <c r="DB74" s="1211"/>
      <c r="DC74" s="1211"/>
      <c r="DD74" s="1211"/>
      <c r="DE74" s="1211"/>
      <c r="DF74" s="1211"/>
      <c r="DG74" s="1211"/>
      <c r="DH74" s="1211"/>
      <c r="DI74" s="503"/>
      <c r="DJ74" s="512"/>
    </row>
    <row r="75" spans="3:114" ht="18.75" customHeight="1" x14ac:dyDescent="0.3">
      <c r="C75" s="512"/>
      <c r="D75" s="523">
        <v>9</v>
      </c>
      <c r="E75" s="1204"/>
      <c r="F75" s="1205"/>
      <c r="G75" s="1205"/>
      <c r="H75" s="1205"/>
      <c r="I75" s="1205"/>
      <c r="J75" s="1205"/>
      <c r="K75" s="1205"/>
      <c r="L75" s="1205"/>
      <c r="M75" s="1205"/>
      <c r="N75" s="1205"/>
      <c r="O75" s="1205"/>
      <c r="P75" s="1205"/>
      <c r="Q75" s="1205"/>
      <c r="R75" s="1205"/>
      <c r="S75" s="1205"/>
      <c r="T75" s="1205"/>
      <c r="U75" s="1205"/>
      <c r="V75" s="1205"/>
      <c r="W75" s="1205"/>
      <c r="X75" s="1205"/>
      <c r="Y75" s="1205"/>
      <c r="Z75" s="1205"/>
      <c r="AA75" s="1205"/>
      <c r="AB75" s="1205"/>
      <c r="AC75" s="1205"/>
      <c r="AD75" s="1205"/>
      <c r="AE75" s="1205"/>
      <c r="AF75" s="1205"/>
      <c r="AG75" s="1205"/>
      <c r="AH75" s="1205"/>
      <c r="AI75" s="1205"/>
      <c r="AJ75" s="1205"/>
      <c r="AK75" s="1205"/>
      <c r="AL75" s="1205"/>
      <c r="AM75" s="1205"/>
      <c r="AN75" s="1205"/>
      <c r="AO75" s="1205"/>
      <c r="AP75" s="1205"/>
      <c r="AQ75" s="524"/>
      <c r="AR75" s="525"/>
      <c r="AS75" s="525"/>
      <c r="AT75" s="1206">
        <v>0</v>
      </c>
      <c r="AU75" s="1207"/>
      <c r="AV75" s="1207"/>
      <c r="AW75" s="1207"/>
      <c r="AX75" s="1207"/>
      <c r="AY75" s="1207"/>
      <c r="AZ75" s="1207"/>
      <c r="BA75" s="1207"/>
      <c r="BB75" s="1207"/>
      <c r="BC75" s="1207"/>
      <c r="BD75" s="1207"/>
      <c r="BE75" s="1207"/>
      <c r="BF75" s="1207"/>
      <c r="BG75" s="526"/>
      <c r="BH75" s="527"/>
      <c r="BI75" s="527"/>
      <c r="BJ75" s="1206">
        <v>0</v>
      </c>
      <c r="BK75" s="1207"/>
      <c r="BL75" s="1207"/>
      <c r="BM75" s="1207"/>
      <c r="BN75" s="1207"/>
      <c r="BO75" s="1207"/>
      <c r="BP75" s="1207"/>
      <c r="BQ75" s="1207"/>
      <c r="BR75" s="1207"/>
      <c r="BS75" s="1207"/>
      <c r="BT75" s="1207"/>
      <c r="BU75" s="1207"/>
      <c r="BV75" s="1207"/>
      <c r="BW75" s="526"/>
      <c r="BX75" s="527"/>
      <c r="BY75" s="527"/>
      <c r="BZ75" s="1208">
        <f t="shared" si="3"/>
        <v>0</v>
      </c>
      <c r="CA75" s="1209"/>
      <c r="CB75" s="1209"/>
      <c r="CC75" s="1209"/>
      <c r="CD75" s="1209"/>
      <c r="CE75" s="1209"/>
      <c r="CF75" s="1209"/>
      <c r="CG75" s="1209"/>
      <c r="CH75" s="1209"/>
      <c r="CI75" s="1209"/>
      <c r="CJ75" s="1209"/>
      <c r="CK75" s="1209"/>
      <c r="CL75" s="1209"/>
      <c r="CM75" s="524"/>
      <c r="CN75" s="525"/>
      <c r="CO75" s="1210"/>
      <c r="CP75" s="1211"/>
      <c r="CQ75" s="1211"/>
      <c r="CR75" s="1211"/>
      <c r="CS75" s="1211"/>
      <c r="CT75" s="1211"/>
      <c r="CU75" s="1211"/>
      <c r="CV75" s="1211"/>
      <c r="CW75" s="1211"/>
      <c r="CX75" s="1211"/>
      <c r="CY75" s="1211"/>
      <c r="CZ75" s="1211"/>
      <c r="DA75" s="1211"/>
      <c r="DB75" s="1211"/>
      <c r="DC75" s="1211"/>
      <c r="DD75" s="1211"/>
      <c r="DE75" s="1211"/>
      <c r="DF75" s="1211"/>
      <c r="DG75" s="1211"/>
      <c r="DH75" s="1211"/>
      <c r="DJ75" s="512"/>
    </row>
    <row r="76" spans="3:114" ht="18.75" customHeight="1" x14ac:dyDescent="0.3">
      <c r="C76" s="512"/>
      <c r="D76" s="523">
        <v>10</v>
      </c>
      <c r="E76" s="1204"/>
      <c r="F76" s="1205"/>
      <c r="G76" s="1205"/>
      <c r="H76" s="1205"/>
      <c r="I76" s="1205"/>
      <c r="J76" s="1205"/>
      <c r="K76" s="1205"/>
      <c r="L76" s="1205"/>
      <c r="M76" s="1205"/>
      <c r="N76" s="1205"/>
      <c r="O76" s="1205"/>
      <c r="P76" s="1205"/>
      <c r="Q76" s="1205"/>
      <c r="R76" s="1205"/>
      <c r="S76" s="1205"/>
      <c r="T76" s="1205"/>
      <c r="U76" s="1205"/>
      <c r="V76" s="1205"/>
      <c r="W76" s="1205"/>
      <c r="X76" s="1205"/>
      <c r="Y76" s="1205"/>
      <c r="Z76" s="1205"/>
      <c r="AA76" s="1205"/>
      <c r="AB76" s="1205"/>
      <c r="AC76" s="1205"/>
      <c r="AD76" s="1205"/>
      <c r="AE76" s="1205"/>
      <c r="AF76" s="1205"/>
      <c r="AG76" s="1205"/>
      <c r="AH76" s="1205"/>
      <c r="AI76" s="1205"/>
      <c r="AJ76" s="1205"/>
      <c r="AK76" s="1205"/>
      <c r="AL76" s="1205"/>
      <c r="AM76" s="1205"/>
      <c r="AN76" s="1205"/>
      <c r="AO76" s="1205"/>
      <c r="AP76" s="1205"/>
      <c r="AQ76" s="524"/>
      <c r="AR76" s="525"/>
      <c r="AS76" s="525"/>
      <c r="AT76" s="1206">
        <v>0</v>
      </c>
      <c r="AU76" s="1207"/>
      <c r="AV76" s="1207"/>
      <c r="AW76" s="1207"/>
      <c r="AX76" s="1207"/>
      <c r="AY76" s="1207"/>
      <c r="AZ76" s="1207"/>
      <c r="BA76" s="1207"/>
      <c r="BB76" s="1207"/>
      <c r="BC76" s="1207"/>
      <c r="BD76" s="1207"/>
      <c r="BE76" s="1207"/>
      <c r="BF76" s="1207"/>
      <c r="BG76" s="526"/>
      <c r="BH76" s="527"/>
      <c r="BI76" s="527"/>
      <c r="BJ76" s="1206">
        <v>0</v>
      </c>
      <c r="BK76" s="1207"/>
      <c r="BL76" s="1207"/>
      <c r="BM76" s="1207"/>
      <c r="BN76" s="1207"/>
      <c r="BO76" s="1207"/>
      <c r="BP76" s="1207"/>
      <c r="BQ76" s="1207"/>
      <c r="BR76" s="1207"/>
      <c r="BS76" s="1207"/>
      <c r="BT76" s="1207"/>
      <c r="BU76" s="1207"/>
      <c r="BV76" s="1207"/>
      <c r="BW76" s="526"/>
      <c r="BX76" s="527"/>
      <c r="BY76" s="527"/>
      <c r="BZ76" s="1208">
        <f t="shared" si="3"/>
        <v>0</v>
      </c>
      <c r="CA76" s="1209"/>
      <c r="CB76" s="1209"/>
      <c r="CC76" s="1209"/>
      <c r="CD76" s="1209"/>
      <c r="CE76" s="1209"/>
      <c r="CF76" s="1209"/>
      <c r="CG76" s="1209"/>
      <c r="CH76" s="1209"/>
      <c r="CI76" s="1209"/>
      <c r="CJ76" s="1209"/>
      <c r="CK76" s="1209"/>
      <c r="CL76" s="1209"/>
      <c r="CM76" s="524"/>
      <c r="CN76" s="525"/>
      <c r="CO76" s="1210"/>
      <c r="CP76" s="1211"/>
      <c r="CQ76" s="1211"/>
      <c r="CR76" s="1211"/>
      <c r="CS76" s="1211"/>
      <c r="CT76" s="1211"/>
      <c r="CU76" s="1211"/>
      <c r="CV76" s="1211"/>
      <c r="CW76" s="1211"/>
      <c r="CX76" s="1211"/>
      <c r="CY76" s="1211"/>
      <c r="CZ76" s="1211"/>
      <c r="DA76" s="1211"/>
      <c r="DB76" s="1211"/>
      <c r="DC76" s="1211"/>
      <c r="DD76" s="1211"/>
      <c r="DE76" s="1211"/>
      <c r="DF76" s="1211"/>
      <c r="DG76" s="1211"/>
      <c r="DH76" s="1211"/>
      <c r="DI76" s="503"/>
      <c r="DJ76" s="512"/>
    </row>
    <row r="77" spans="3:114" ht="18.75" customHeight="1" thickBot="1" x14ac:dyDescent="0.35">
      <c r="C77" s="512"/>
      <c r="D77" s="523">
        <v>11</v>
      </c>
      <c r="E77" s="1212" t="str">
        <f ca="1">' '!A239</f>
        <v>TOTAL external finances</v>
      </c>
      <c r="F77" s="1213"/>
      <c r="G77" s="1213"/>
      <c r="H77" s="1213"/>
      <c r="I77" s="1213"/>
      <c r="J77" s="1213"/>
      <c r="K77" s="1213"/>
      <c r="L77" s="1213"/>
      <c r="M77" s="1213"/>
      <c r="N77" s="1213"/>
      <c r="O77" s="1213"/>
      <c r="P77" s="1213"/>
      <c r="Q77" s="1213"/>
      <c r="R77" s="1213"/>
      <c r="S77" s="1213"/>
      <c r="T77" s="1213"/>
      <c r="U77" s="1213"/>
      <c r="V77" s="1213"/>
      <c r="W77" s="1213"/>
      <c r="X77" s="1213"/>
      <c r="Y77" s="1213"/>
      <c r="Z77" s="1213"/>
      <c r="AA77" s="1213"/>
      <c r="AB77" s="1213"/>
      <c r="AC77" s="1213"/>
      <c r="AD77" s="1213"/>
      <c r="AE77" s="1213"/>
      <c r="AF77" s="1213"/>
      <c r="AG77" s="1213"/>
      <c r="AH77" s="1213"/>
      <c r="AI77" s="1213"/>
      <c r="AJ77" s="1213"/>
      <c r="AK77" s="1213"/>
      <c r="AL77" s="1213"/>
      <c r="AM77" s="1213"/>
      <c r="AN77" s="1213"/>
      <c r="AO77" s="1213"/>
      <c r="AP77" s="1213"/>
      <c r="AQ77" s="528"/>
      <c r="AR77" s="529"/>
      <c r="AS77" s="529"/>
      <c r="AT77" s="1214">
        <f>SUM(AT67:BF76)</f>
        <v>0</v>
      </c>
      <c r="AU77" s="1215"/>
      <c r="AV77" s="1215"/>
      <c r="AW77" s="1215"/>
      <c r="AX77" s="1215"/>
      <c r="AY77" s="1215"/>
      <c r="AZ77" s="1215"/>
      <c r="BA77" s="1215"/>
      <c r="BB77" s="1215"/>
      <c r="BC77" s="1215"/>
      <c r="BD77" s="1215"/>
      <c r="BE77" s="1215"/>
      <c r="BF77" s="1215"/>
      <c r="BG77" s="530"/>
      <c r="BH77" s="531"/>
      <c r="BI77" s="531"/>
      <c r="BJ77" s="1214">
        <f>SUM(BJ67:BV76)</f>
        <v>0</v>
      </c>
      <c r="BK77" s="1215"/>
      <c r="BL77" s="1215"/>
      <c r="BM77" s="1215"/>
      <c r="BN77" s="1215"/>
      <c r="BO77" s="1215"/>
      <c r="BP77" s="1215"/>
      <c r="BQ77" s="1215"/>
      <c r="BR77" s="1215"/>
      <c r="BS77" s="1215"/>
      <c r="BT77" s="1215"/>
      <c r="BU77" s="1215"/>
      <c r="BV77" s="1215"/>
      <c r="BW77" s="530"/>
      <c r="BX77" s="531"/>
      <c r="BY77" s="531"/>
      <c r="BZ77" s="1214">
        <f t="shared" si="3"/>
        <v>0</v>
      </c>
      <c r="CA77" s="1215"/>
      <c r="CB77" s="1215"/>
      <c r="CC77" s="1215"/>
      <c r="CD77" s="1215"/>
      <c r="CE77" s="1215"/>
      <c r="CF77" s="1215"/>
      <c r="CG77" s="1215"/>
      <c r="CH77" s="1215"/>
      <c r="CI77" s="1215"/>
      <c r="CJ77" s="1215"/>
      <c r="CK77" s="1215"/>
      <c r="CL77" s="1215"/>
      <c r="CM77" s="528"/>
      <c r="CN77" s="529"/>
      <c r="CO77" s="1216">
        <f>IF(AT77&lt;&gt;0,BJ77/AT77,0)</f>
        <v>0</v>
      </c>
      <c r="CP77" s="1217"/>
      <c r="CQ77" s="1217"/>
      <c r="CR77" s="1217"/>
      <c r="CS77" s="1217"/>
      <c r="CT77" s="1217"/>
      <c r="CU77" s="1217"/>
      <c r="CV77" s="1217"/>
      <c r="CW77" s="1217"/>
      <c r="CX77" s="1217"/>
      <c r="CY77" s="1217"/>
      <c r="CZ77" s="1217"/>
      <c r="DA77" s="1217"/>
      <c r="DB77" s="1217"/>
      <c r="DC77" s="1217"/>
      <c r="DD77" s="1217"/>
      <c r="DE77" s="1217"/>
      <c r="DF77" s="1217"/>
      <c r="DG77" s="1217"/>
      <c r="DH77" s="1217"/>
      <c r="DJ77" s="512"/>
    </row>
    <row r="78" spans="3:114" ht="14.4" thickTop="1" x14ac:dyDescent="0.3">
      <c r="C78" s="532"/>
      <c r="D78" s="533"/>
      <c r="E78" s="533"/>
      <c r="F78" s="533"/>
      <c r="G78" s="533"/>
      <c r="H78" s="533"/>
      <c r="I78" s="533"/>
      <c r="J78" s="533"/>
      <c r="K78" s="533"/>
      <c r="L78" s="533"/>
      <c r="M78" s="533"/>
      <c r="N78" s="533"/>
      <c r="O78" s="533"/>
      <c r="P78" s="533"/>
      <c r="Q78" s="533"/>
      <c r="R78" s="533"/>
      <c r="S78" s="533"/>
      <c r="T78" s="533"/>
      <c r="U78" s="533"/>
      <c r="V78" s="533"/>
      <c r="W78" s="533"/>
      <c r="X78" s="533"/>
      <c r="Y78" s="533"/>
      <c r="Z78" s="533"/>
      <c r="AA78" s="533"/>
      <c r="AB78" s="533"/>
      <c r="AC78" s="533"/>
      <c r="AD78" s="533"/>
      <c r="AE78" s="533"/>
      <c r="AF78" s="533"/>
      <c r="AG78" s="533"/>
      <c r="AH78" s="533"/>
      <c r="AI78" s="533"/>
      <c r="AJ78" s="533"/>
      <c r="AK78" s="533"/>
      <c r="AL78" s="533"/>
      <c r="AM78" s="533"/>
      <c r="AN78" s="533"/>
      <c r="AO78" s="533"/>
      <c r="AP78" s="533"/>
      <c r="AQ78" s="533"/>
      <c r="AR78" s="533"/>
      <c r="AS78" s="533"/>
      <c r="AT78" s="533"/>
      <c r="AU78" s="533"/>
      <c r="AV78" s="533"/>
      <c r="AW78" s="533"/>
      <c r="AX78" s="533"/>
      <c r="AY78" s="533"/>
      <c r="AZ78" s="533"/>
      <c r="BA78" s="533"/>
      <c r="BB78" s="533"/>
      <c r="BC78" s="533"/>
      <c r="BD78" s="533"/>
      <c r="BE78" s="533"/>
      <c r="BF78" s="533"/>
      <c r="BG78" s="533"/>
      <c r="BH78" s="533"/>
      <c r="BI78" s="533"/>
      <c r="BJ78" s="533"/>
      <c r="BK78" s="533"/>
      <c r="BL78" s="533"/>
      <c r="BM78" s="533"/>
      <c r="BN78" s="533"/>
      <c r="BO78" s="533"/>
      <c r="BP78" s="533"/>
      <c r="BQ78" s="533"/>
      <c r="BR78" s="533"/>
      <c r="BS78" s="533"/>
      <c r="BT78" s="533"/>
      <c r="BU78" s="533"/>
      <c r="BV78" s="533"/>
      <c r="BW78" s="533"/>
      <c r="BX78" s="533"/>
      <c r="BY78" s="533"/>
      <c r="BZ78" s="533"/>
      <c r="CA78" s="533"/>
      <c r="CB78" s="533"/>
      <c r="CC78" s="533"/>
      <c r="CD78" s="533"/>
      <c r="CE78" s="533"/>
      <c r="CF78" s="533"/>
      <c r="CG78" s="533"/>
      <c r="CH78" s="533"/>
      <c r="CI78" s="533"/>
      <c r="CJ78" s="533"/>
      <c r="CK78" s="533"/>
      <c r="CL78" s="533"/>
      <c r="CM78" s="533"/>
      <c r="CN78" s="533"/>
      <c r="CO78" s="533"/>
      <c r="CP78" s="533"/>
      <c r="CQ78" s="533"/>
      <c r="CR78" s="533"/>
      <c r="CS78" s="533"/>
      <c r="CT78" s="533"/>
      <c r="CU78" s="533"/>
      <c r="CV78" s="533"/>
      <c r="CW78" s="533"/>
      <c r="CX78" s="533"/>
      <c r="CY78" s="533"/>
      <c r="CZ78" s="533"/>
      <c r="DA78" s="533"/>
      <c r="DB78" s="533"/>
      <c r="DC78" s="533"/>
      <c r="DD78" s="533"/>
      <c r="DE78" s="533"/>
      <c r="DF78" s="533"/>
      <c r="DG78" s="533"/>
      <c r="DH78" s="533"/>
      <c r="DI78" s="533"/>
      <c r="DJ78" s="512"/>
    </row>
    <row r="79" spans="3:114" x14ac:dyDescent="0.3">
      <c r="C79" s="515"/>
      <c r="D79" s="515"/>
      <c r="E79" s="515"/>
      <c r="F79" s="515"/>
      <c r="G79" s="515"/>
      <c r="H79" s="515"/>
      <c r="I79" s="515"/>
      <c r="J79" s="515"/>
      <c r="K79" s="515"/>
      <c r="L79" s="515"/>
      <c r="M79" s="515"/>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row>
    <row r="80" spans="3:114" ht="10.5" customHeight="1" x14ac:dyDescent="0.3">
      <c r="C80" s="129" t="s">
        <v>1136</v>
      </c>
      <c r="D80" s="78"/>
      <c r="DJ80" s="541"/>
    </row>
  </sheetData>
  <sheetProtection sheet="1" objects="1" scenarios="1" formatCells="0" formatColumns="0" formatRows="0" insertHyperlinks="0" sort="0" autoFilter="0"/>
  <sortState xmlns:xlrd2="http://schemas.microsoft.com/office/spreadsheetml/2017/richdata2" ref="E8:AP10">
    <sortCondition ref="E8:E10"/>
  </sortState>
  <mergeCells count="320">
    <mergeCell ref="BJ56:BV56"/>
    <mergeCell ref="BZ56:CL56"/>
    <mergeCell ref="CO56:DH56"/>
    <mergeCell ref="E57:AP57"/>
    <mergeCell ref="AT57:BF57"/>
    <mergeCell ref="BJ57:BV57"/>
    <mergeCell ref="BZ57:CL57"/>
    <mergeCell ref="CO57:DH57"/>
    <mergeCell ref="BJ53:BV53"/>
    <mergeCell ref="BZ53:CL53"/>
    <mergeCell ref="CO53:DH53"/>
    <mergeCell ref="E54:AP54"/>
    <mergeCell ref="AT54:BF54"/>
    <mergeCell ref="BJ54:BV54"/>
    <mergeCell ref="BZ54:CL54"/>
    <mergeCell ref="CO54:DH54"/>
    <mergeCell ref="E55:AP55"/>
    <mergeCell ref="AT55:BF55"/>
    <mergeCell ref="BJ55:BV55"/>
    <mergeCell ref="BZ55:CL55"/>
    <mergeCell ref="CO55:DH55"/>
    <mergeCell ref="BJ50:BV50"/>
    <mergeCell ref="BZ50:CL50"/>
    <mergeCell ref="CO50:DH50"/>
    <mergeCell ref="E51:AP51"/>
    <mergeCell ref="AT51:BF51"/>
    <mergeCell ref="BJ51:BV51"/>
    <mergeCell ref="BZ51:CL51"/>
    <mergeCell ref="CO51:DH51"/>
    <mergeCell ref="E52:AP52"/>
    <mergeCell ref="AT52:BF52"/>
    <mergeCell ref="BJ52:BV52"/>
    <mergeCell ref="BZ52:CL52"/>
    <mergeCell ref="CO52:DH52"/>
    <mergeCell ref="AT5:BF5"/>
    <mergeCell ref="E7:AP7"/>
    <mergeCell ref="AT7:BF7"/>
    <mergeCell ref="E5:AP5"/>
    <mergeCell ref="E8:AP8"/>
    <mergeCell ref="AT8:BF8"/>
    <mergeCell ref="E9:AP9"/>
    <mergeCell ref="AT9:BF9"/>
    <mergeCell ref="E21:AP21"/>
    <mergeCell ref="AT21:BF21"/>
    <mergeCell ref="AT12:BF12"/>
    <mergeCell ref="E13:AP13"/>
    <mergeCell ref="AT13:BF13"/>
    <mergeCell ref="E14:AP14"/>
    <mergeCell ref="E10:AP10"/>
    <mergeCell ref="AT10:BF10"/>
    <mergeCell ref="E11:AP11"/>
    <mergeCell ref="AT11:BF11"/>
    <mergeCell ref="E12:AP12"/>
    <mergeCell ref="AT14:BF14"/>
    <mergeCell ref="E15:AP15"/>
    <mergeCell ref="AT15:BF15"/>
    <mergeCell ref="E16:AP16"/>
    <mergeCell ref="AT16:BF16"/>
    <mergeCell ref="E46:AP46"/>
    <mergeCell ref="AT46:BF46"/>
    <mergeCell ref="E48:AP48"/>
    <mergeCell ref="AT48:BF48"/>
    <mergeCell ref="E58:AP58"/>
    <mergeCell ref="AT58:BF58"/>
    <mergeCell ref="E40:AP40"/>
    <mergeCell ref="AT40:BF40"/>
    <mergeCell ref="E42:AP42"/>
    <mergeCell ref="AT42:BF42"/>
    <mergeCell ref="E44:AP44"/>
    <mergeCell ref="AT44:BF44"/>
    <mergeCell ref="E50:AP50"/>
    <mergeCell ref="AT50:BF50"/>
    <mergeCell ref="E53:AP53"/>
    <mergeCell ref="AT53:BF53"/>
    <mergeCell ref="E56:AP56"/>
    <mergeCell ref="AT56:BF56"/>
    <mergeCell ref="E17:AP17"/>
    <mergeCell ref="AT17:BF17"/>
    <mergeCell ref="E28:AP28"/>
    <mergeCell ref="AT28:BF28"/>
    <mergeCell ref="E18:AP18"/>
    <mergeCell ref="AT18:BF18"/>
    <mergeCell ref="E19:AP19"/>
    <mergeCell ref="AT19:BF19"/>
    <mergeCell ref="E20:AP20"/>
    <mergeCell ref="AT20:BF20"/>
    <mergeCell ref="E24:AP24"/>
    <mergeCell ref="AT24:BF24"/>
    <mergeCell ref="E22:AP22"/>
    <mergeCell ref="AT22:BF22"/>
    <mergeCell ref="E23:AP23"/>
    <mergeCell ref="AT23:BF23"/>
    <mergeCell ref="E61:AP61"/>
    <mergeCell ref="AT61:BF61"/>
    <mergeCell ref="E38:AP38"/>
    <mergeCell ref="AT38:BF38"/>
    <mergeCell ref="E37:AP37"/>
    <mergeCell ref="AT37:BF37"/>
    <mergeCell ref="E30:AP30"/>
    <mergeCell ref="AT30:BF30"/>
    <mergeCell ref="E31:AP31"/>
    <mergeCell ref="AT31:BF31"/>
    <mergeCell ref="E32:AP32"/>
    <mergeCell ref="AT32:BF32"/>
    <mergeCell ref="E43:AP43"/>
    <mergeCell ref="AT43:BF43"/>
    <mergeCell ref="E33:AP33"/>
    <mergeCell ref="AT33:BF33"/>
    <mergeCell ref="E35:AP35"/>
    <mergeCell ref="AT35:BF35"/>
    <mergeCell ref="E34:AP34"/>
    <mergeCell ref="AT34:BF34"/>
    <mergeCell ref="E36:AP36"/>
    <mergeCell ref="AT36:BF36"/>
    <mergeCell ref="E60:AP60"/>
    <mergeCell ref="AT60:BF60"/>
    <mergeCell ref="BJ16:BV16"/>
    <mergeCell ref="BJ17:BV17"/>
    <mergeCell ref="BJ18:BV18"/>
    <mergeCell ref="BJ19:BV19"/>
    <mergeCell ref="E59:AP59"/>
    <mergeCell ref="AT59:BF59"/>
    <mergeCell ref="BJ5:BV5"/>
    <mergeCell ref="BJ7:BV7"/>
    <mergeCell ref="BJ8:BV8"/>
    <mergeCell ref="BJ9:BV9"/>
    <mergeCell ref="BJ10:BV10"/>
    <mergeCell ref="BJ11:BV11"/>
    <mergeCell ref="BJ12:BV12"/>
    <mergeCell ref="BJ13:BV13"/>
    <mergeCell ref="E45:AP45"/>
    <mergeCell ref="AT45:BF45"/>
    <mergeCell ref="E47:AP47"/>
    <mergeCell ref="AT47:BF47"/>
    <mergeCell ref="E49:AP49"/>
    <mergeCell ref="AT49:BF49"/>
    <mergeCell ref="E39:AP39"/>
    <mergeCell ref="AT39:BF39"/>
    <mergeCell ref="E41:AP41"/>
    <mergeCell ref="AT41:BF41"/>
    <mergeCell ref="BJ61:BV61"/>
    <mergeCell ref="BZ5:CL5"/>
    <mergeCell ref="BZ7:CL7"/>
    <mergeCell ref="BZ8:CL8"/>
    <mergeCell ref="BZ9:CL9"/>
    <mergeCell ref="BZ10:CL10"/>
    <mergeCell ref="BZ11:CL11"/>
    <mergeCell ref="BJ44:BV44"/>
    <mergeCell ref="BJ45:BV45"/>
    <mergeCell ref="BJ46:BV46"/>
    <mergeCell ref="BJ47:BV47"/>
    <mergeCell ref="BJ48:BV48"/>
    <mergeCell ref="BJ49:BV49"/>
    <mergeCell ref="BJ38:BV38"/>
    <mergeCell ref="BJ39:BV39"/>
    <mergeCell ref="BJ40:BV40"/>
    <mergeCell ref="BJ41:BV41"/>
    <mergeCell ref="BJ42:BV42"/>
    <mergeCell ref="BJ43:BV43"/>
    <mergeCell ref="BJ32:BV32"/>
    <mergeCell ref="BJ33:BV33"/>
    <mergeCell ref="BJ34:BV34"/>
    <mergeCell ref="BJ35:BV35"/>
    <mergeCell ref="BJ36:BV36"/>
    <mergeCell ref="BZ12:CL12"/>
    <mergeCell ref="BZ13:CL13"/>
    <mergeCell ref="BZ14:CL14"/>
    <mergeCell ref="BZ15:CL15"/>
    <mergeCell ref="BZ16:CL16"/>
    <mergeCell ref="BZ17:CL17"/>
    <mergeCell ref="BJ58:BV58"/>
    <mergeCell ref="BJ59:BV59"/>
    <mergeCell ref="BJ60:BV60"/>
    <mergeCell ref="BJ37:BV37"/>
    <mergeCell ref="BJ24:BV24"/>
    <mergeCell ref="BJ28:BV28"/>
    <mergeCell ref="BJ30:BV30"/>
    <mergeCell ref="BJ31:BV31"/>
    <mergeCell ref="BJ20:BV20"/>
    <mergeCell ref="BJ21:BV21"/>
    <mergeCell ref="BJ22:BV22"/>
    <mergeCell ref="BJ23:BV23"/>
    <mergeCell ref="BJ14:BV14"/>
    <mergeCell ref="BJ15:BV15"/>
    <mergeCell ref="BZ24:CL24"/>
    <mergeCell ref="BZ28:CL28"/>
    <mergeCell ref="BZ18:CL18"/>
    <mergeCell ref="BZ19:CL19"/>
    <mergeCell ref="BZ20:CL20"/>
    <mergeCell ref="BZ21:CL21"/>
    <mergeCell ref="BZ22:CL22"/>
    <mergeCell ref="BZ23:CL23"/>
    <mergeCell ref="BZ36:CL36"/>
    <mergeCell ref="BZ37:CL37"/>
    <mergeCell ref="BZ38:CL38"/>
    <mergeCell ref="BZ39:CL39"/>
    <mergeCell ref="BZ40:CL40"/>
    <mergeCell ref="BZ41:CL41"/>
    <mergeCell ref="BZ30:CL30"/>
    <mergeCell ref="BZ31:CL31"/>
    <mergeCell ref="BZ32:CL32"/>
    <mergeCell ref="BZ33:CL33"/>
    <mergeCell ref="BZ34:CL34"/>
    <mergeCell ref="BZ35:CL35"/>
    <mergeCell ref="BZ48:CL48"/>
    <mergeCell ref="BZ49:CL49"/>
    <mergeCell ref="BZ58:CL58"/>
    <mergeCell ref="BZ59:CL59"/>
    <mergeCell ref="BZ60:CL60"/>
    <mergeCell ref="BZ61:CL61"/>
    <mergeCell ref="BZ42:CL42"/>
    <mergeCell ref="BZ43:CL43"/>
    <mergeCell ref="BZ44:CL44"/>
    <mergeCell ref="BZ45:CL45"/>
    <mergeCell ref="BZ46:CL46"/>
    <mergeCell ref="BZ47:CL47"/>
    <mergeCell ref="CO12:DH12"/>
    <mergeCell ref="CO13:DH13"/>
    <mergeCell ref="CO14:DH14"/>
    <mergeCell ref="CO15:DH15"/>
    <mergeCell ref="CO16:DH16"/>
    <mergeCell ref="CO17:DH17"/>
    <mergeCell ref="CO5:DH5"/>
    <mergeCell ref="CO7:DH7"/>
    <mergeCell ref="CO8:DH8"/>
    <mergeCell ref="CO9:DH9"/>
    <mergeCell ref="CO10:DH10"/>
    <mergeCell ref="CO11:DH11"/>
    <mergeCell ref="CO24:DH24"/>
    <mergeCell ref="CO28:DH28"/>
    <mergeCell ref="CO18:DH18"/>
    <mergeCell ref="CO19:DH19"/>
    <mergeCell ref="CO20:DH20"/>
    <mergeCell ref="CO21:DH21"/>
    <mergeCell ref="CO22:DH22"/>
    <mergeCell ref="CO23:DH23"/>
    <mergeCell ref="CO36:DH36"/>
    <mergeCell ref="CO37:DH37"/>
    <mergeCell ref="CO38:DH38"/>
    <mergeCell ref="CO39:DH39"/>
    <mergeCell ref="CO40:DH40"/>
    <mergeCell ref="CO41:DH41"/>
    <mergeCell ref="CO30:DH30"/>
    <mergeCell ref="CO31:DH31"/>
    <mergeCell ref="CO32:DH32"/>
    <mergeCell ref="CO33:DH33"/>
    <mergeCell ref="CO34:DH34"/>
    <mergeCell ref="CO35:DH35"/>
    <mergeCell ref="CO48:DH48"/>
    <mergeCell ref="CO49:DH49"/>
    <mergeCell ref="CO58:DH58"/>
    <mergeCell ref="CO59:DH59"/>
    <mergeCell ref="CO60:DH60"/>
    <mergeCell ref="CO61:DH61"/>
    <mergeCell ref="CO42:DH42"/>
    <mergeCell ref="CO43:DH43"/>
    <mergeCell ref="CO44:DH44"/>
    <mergeCell ref="CO45:DH45"/>
    <mergeCell ref="CO46:DH46"/>
    <mergeCell ref="CO47:DH47"/>
    <mergeCell ref="E65:AP65"/>
    <mergeCell ref="AT65:BF65"/>
    <mergeCell ref="BJ65:BV65"/>
    <mergeCell ref="BZ65:CL65"/>
    <mergeCell ref="CO65:DH65"/>
    <mergeCell ref="E67:AP67"/>
    <mergeCell ref="AT67:BF67"/>
    <mergeCell ref="BJ67:BV67"/>
    <mergeCell ref="BZ67:CL67"/>
    <mergeCell ref="CO67:DH67"/>
    <mergeCell ref="E68:AP68"/>
    <mergeCell ref="AT68:BF68"/>
    <mergeCell ref="BJ68:BV68"/>
    <mergeCell ref="BZ68:CL68"/>
    <mergeCell ref="CO68:DH68"/>
    <mergeCell ref="E69:AP69"/>
    <mergeCell ref="AT69:BF69"/>
    <mergeCell ref="BJ69:BV69"/>
    <mergeCell ref="BZ69:CL69"/>
    <mergeCell ref="CO69:DH69"/>
    <mergeCell ref="E70:AP70"/>
    <mergeCell ref="AT70:BF70"/>
    <mergeCell ref="BJ70:BV70"/>
    <mergeCell ref="BZ70:CL70"/>
    <mergeCell ref="CO70:DH70"/>
    <mergeCell ref="E71:AP71"/>
    <mergeCell ref="AT71:BF71"/>
    <mergeCell ref="BJ71:BV71"/>
    <mergeCell ref="BZ71:CL71"/>
    <mergeCell ref="CO71:DH71"/>
    <mergeCell ref="E72:AP72"/>
    <mergeCell ref="AT72:BF72"/>
    <mergeCell ref="BJ72:BV72"/>
    <mergeCell ref="BZ72:CL72"/>
    <mergeCell ref="CO72:DH72"/>
    <mergeCell ref="E73:AP73"/>
    <mergeCell ref="AT73:BF73"/>
    <mergeCell ref="BJ73:BV73"/>
    <mergeCell ref="BZ73:CL73"/>
    <mergeCell ref="CO73:DH73"/>
    <mergeCell ref="E74:AP74"/>
    <mergeCell ref="AT74:BF74"/>
    <mergeCell ref="BJ74:BV74"/>
    <mergeCell ref="BZ74:CL74"/>
    <mergeCell ref="CO74:DH74"/>
    <mergeCell ref="E75:AP75"/>
    <mergeCell ref="AT75:BF75"/>
    <mergeCell ref="BJ75:BV75"/>
    <mergeCell ref="BZ75:CL75"/>
    <mergeCell ref="CO75:DH75"/>
    <mergeCell ref="E76:AP76"/>
    <mergeCell ref="AT76:BF76"/>
    <mergeCell ref="BJ76:BV76"/>
    <mergeCell ref="BZ76:CL76"/>
    <mergeCell ref="CO76:DH76"/>
    <mergeCell ref="E77:AP77"/>
    <mergeCell ref="AT77:BF77"/>
    <mergeCell ref="BJ77:BV77"/>
    <mergeCell ref="BZ77:CL77"/>
    <mergeCell ref="CO77:DH77"/>
  </mergeCells>
  <conditionalFormatting sqref="AS60:BF60 E60:AI60 CU60">
    <cfRule type="expression" dxfId="142" priority="12400">
      <formula>MOD(ROW(A3),2)=0</formula>
    </cfRule>
  </conditionalFormatting>
  <conditionalFormatting sqref="E7:AP23 AT7:BF23 BZ7:CL23 CO7:DH23 BJ7:BV23">
    <cfRule type="expression" dxfId="141" priority="116">
      <formula>MOD(ROW(A1048568),2)=0</formula>
    </cfRule>
  </conditionalFormatting>
  <conditionalFormatting sqref="AS61:BF61 E61:AI61">
    <cfRule type="expression" dxfId="140" priority="12402">
      <formula>MOD(ROW(A5),2)=0</formula>
    </cfRule>
  </conditionalFormatting>
  <conditionalFormatting sqref="AJ60:AP60">
    <cfRule type="expression" dxfId="139" priority="12404">
      <formula>MOD(ROW(#REF!),2)=0</formula>
    </cfRule>
  </conditionalFormatting>
  <conditionalFormatting sqref="AJ61:AP61">
    <cfRule type="expression" dxfId="138" priority="12412">
      <formula>MOD(ROW(#REF!),2)=0</formula>
    </cfRule>
  </conditionalFormatting>
  <conditionalFormatting sqref="BI60:BV60">
    <cfRule type="expression" dxfId="137" priority="101">
      <formula>MOD(ROW(BE3),2)=0</formula>
    </cfRule>
  </conditionalFormatting>
  <conditionalFormatting sqref="BI61:BV61">
    <cfRule type="expression" dxfId="136" priority="102">
      <formula>MOD(ROW(BE5),2)=0</formula>
    </cfRule>
  </conditionalFormatting>
  <conditionalFormatting sqref="BY60:CL60">
    <cfRule type="expression" dxfId="135" priority="96">
      <formula>MOD(ROW(BU3),2)=0</formula>
    </cfRule>
  </conditionalFormatting>
  <conditionalFormatting sqref="BY61:CL61">
    <cfRule type="expression" dxfId="134" priority="97">
      <formula>MOD(ROW(BU5),2)=0</formula>
    </cfRule>
  </conditionalFormatting>
  <conditionalFormatting sqref="CO60:CT60">
    <cfRule type="expression" dxfId="133" priority="12413">
      <formula>MOD(ROW(CL3),2)=0</formula>
    </cfRule>
  </conditionalFormatting>
  <conditionalFormatting sqref="CZ60">
    <cfRule type="expression" dxfId="132" priority="12418">
      <formula>MOD(ROW(CQ3),2)=0</formula>
    </cfRule>
  </conditionalFormatting>
  <conditionalFormatting sqref="CY60">
    <cfRule type="expression" dxfId="131" priority="12441">
      <formula>MOD(ROW(CQ3),2)=0</formula>
    </cfRule>
  </conditionalFormatting>
  <conditionalFormatting sqref="CX60">
    <cfRule type="expression" dxfId="130" priority="12459">
      <formula>MOD(ROW(CQ3),2)=0</formula>
    </cfRule>
  </conditionalFormatting>
  <conditionalFormatting sqref="CW60">
    <cfRule type="expression" dxfId="129" priority="12477">
      <formula>MOD(ROW(CQ3),2)=0</formula>
    </cfRule>
  </conditionalFormatting>
  <conditionalFormatting sqref="CV60">
    <cfRule type="expression" dxfId="128" priority="12495">
      <formula>MOD(ROW(CQ3),2)=0</formula>
    </cfRule>
  </conditionalFormatting>
  <conditionalFormatting sqref="DA60:DH60">
    <cfRule type="expression" dxfId="127" priority="12511">
      <formula>MOD(ROW(CQ3),2)=0</formula>
    </cfRule>
  </conditionalFormatting>
  <conditionalFormatting sqref="E30:AP49 CO30:DH49 AT30:BF58 BJ30:BV58 BZ30:CL58">
    <cfRule type="expression" dxfId="126" priority="12545">
      <formula>MOD(ROW(A18),2)=0</formula>
    </cfRule>
  </conditionalFormatting>
  <conditionalFormatting sqref="CO30:CT49">
    <cfRule type="expression" dxfId="125" priority="12550">
      <formula>MOD(ROW(CL18),2)=0</formula>
    </cfRule>
  </conditionalFormatting>
  <conditionalFormatting sqref="CV30:CV49">
    <cfRule type="expression" dxfId="124" priority="12551">
      <formula>MOD(ROW(CQ18),2)=0</formula>
    </cfRule>
  </conditionalFormatting>
  <conditionalFormatting sqref="CZ30:CZ49">
    <cfRule type="expression" dxfId="123" priority="12552">
      <formula>MOD(ROW(CQ18),2)=0</formula>
    </cfRule>
  </conditionalFormatting>
  <conditionalFormatting sqref="CY30:CY49">
    <cfRule type="expression" dxfId="122" priority="12553">
      <formula>MOD(ROW(CQ18),2)=0</formula>
    </cfRule>
  </conditionalFormatting>
  <conditionalFormatting sqref="CX30:CX49">
    <cfRule type="expression" dxfId="121" priority="12554">
      <formula>MOD(ROW(CQ18),2)=0</formula>
    </cfRule>
  </conditionalFormatting>
  <conditionalFormatting sqref="CW30:CW49">
    <cfRule type="expression" dxfId="120" priority="12555">
      <formula>MOD(ROW(CQ18),2)=0</formula>
    </cfRule>
  </conditionalFormatting>
  <conditionalFormatting sqref="DA30:DH49">
    <cfRule type="expression" dxfId="119" priority="12556">
      <formula>MOD(ROW(CQ18),2)=0</formula>
    </cfRule>
  </conditionalFormatting>
  <conditionalFormatting sqref="BZ7:CL24">
    <cfRule type="cellIs" dxfId="118" priority="23" operator="lessThan">
      <formula>0</formula>
    </cfRule>
  </conditionalFormatting>
  <conditionalFormatting sqref="BZ30:CL61">
    <cfRule type="cellIs" dxfId="117" priority="22" operator="lessThan">
      <formula>0</formula>
    </cfRule>
  </conditionalFormatting>
  <conditionalFormatting sqref="BZ67:CL76">
    <cfRule type="cellIs" dxfId="116" priority="13" operator="lessThan">
      <formula>0</formula>
    </cfRule>
  </conditionalFormatting>
  <conditionalFormatting sqref="BZ77:CL77">
    <cfRule type="cellIs" dxfId="115" priority="10" operator="lessThan">
      <formula>0</formula>
    </cfRule>
  </conditionalFormatting>
  <conditionalFormatting sqref="E59:AP59 CO59:DH59 BJ59:BV59 BZ59:CL59 AT59:BF59">
    <cfRule type="expression" dxfId="114" priority="12638">
      <formula>MOD(ROW(A39),2)=0</formula>
    </cfRule>
  </conditionalFormatting>
  <conditionalFormatting sqref="CO67:CT76">
    <cfRule type="expression" dxfId="113" priority="12648">
      <formula>MOD(ROW(CL48),2)=0</formula>
    </cfRule>
  </conditionalFormatting>
  <conditionalFormatting sqref="CV67:CV76">
    <cfRule type="expression" dxfId="112" priority="12650">
      <formula>MOD(ROW(CQ48),2)=0</formula>
    </cfRule>
  </conditionalFormatting>
  <conditionalFormatting sqref="CZ67:CZ76">
    <cfRule type="expression" dxfId="111" priority="12652">
      <formula>MOD(ROW(CQ48),2)=0</formula>
    </cfRule>
  </conditionalFormatting>
  <conditionalFormatting sqref="CY67:CY76">
    <cfRule type="expression" dxfId="110" priority="12654">
      <formula>MOD(ROW(CQ48),2)=0</formula>
    </cfRule>
  </conditionalFormatting>
  <conditionalFormatting sqref="CX67:CX76">
    <cfRule type="expression" dxfId="109" priority="12656">
      <formula>MOD(ROW(CQ48),2)=0</formula>
    </cfRule>
  </conditionalFormatting>
  <conditionalFormatting sqref="CW67:CW76">
    <cfRule type="expression" dxfId="108" priority="12658">
      <formula>MOD(ROW(CQ48),2)=0</formula>
    </cfRule>
  </conditionalFormatting>
  <conditionalFormatting sqref="DA67:DH76">
    <cfRule type="expression" dxfId="107" priority="12660">
      <formula>MOD(ROW(CQ48),2)=0</formula>
    </cfRule>
  </conditionalFormatting>
  <conditionalFormatting sqref="AT67:BF76 CO67:DH76 BJ67:BV76 BZ67:CL76 E67:AP76">
    <cfRule type="expression" dxfId="106" priority="12661">
      <formula>MOD(ROW(A48),2)=0</formula>
    </cfRule>
  </conditionalFormatting>
  <conditionalFormatting sqref="E50:AP58 CO50:DH58">
    <cfRule type="expression" dxfId="105" priority="2">
      <formula>MOD(ROW(A38),2)=0</formula>
    </cfRule>
  </conditionalFormatting>
  <conditionalFormatting sqref="CO50:CT58">
    <cfRule type="expression" dxfId="104" priority="3">
      <formula>MOD(ROW(CL38),2)=0</formula>
    </cfRule>
  </conditionalFormatting>
  <conditionalFormatting sqref="CV50:CV58">
    <cfRule type="expression" dxfId="103" priority="4">
      <formula>MOD(ROW(CQ38),2)=0</formula>
    </cfRule>
  </conditionalFormatting>
  <conditionalFormatting sqref="CZ50:CZ58">
    <cfRule type="expression" dxfId="102" priority="5">
      <formula>MOD(ROW(CQ38),2)=0</formula>
    </cfRule>
  </conditionalFormatting>
  <conditionalFormatting sqref="CY50:CY58">
    <cfRule type="expression" dxfId="101" priority="6">
      <formula>MOD(ROW(CQ38),2)=0</formula>
    </cfRule>
  </conditionalFormatting>
  <conditionalFormatting sqref="CX50:CX58">
    <cfRule type="expression" dxfId="100" priority="7">
      <formula>MOD(ROW(CQ38),2)=0</formula>
    </cfRule>
  </conditionalFormatting>
  <conditionalFormatting sqref="CW50:CW58">
    <cfRule type="expression" dxfId="99" priority="8">
      <formula>MOD(ROW(CQ38),2)=0</formula>
    </cfRule>
  </conditionalFormatting>
  <conditionalFormatting sqref="DA50:DH58">
    <cfRule type="expression" dxfId="98" priority="9">
      <formula>MOD(ROW(CQ38),2)=0</formula>
    </cfRule>
  </conditionalFormatting>
  <hyperlinks>
    <hyperlink ref="CO7:DH7" location="Projektteam!B11" tooltip="Team" display="Projektteam!B11" xr:uid="{00000000-0004-0000-1100-000000000000}"/>
    <hyperlink ref="A3" location="x!A571" display="x!A571" xr:uid="{00000000-0004-0000-1100-000001000000}"/>
  </hyperlinks>
  <pageMargins left="0.19685039370078741" right="0.19685039370078741" top="0.31496062992125984" bottom="0.23622047244094491" header="0" footer="0.19685039370078741"/>
  <pageSetup paperSize="9" scale="75" fitToWidth="2" fitToHeight="2" orientation="landscape" r:id="rId1"/>
  <headerFooter scaleWithDoc="0">
    <oddFooter>&amp;L&amp;8&amp;K01+049(c) s. imboden&amp;C&amp;8&amp;K01+049printed &amp;D&amp;R&amp;8&amp;K03+000&amp;P/&amp;N</oddFooter>
  </headerFooter>
  <rowBreaks count="2" manualBreakCount="2">
    <brk id="25" max="16383" man="1"/>
    <brk id="62" max="16383"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8">
    <tabColor theme="4" tint="0.79998168889431442"/>
  </sheetPr>
  <dimension ref="A1:P77"/>
  <sheetViews>
    <sheetView showGridLines="0" zoomScaleNormal="100" workbookViewId="0">
      <pane ySplit="4" topLeftCell="A6" activePane="bottomLeft" state="frozen"/>
      <selection activeCell="C28" sqref="C28"/>
      <selection pane="bottomLeft" activeCell="C6" sqref="C6"/>
    </sheetView>
  </sheetViews>
  <sheetFormatPr baseColWidth="10" defaultColWidth="12.5546875" defaultRowHeight="14.4" x14ac:dyDescent="0.3"/>
  <cols>
    <col min="1" max="1" width="7" style="78" customWidth="1"/>
    <col min="2" max="2" width="4.5546875" style="356" customWidth="1"/>
    <col min="3" max="3" width="29" style="356" customWidth="1"/>
    <col min="4" max="4" width="10.88671875" style="356" customWidth="1"/>
    <col min="5" max="5" width="11.88671875" style="356" bestFit="1" customWidth="1"/>
    <col min="6" max="6" width="31.88671875" style="356" customWidth="1"/>
    <col min="7" max="7" width="11.109375" style="356" customWidth="1"/>
    <col min="8" max="8" width="24" style="356" customWidth="1"/>
    <col min="9" max="9" width="26" style="356" customWidth="1"/>
    <col min="10" max="10" width="7" style="356" customWidth="1"/>
    <col min="11" max="11" width="0.109375" style="546" customWidth="1"/>
    <col min="12" max="25" width="4" style="356" customWidth="1"/>
    <col min="26" max="16384" width="12.5546875" style="356"/>
  </cols>
  <sheetData>
    <row r="1" spans="1:16" s="355" customFormat="1" ht="42" customHeight="1" x14ac:dyDescent="0.6">
      <c r="A1" s="542"/>
      <c r="B1" s="826" t="str">
        <f ca="1">' '!A339</f>
        <v>S T A K E H O L D E R</v>
      </c>
      <c r="C1" s="354"/>
      <c r="D1" s="354"/>
      <c r="E1" s="354"/>
      <c r="F1" s="354"/>
      <c r="G1" s="354"/>
      <c r="H1" s="354"/>
      <c r="I1" s="354"/>
      <c r="J1" s="132"/>
      <c r="K1" s="543"/>
    </row>
    <row r="2" spans="1:16" s="78" customFormat="1" ht="14.25" customHeight="1" x14ac:dyDescent="0.3">
      <c r="A2" s="75"/>
      <c r="K2" s="544"/>
    </row>
    <row r="3" spans="1:16" ht="10.5" customHeight="1" x14ac:dyDescent="0.3">
      <c r="A3" s="545"/>
      <c r="C3" s="78"/>
    </row>
    <row r="4" spans="1:16" ht="33.75" customHeight="1" x14ac:dyDescent="0.3">
      <c r="B4" s="769" t="str">
        <f ca="1">' '!A353</f>
        <v>No.</v>
      </c>
      <c r="C4" s="770" t="str">
        <f ca="1">' '!A354</f>
        <v>Stakeholder</v>
      </c>
      <c r="D4" s="821" t="str">
        <f ca="1">' '!A356</f>
        <v>Extent of interests</v>
      </c>
      <c r="E4" s="821" t="str">
        <f ca="1">' '!A357</f>
        <v>Degree of influence</v>
      </c>
      <c r="F4" s="770" t="str">
        <f ca="1">' '!A355</f>
        <v>Interests, expectations</v>
      </c>
      <c r="G4" s="770" t="str">
        <f ca="1">' '!A361</f>
        <v>Size of group</v>
      </c>
      <c r="H4" s="770" t="str">
        <f ca="1">' '!A358</f>
        <v>Chances (+) and 
dangers (-)</v>
      </c>
      <c r="I4" s="770" t="str">
        <f ca="1">' '!A359</f>
        <v>Possible measures</v>
      </c>
      <c r="J4" s="696" t="str">
        <f ca="1">' '!A360</f>
        <v>Status</v>
      </c>
    </row>
    <row r="5" spans="1:16" s="78" customFormat="1" ht="0.15" customHeight="1" x14ac:dyDescent="0.3">
      <c r="B5" s="818"/>
      <c r="C5" s="819"/>
      <c r="D5" s="819"/>
      <c r="E5" s="819"/>
      <c r="F5" s="819"/>
      <c r="G5" s="819"/>
      <c r="H5" s="819"/>
      <c r="I5" s="819"/>
      <c r="J5" s="820"/>
      <c r="K5" s="544"/>
    </row>
    <row r="6" spans="1:16" ht="23.4" x14ac:dyDescent="0.3">
      <c r="B6" s="547" t="s">
        <v>286</v>
      </c>
      <c r="C6" s="548" t="s">
        <v>1114</v>
      </c>
      <c r="D6" s="549">
        <v>3</v>
      </c>
      <c r="E6" s="549">
        <v>7</v>
      </c>
      <c r="F6" s="548"/>
      <c r="G6" s="839">
        <v>1</v>
      </c>
      <c r="H6" s="548"/>
      <c r="I6" s="548"/>
      <c r="J6" s="550">
        <v>1</v>
      </c>
      <c r="K6" s="551">
        <f>IF(G6=3,3,
IF(G6=2,2,1))</f>
        <v>1</v>
      </c>
      <c r="N6" s="150"/>
      <c r="O6" s="150"/>
      <c r="P6" s="552"/>
    </row>
    <row r="7" spans="1:16" ht="23.4" x14ac:dyDescent="0.3">
      <c r="B7" s="553" t="s">
        <v>288</v>
      </c>
      <c r="C7" s="554" t="s">
        <v>984</v>
      </c>
      <c r="D7" s="555">
        <v>8</v>
      </c>
      <c r="E7" s="555">
        <v>9</v>
      </c>
      <c r="F7" s="554"/>
      <c r="G7" s="839">
        <v>2</v>
      </c>
      <c r="H7" s="556"/>
      <c r="I7" s="554"/>
      <c r="J7" s="557">
        <v>1</v>
      </c>
      <c r="K7" s="551">
        <f t="shared" ref="K7:K25" si="0">IF(G7=3,3,
IF(G7=2,2,1))</f>
        <v>2</v>
      </c>
      <c r="N7" s="78"/>
      <c r="O7" s="78"/>
      <c r="P7" s="552"/>
    </row>
    <row r="8" spans="1:16" ht="23.4" x14ac:dyDescent="0.3">
      <c r="B8" s="553" t="s">
        <v>290</v>
      </c>
      <c r="C8" s="554" t="s">
        <v>1033</v>
      </c>
      <c r="D8" s="555">
        <v>7</v>
      </c>
      <c r="E8" s="555">
        <v>5</v>
      </c>
      <c r="F8" s="554"/>
      <c r="G8" s="839">
        <v>3</v>
      </c>
      <c r="H8" s="554"/>
      <c r="I8" s="554"/>
      <c r="J8" s="557"/>
      <c r="K8" s="551">
        <f t="shared" si="0"/>
        <v>3</v>
      </c>
      <c r="N8" s="78"/>
      <c r="O8" s="78"/>
      <c r="P8" s="552"/>
    </row>
    <row r="9" spans="1:16" ht="23.4" x14ac:dyDescent="0.3">
      <c r="B9" s="553" t="s">
        <v>292</v>
      </c>
      <c r="C9" s="554" t="s">
        <v>1227</v>
      </c>
      <c r="D9" s="555">
        <v>1</v>
      </c>
      <c r="E9" s="555">
        <v>2</v>
      </c>
      <c r="F9" s="554"/>
      <c r="G9" s="839"/>
      <c r="H9" s="554"/>
      <c r="I9" s="554"/>
      <c r="J9" s="557"/>
      <c r="K9" s="551">
        <f t="shared" si="0"/>
        <v>1</v>
      </c>
      <c r="N9" s="78"/>
      <c r="O9" s="78"/>
      <c r="P9" s="552"/>
    </row>
    <row r="10" spans="1:16" ht="23.4" x14ac:dyDescent="0.3">
      <c r="B10" s="553" t="s">
        <v>294</v>
      </c>
      <c r="C10" s="554"/>
      <c r="D10" s="555"/>
      <c r="E10" s="555"/>
      <c r="F10" s="554"/>
      <c r="G10" s="840"/>
      <c r="H10" s="554"/>
      <c r="I10" s="554"/>
      <c r="J10" s="557"/>
      <c r="K10" s="551">
        <f t="shared" si="0"/>
        <v>1</v>
      </c>
      <c r="N10" s="78"/>
      <c r="O10" s="78"/>
      <c r="P10" s="552"/>
    </row>
    <row r="11" spans="1:16" ht="23.4" x14ac:dyDescent="0.3">
      <c r="B11" s="553" t="s">
        <v>296</v>
      </c>
      <c r="C11" s="554"/>
      <c r="D11" s="555"/>
      <c r="E11" s="555"/>
      <c r="F11" s="554"/>
      <c r="G11" s="840"/>
      <c r="H11" s="554"/>
      <c r="I11" s="554"/>
      <c r="J11" s="557"/>
      <c r="K11" s="551">
        <f t="shared" si="0"/>
        <v>1</v>
      </c>
      <c r="N11" s="78"/>
      <c r="O11" s="78"/>
      <c r="P11" s="552"/>
    </row>
    <row r="12" spans="1:16" ht="23.4" x14ac:dyDescent="0.3">
      <c r="B12" s="553" t="s">
        <v>298</v>
      </c>
      <c r="C12" s="554"/>
      <c r="D12" s="555"/>
      <c r="E12" s="555"/>
      <c r="F12" s="554"/>
      <c r="G12" s="840"/>
      <c r="H12" s="554"/>
      <c r="I12" s="554"/>
      <c r="J12" s="557"/>
      <c r="K12" s="551">
        <f t="shared" si="0"/>
        <v>1</v>
      </c>
      <c r="N12" s="78"/>
      <c r="O12" s="78"/>
      <c r="P12" s="552"/>
    </row>
    <row r="13" spans="1:16" ht="23.4" x14ac:dyDescent="0.3">
      <c r="B13" s="553" t="s">
        <v>300</v>
      </c>
      <c r="C13" s="554"/>
      <c r="D13" s="555"/>
      <c r="E13" s="555"/>
      <c r="F13" s="554"/>
      <c r="G13" s="840"/>
      <c r="H13" s="554"/>
      <c r="I13" s="554"/>
      <c r="J13" s="557"/>
      <c r="K13" s="551">
        <f t="shared" si="0"/>
        <v>1</v>
      </c>
      <c r="N13" s="78"/>
      <c r="O13" s="78"/>
      <c r="P13" s="552"/>
    </row>
    <row r="14" spans="1:16" ht="23.4" x14ac:dyDescent="0.3">
      <c r="B14" s="553" t="s">
        <v>302</v>
      </c>
      <c r="C14" s="554"/>
      <c r="D14" s="555"/>
      <c r="E14" s="555"/>
      <c r="F14" s="554"/>
      <c r="G14" s="840"/>
      <c r="H14" s="554"/>
      <c r="I14" s="554"/>
      <c r="J14" s="557"/>
      <c r="K14" s="551">
        <f t="shared" si="0"/>
        <v>1</v>
      </c>
      <c r="N14" s="78"/>
      <c r="O14" s="78"/>
      <c r="P14" s="552"/>
    </row>
    <row r="15" spans="1:16" ht="23.4" x14ac:dyDescent="0.3">
      <c r="B15" s="553" t="s">
        <v>304</v>
      </c>
      <c r="C15" s="554"/>
      <c r="D15" s="555"/>
      <c r="E15" s="555"/>
      <c r="F15" s="554"/>
      <c r="G15" s="840"/>
      <c r="H15" s="554"/>
      <c r="I15" s="554"/>
      <c r="J15" s="557"/>
      <c r="K15" s="551">
        <f t="shared" si="0"/>
        <v>1</v>
      </c>
      <c r="N15" s="78"/>
      <c r="O15" s="78"/>
      <c r="P15" s="552"/>
    </row>
    <row r="16" spans="1:16" ht="23.4" x14ac:dyDescent="0.3">
      <c r="B16" s="553" t="s">
        <v>306</v>
      </c>
      <c r="C16" s="554"/>
      <c r="D16" s="555"/>
      <c r="E16" s="555"/>
      <c r="F16" s="554"/>
      <c r="G16" s="840"/>
      <c r="H16" s="554"/>
      <c r="I16" s="554"/>
      <c r="J16" s="557"/>
      <c r="K16" s="551">
        <f t="shared" si="0"/>
        <v>1</v>
      </c>
      <c r="N16" s="78"/>
      <c r="O16" s="78"/>
      <c r="P16" s="552"/>
    </row>
    <row r="17" spans="2:11" ht="23.4" x14ac:dyDescent="0.3">
      <c r="B17" s="553" t="s">
        <v>308</v>
      </c>
      <c r="C17" s="554"/>
      <c r="D17" s="555"/>
      <c r="E17" s="555"/>
      <c r="F17" s="554"/>
      <c r="G17" s="840"/>
      <c r="H17" s="554"/>
      <c r="I17" s="554"/>
      <c r="J17" s="557"/>
      <c r="K17" s="551">
        <f t="shared" si="0"/>
        <v>1</v>
      </c>
    </row>
    <row r="18" spans="2:11" ht="23.4" x14ac:dyDescent="0.3">
      <c r="B18" s="553" t="s">
        <v>310</v>
      </c>
      <c r="C18" s="554"/>
      <c r="D18" s="555"/>
      <c r="E18" s="555"/>
      <c r="F18" s="554"/>
      <c r="G18" s="840"/>
      <c r="H18" s="554"/>
      <c r="I18" s="554"/>
      <c r="J18" s="557"/>
      <c r="K18" s="551">
        <f t="shared" si="0"/>
        <v>1</v>
      </c>
    </row>
    <row r="19" spans="2:11" ht="23.4" x14ac:dyDescent="0.3">
      <c r="B19" s="553" t="s">
        <v>312</v>
      </c>
      <c r="C19" s="554"/>
      <c r="D19" s="555"/>
      <c r="E19" s="555"/>
      <c r="F19" s="554"/>
      <c r="G19" s="840"/>
      <c r="H19" s="554"/>
      <c r="I19" s="554"/>
      <c r="J19" s="557"/>
      <c r="K19" s="551">
        <f t="shared" si="0"/>
        <v>1</v>
      </c>
    </row>
    <row r="20" spans="2:11" ht="23.4" x14ac:dyDescent="0.3">
      <c r="B20" s="553" t="s">
        <v>314</v>
      </c>
      <c r="C20" s="554"/>
      <c r="D20" s="555"/>
      <c r="E20" s="555"/>
      <c r="F20" s="554"/>
      <c r="G20" s="840"/>
      <c r="H20" s="554"/>
      <c r="I20" s="554"/>
      <c r="J20" s="557"/>
      <c r="K20" s="551">
        <f t="shared" si="0"/>
        <v>1</v>
      </c>
    </row>
    <row r="21" spans="2:11" ht="23.4" x14ac:dyDescent="0.3">
      <c r="B21" s="553" t="s">
        <v>316</v>
      </c>
      <c r="C21" s="554"/>
      <c r="D21" s="555"/>
      <c r="E21" s="555"/>
      <c r="F21" s="554"/>
      <c r="G21" s="840"/>
      <c r="H21" s="554"/>
      <c r="I21" s="554"/>
      <c r="J21" s="557"/>
      <c r="K21" s="551">
        <f t="shared" si="0"/>
        <v>1</v>
      </c>
    </row>
    <row r="22" spans="2:11" ht="23.4" x14ac:dyDescent="0.3">
      <c r="B22" s="553" t="s">
        <v>318</v>
      </c>
      <c r="C22" s="554"/>
      <c r="D22" s="555"/>
      <c r="E22" s="555"/>
      <c r="F22" s="554"/>
      <c r="G22" s="840"/>
      <c r="H22" s="554"/>
      <c r="I22" s="554"/>
      <c r="J22" s="557"/>
      <c r="K22" s="551">
        <f t="shared" si="0"/>
        <v>1</v>
      </c>
    </row>
    <row r="23" spans="2:11" ht="23.4" x14ac:dyDescent="0.3">
      <c r="B23" s="553" t="s">
        <v>320</v>
      </c>
      <c r="C23" s="554"/>
      <c r="D23" s="555"/>
      <c r="E23" s="555"/>
      <c r="F23" s="554"/>
      <c r="G23" s="840"/>
      <c r="H23" s="554"/>
      <c r="I23" s="554"/>
      <c r="J23" s="557"/>
      <c r="K23" s="551">
        <f t="shared" si="0"/>
        <v>1</v>
      </c>
    </row>
    <row r="24" spans="2:11" ht="23.4" x14ac:dyDescent="0.3">
      <c r="B24" s="553" t="s">
        <v>985</v>
      </c>
      <c r="C24" s="554"/>
      <c r="D24" s="555"/>
      <c r="E24" s="555"/>
      <c r="F24" s="554"/>
      <c r="G24" s="840"/>
      <c r="H24" s="554"/>
      <c r="I24" s="554"/>
      <c r="J24" s="557"/>
      <c r="K24" s="551">
        <f t="shared" si="0"/>
        <v>1</v>
      </c>
    </row>
    <row r="25" spans="2:11" ht="23.4" x14ac:dyDescent="0.3">
      <c r="B25" s="558" t="s">
        <v>986</v>
      </c>
      <c r="C25" s="554"/>
      <c r="D25" s="555"/>
      <c r="E25" s="555"/>
      <c r="F25" s="559"/>
      <c r="G25" s="841"/>
      <c r="H25" s="559"/>
      <c r="I25" s="559"/>
      <c r="J25" s="560"/>
      <c r="K25" s="551">
        <f t="shared" si="0"/>
        <v>1</v>
      </c>
    </row>
    <row r="26" spans="2:11" x14ac:dyDescent="0.3">
      <c r="B26" s="129" t="s">
        <v>1136</v>
      </c>
      <c r="C26" s="78"/>
    </row>
    <row r="27" spans="2:11" ht="22.5" customHeight="1" x14ac:dyDescent="0.3"/>
    <row r="28" spans="2:11" ht="22.5" customHeight="1" x14ac:dyDescent="0.3"/>
    <row r="29" spans="2:11" ht="22.5" customHeight="1" x14ac:dyDescent="0.35">
      <c r="H29" s="561" t="str">
        <f>IF(C6&lt;&gt;"",(CONCATENATE("    ",B6,"   ",C6)),"")</f>
        <v xml:space="preserve">    s1   Team</v>
      </c>
      <c r="I29" s="562"/>
    </row>
    <row r="30" spans="2:11" ht="22.5" customHeight="1" x14ac:dyDescent="0.35">
      <c r="H30" s="561" t="str">
        <f t="shared" ref="H30:H48" si="1">IF(C7&lt;&gt;"",(CONCATENATE("    ",B7,"   ",C7)),"")</f>
        <v xml:space="preserve">    s2   Groupe 2</v>
      </c>
      <c r="I30" s="562"/>
    </row>
    <row r="31" spans="2:11" ht="22.5" customHeight="1" x14ac:dyDescent="0.35">
      <c r="H31" s="561" t="str">
        <f t="shared" si="1"/>
        <v xml:space="preserve">    s3   Gruppe 3</v>
      </c>
      <c r="I31" s="562"/>
    </row>
    <row r="32" spans="2:11" ht="22.5" customHeight="1" x14ac:dyDescent="0.35">
      <c r="H32" s="561" t="str">
        <f t="shared" si="1"/>
        <v xml:space="preserve">    s4   Groupe 4</v>
      </c>
      <c r="I32" s="562"/>
    </row>
    <row r="33" spans="8:9" ht="22.5" customHeight="1" x14ac:dyDescent="0.35">
      <c r="H33" s="561" t="str">
        <f t="shared" si="1"/>
        <v/>
      </c>
      <c r="I33" s="562"/>
    </row>
    <row r="34" spans="8:9" ht="22.5" customHeight="1" x14ac:dyDescent="0.35">
      <c r="H34" s="561" t="str">
        <f t="shared" si="1"/>
        <v/>
      </c>
      <c r="I34" s="562"/>
    </row>
    <row r="35" spans="8:9" ht="22.5" customHeight="1" x14ac:dyDescent="0.35">
      <c r="H35" s="561" t="str">
        <f t="shared" si="1"/>
        <v/>
      </c>
      <c r="I35" s="562"/>
    </row>
    <row r="36" spans="8:9" ht="22.5" customHeight="1" x14ac:dyDescent="0.35">
      <c r="H36" s="561" t="str">
        <f t="shared" si="1"/>
        <v/>
      </c>
      <c r="I36" s="562"/>
    </row>
    <row r="37" spans="8:9" ht="22.5" customHeight="1" x14ac:dyDescent="0.35">
      <c r="H37" s="561" t="str">
        <f t="shared" si="1"/>
        <v/>
      </c>
      <c r="I37" s="562"/>
    </row>
    <row r="38" spans="8:9" ht="22.5" customHeight="1" x14ac:dyDescent="0.35">
      <c r="H38" s="561" t="str">
        <f t="shared" si="1"/>
        <v/>
      </c>
      <c r="I38" s="562"/>
    </row>
    <row r="39" spans="8:9" ht="22.5" customHeight="1" x14ac:dyDescent="0.35">
      <c r="H39" s="561" t="str">
        <f t="shared" si="1"/>
        <v/>
      </c>
      <c r="I39" s="562"/>
    </row>
    <row r="40" spans="8:9" ht="22.5" customHeight="1" x14ac:dyDescent="0.35">
      <c r="H40" s="561" t="str">
        <f t="shared" si="1"/>
        <v/>
      </c>
      <c r="I40" s="562"/>
    </row>
    <row r="41" spans="8:9" ht="22.5" customHeight="1" x14ac:dyDescent="0.35">
      <c r="H41" s="561" t="str">
        <f t="shared" si="1"/>
        <v/>
      </c>
      <c r="I41" s="562"/>
    </row>
    <row r="42" spans="8:9" ht="22.5" customHeight="1" x14ac:dyDescent="0.35">
      <c r="H42" s="561" t="str">
        <f t="shared" si="1"/>
        <v/>
      </c>
      <c r="I42" s="562"/>
    </row>
    <row r="43" spans="8:9" ht="22.5" customHeight="1" x14ac:dyDescent="0.35">
      <c r="H43" s="561" t="str">
        <f t="shared" si="1"/>
        <v/>
      </c>
      <c r="I43" s="562"/>
    </row>
    <row r="44" spans="8:9" ht="22.5" customHeight="1" x14ac:dyDescent="0.35">
      <c r="H44" s="561" t="str">
        <f t="shared" si="1"/>
        <v/>
      </c>
      <c r="I44" s="562"/>
    </row>
    <row r="45" spans="8:9" ht="22.5" customHeight="1" x14ac:dyDescent="0.35">
      <c r="H45" s="561" t="str">
        <f t="shared" si="1"/>
        <v/>
      </c>
      <c r="I45" s="562"/>
    </row>
    <row r="46" spans="8:9" ht="22.5" customHeight="1" x14ac:dyDescent="0.35">
      <c r="H46" s="561" t="str">
        <f t="shared" si="1"/>
        <v/>
      </c>
      <c r="I46" s="562"/>
    </row>
    <row r="47" spans="8:9" ht="22.5" customHeight="1" x14ac:dyDescent="0.35">
      <c r="H47" s="561" t="str">
        <f t="shared" si="1"/>
        <v/>
      </c>
      <c r="I47" s="562"/>
    </row>
    <row r="48" spans="8:9" ht="22.5" customHeight="1" x14ac:dyDescent="0.35">
      <c r="H48" s="561" t="str">
        <f t="shared" si="1"/>
        <v/>
      </c>
      <c r="I48" s="562"/>
    </row>
    <row r="49" spans="1:3" ht="22.5" customHeight="1" x14ac:dyDescent="0.3"/>
    <row r="50" spans="1:3" ht="22.5" customHeight="1" x14ac:dyDescent="0.3"/>
    <row r="51" spans="1:3" ht="0.9" customHeight="1" x14ac:dyDescent="0.3">
      <c r="A51" s="399"/>
    </row>
    <row r="52" spans="1:3" ht="22.5" customHeight="1" x14ac:dyDescent="0.3">
      <c r="B52" s="563"/>
      <c r="C52" s="78"/>
    </row>
    <row r="53" spans="1:3" ht="22.5" customHeight="1" x14ac:dyDescent="0.3">
      <c r="B53" s="459"/>
    </row>
    <row r="54" spans="1:3" ht="22.5" customHeight="1" x14ac:dyDescent="0.3"/>
    <row r="55" spans="1:3" ht="22.5" customHeight="1" x14ac:dyDescent="0.3"/>
    <row r="56" spans="1:3" ht="22.5" customHeight="1" x14ac:dyDescent="0.3"/>
    <row r="57" spans="1:3" ht="22.5" customHeight="1" x14ac:dyDescent="0.3"/>
    <row r="58" spans="1:3" ht="22.5" customHeight="1" x14ac:dyDescent="0.3"/>
    <row r="59" spans="1:3" ht="22.5" customHeight="1" x14ac:dyDescent="0.3"/>
    <row r="60" spans="1:3" ht="22.5" customHeight="1" x14ac:dyDescent="0.3"/>
    <row r="61" spans="1:3" ht="22.5" customHeight="1" x14ac:dyDescent="0.3"/>
    <row r="62" spans="1:3" ht="22.5" customHeight="1" x14ac:dyDescent="0.3"/>
    <row r="63" spans="1:3" ht="22.5" customHeight="1" x14ac:dyDescent="0.3"/>
    <row r="64" spans="1:3" ht="22.5" customHeight="1" x14ac:dyDescent="0.3"/>
    <row r="65" spans="1:8" ht="22.5" customHeight="1" x14ac:dyDescent="0.3"/>
    <row r="66" spans="1:8" ht="22.5" customHeight="1" x14ac:dyDescent="0.3"/>
    <row r="67" spans="1:8" ht="22.5" customHeight="1" x14ac:dyDescent="0.3"/>
    <row r="68" spans="1:8" ht="22.5" customHeight="1" x14ac:dyDescent="0.3"/>
    <row r="69" spans="1:8" ht="22.5" customHeight="1" x14ac:dyDescent="0.3"/>
    <row r="70" spans="1:8" ht="22.5" customHeight="1" x14ac:dyDescent="0.3"/>
    <row r="71" spans="1:8" ht="22.5" customHeight="1" x14ac:dyDescent="0.3"/>
    <row r="72" spans="1:8" ht="22.5" customHeight="1" x14ac:dyDescent="0.3">
      <c r="H72" s="564" t="str">
        <f ca="1">' '!A367</f>
        <v>Copy arrow: ctrl and left mouse button</v>
      </c>
    </row>
    <row r="73" spans="1:8" ht="22.5" customHeight="1" x14ac:dyDescent="0.3">
      <c r="H73" s="356" t="str">
        <f ca="1">' '!A344</f>
        <v>Frequent contacts</v>
      </c>
    </row>
    <row r="74" spans="1:8" ht="22.5" customHeight="1" x14ac:dyDescent="0.3">
      <c r="H74" s="356" t="str">
        <f ca="1">' '!A345</f>
        <v>Regular contacts</v>
      </c>
    </row>
    <row r="75" spans="1:8" ht="22.5" customHeight="1" x14ac:dyDescent="0.3">
      <c r="H75" s="356" t="str">
        <f ca="1">' '!A346</f>
        <v>Rare contacts</v>
      </c>
    </row>
    <row r="76" spans="1:8" ht="22.5" customHeight="1" x14ac:dyDescent="0.3">
      <c r="B76" s="565" t="s">
        <v>1136</v>
      </c>
    </row>
    <row r="77" spans="1:8" ht="0.9" customHeight="1" x14ac:dyDescent="0.3">
      <c r="A77" s="399"/>
    </row>
  </sheetData>
  <sheetProtection sheet="1" objects="1" scenarios="1" formatCells="0" formatColumns="0" formatRows="0" insertHyperlinks="0" selectLockedCells="1" sort="0" autoFilter="0"/>
  <conditionalFormatting sqref="D6:D25">
    <cfRule type="iconSet" priority="4">
      <iconSet iconSet="5Rating">
        <cfvo type="percent" val="0"/>
        <cfvo type="num" val="2"/>
        <cfvo type="num" val="5"/>
        <cfvo type="num" val="7"/>
        <cfvo type="num" val="9"/>
      </iconSet>
    </cfRule>
  </conditionalFormatting>
  <conditionalFormatting sqref="E6:E25">
    <cfRule type="iconSet" priority="1">
      <iconSet iconSet="5Rating">
        <cfvo type="percent" val="0"/>
        <cfvo type="num" val="2"/>
        <cfvo type="num" val="5"/>
        <cfvo type="num" val="7"/>
        <cfvo type="num" val="9"/>
      </iconSet>
    </cfRule>
  </conditionalFormatting>
  <conditionalFormatting sqref="B6:J25">
    <cfRule type="expression" dxfId="97" priority="17853">
      <formula>MOD(ROW(A1),2)=0</formula>
    </cfRule>
    <cfRule type="expression" dxfId="96" priority="17854">
      <formula>MOD(ROW(A2),2)=0</formula>
    </cfRule>
  </conditionalFormatting>
  <dataValidations count="2">
    <dataValidation type="list" allowBlank="1" showInputMessage="1" showErrorMessage="1" sqref="D54:E97 D6:E25" xr:uid="{00000000-0002-0000-0D00-000000000000}">
      <formula1>"1,2,3,4,5,6,7,8,9,10"</formula1>
    </dataValidation>
    <dataValidation type="list" allowBlank="1" showInputMessage="1" showErrorMessage="1" sqref="J6:J25 G54:G97 J82:J97 G6:G25" xr:uid="{00000000-0002-0000-0D00-000001000000}">
      <formula1>"1,2,3"</formula1>
    </dataValidation>
  </dataValidations>
  <printOptions horizontalCentered="1"/>
  <pageMargins left="0.23622047244094491" right="0.23622047244094491" top="0.19685039370078741" bottom="0.19685039370078741" header="0.19685039370078741" footer="0.19685039370078741"/>
  <pageSetup paperSize="8" scale="90" fitToWidth="2" fitToHeight="2" orientation="portrait" r:id="rId1"/>
  <headerFooter>
    <oddFooter>&amp;L&amp;8&amp;K00-048(c) S.Imboden&amp;R&amp;8&amp;K00-048Seite &amp;P von &amp;N</oddFooter>
  </headerFooter>
  <rowBreaks count="1" manualBreakCount="1">
    <brk id="26"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2" id="{83AAFF7B-A03A-46DE-A5EF-BE31A20D9EAB}">
            <x14:iconSet iconSet="3Stars" showValue="0" custom="1">
              <x14:cfvo type="percent">
                <xm:f>0</xm:f>
              </x14:cfvo>
              <x14:cfvo type="num">
                <xm:f>2</xm:f>
              </x14:cfvo>
              <x14:cfvo type="num">
                <xm:f>3</xm:f>
              </x14:cfvo>
              <x14:cfIcon iconSet="5Quarters" iconId="0"/>
              <x14:cfIcon iconSet="5Quarters" iconId="2"/>
              <x14:cfIcon iconSet="4RedToBlack" iconId="0"/>
            </x14:iconSet>
          </x14:cfRule>
          <xm:sqref>G6:G25</xm:sqref>
        </x14:conditionalFormatting>
        <x14:conditionalFormatting xmlns:xm="http://schemas.microsoft.com/office/excel/2006/main">
          <x14:cfRule type="iconSet" priority="3" id="{36CFF45E-9C16-42EF-AA2F-11ADAD917CB7}">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J6:J25</xm:sqref>
        </x14:conditionalFormatting>
        <x14:conditionalFormatting xmlns:xm="http://schemas.microsoft.com/office/excel/2006/main">
          <x14:cfRule type="iconSet" priority="7" id="{E30531E3-6768-4896-BA45-9127960BAA76}">
            <x14:iconSet iconSet="5Boxes">
              <x14:cfvo type="percent">
                <xm:f>0</xm:f>
              </x14:cfvo>
              <x14:cfvo type="num">
                <xm:f>3</xm:f>
              </x14:cfvo>
              <x14:cfvo type="num">
                <xm:f>6</xm:f>
              </x14:cfvo>
              <x14:cfvo type="num">
                <xm:f>9</xm:f>
              </x14:cfvo>
              <x14:cfvo type="num">
                <xm:f>10</xm:f>
              </x14:cfvo>
            </x14:iconSet>
          </x14:cfRule>
          <xm:sqref>D99:D5192 D26</xm:sqref>
        </x14:conditionalFormatting>
        <x14:conditionalFormatting xmlns:xm="http://schemas.microsoft.com/office/excel/2006/main">
          <x14:cfRule type="iconSet" priority="8" id="{C85EA8DB-FC1C-4EF3-951C-4FCD884D779B}">
            <x14:iconSet iconSet="5Boxes">
              <x14:cfvo type="percent">
                <xm:f>0</xm:f>
              </x14:cfvo>
              <x14:cfvo type="num">
                <xm:f>3</xm:f>
              </x14:cfvo>
              <x14:cfvo type="num">
                <xm:f>6</xm:f>
              </x14:cfvo>
              <x14:cfvo type="num">
                <xm:f>9</xm:f>
              </x14:cfvo>
              <x14:cfvo type="num">
                <xm:f>10</xm:f>
              </x14:cfvo>
            </x14:iconSet>
          </x14:cfRule>
          <xm:sqref>D27:D97</xm:sqref>
        </x14:conditionalFormatting>
      </x14:conditionalFormatting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
    <tabColor theme="4" tint="0.59999389629810485"/>
  </sheetPr>
  <dimension ref="A1:Q90"/>
  <sheetViews>
    <sheetView showGridLines="0" zoomScaleNormal="100" workbookViewId="0">
      <pane ySplit="5" topLeftCell="A6" activePane="bottomLeft" state="frozen"/>
      <selection activeCell="C28" sqref="C28"/>
      <selection pane="bottomLeft" activeCell="A2" sqref="A2"/>
    </sheetView>
  </sheetViews>
  <sheetFormatPr baseColWidth="10" defaultColWidth="11.44140625" defaultRowHeight="18.75" customHeight="1" x14ac:dyDescent="0.3"/>
  <cols>
    <col min="1" max="1" width="7" style="355" customWidth="1"/>
    <col min="2" max="2" width="3.109375" style="494" customWidth="1"/>
    <col min="3" max="3" width="43.5546875" style="495" customWidth="1"/>
    <col min="4" max="4" width="2.88671875" style="496" customWidth="1"/>
    <col min="5" max="5" width="18.44140625" style="495" customWidth="1"/>
    <col min="6" max="6" width="11.5546875" style="495" customWidth="1"/>
    <col min="7" max="7" width="11.109375" style="495" customWidth="1"/>
    <col min="8" max="8" width="12.109375" style="495" customWidth="1"/>
    <col min="9" max="9" width="4.5546875" style="496" customWidth="1"/>
    <col min="10" max="10" width="69.44140625" style="355" customWidth="1"/>
    <col min="11" max="28" width="3.88671875" style="355" customWidth="1"/>
    <col min="29" max="16384" width="11.44140625" style="355"/>
  </cols>
  <sheetData>
    <row r="1" spans="1:17" s="70" customFormat="1" ht="45" customHeight="1" x14ac:dyDescent="0.6">
      <c r="B1" s="827" t="str">
        <f ca="1">' '!A290</f>
        <v>P R O J E C T    C O N T R O L L I N G</v>
      </c>
      <c r="C1" s="465"/>
      <c r="D1" s="73"/>
      <c r="E1" s="71"/>
      <c r="F1" s="73"/>
      <c r="G1" s="71"/>
      <c r="H1" s="71"/>
      <c r="I1" s="466"/>
      <c r="J1" s="132"/>
    </row>
    <row r="2" spans="1:17" s="78" customFormat="1" ht="0.9" customHeight="1" x14ac:dyDescent="0.3">
      <c r="A2" s="75"/>
      <c r="B2" s="467"/>
      <c r="C2" s="468"/>
      <c r="D2" s="461"/>
      <c r="E2" s="467"/>
      <c r="F2" s="467"/>
      <c r="G2" s="467"/>
      <c r="H2" s="467"/>
      <c r="I2" s="469"/>
    </row>
    <row r="3" spans="1:17" ht="21" customHeight="1" x14ac:dyDescent="0.3">
      <c r="A3" s="70"/>
      <c r="B3" s="221"/>
      <c r="C3" s="221"/>
      <c r="D3" s="462"/>
      <c r="E3" s="221"/>
      <c r="F3" s="221"/>
      <c r="G3" s="221"/>
      <c r="H3" s="221"/>
      <c r="I3" s="470"/>
    </row>
    <row r="4" spans="1:17" ht="21" customHeight="1" x14ac:dyDescent="0.3">
      <c r="A4" s="463">
        <f>COUNTA(C6:C89)</f>
        <v>1</v>
      </c>
      <c r="B4" s="471" t="str">
        <f ca="1">' '!A291</f>
        <v>No.</v>
      </c>
      <c r="C4" s="472" t="str">
        <f ca="1">' '!A292</f>
        <v>Projects</v>
      </c>
      <c r="D4" s="473" t="s">
        <v>638</v>
      </c>
      <c r="E4" s="474" t="str">
        <f ca="1">' '!A295</f>
        <v>Who?</v>
      </c>
      <c r="F4" s="474" t="str">
        <f ca="1">' '!A293</f>
        <v>Start</v>
      </c>
      <c r="G4" s="474" t="str">
        <f ca="1">' '!A294</f>
        <v>Finish</v>
      </c>
      <c r="H4" s="474" t="str">
        <f ca="1">' '!A189</f>
        <v xml:space="preserve"> In %</v>
      </c>
      <c r="I4" s="475"/>
      <c r="J4" s="476" t="str">
        <f ca="1">' '!A296</f>
        <v>Remarks</v>
      </c>
    </row>
    <row r="5" spans="1:17" ht="10.5" customHeight="1" x14ac:dyDescent="0.3">
      <c r="B5" s="477"/>
      <c r="C5" s="478"/>
      <c r="D5" s="479"/>
      <c r="E5" s="480"/>
      <c r="F5" s="480"/>
      <c r="G5" s="480"/>
      <c r="H5" s="480"/>
      <c r="I5" s="481"/>
      <c r="J5" s="482"/>
    </row>
    <row r="6" spans="1:17" ht="14.4" x14ac:dyDescent="0.3">
      <c r="B6" s="464" t="s">
        <v>639</v>
      </c>
      <c r="C6" s="483" t="s">
        <v>696</v>
      </c>
      <c r="D6" s="484">
        <v>1</v>
      </c>
      <c r="E6" s="485" t="s">
        <v>698</v>
      </c>
      <c r="F6" s="485">
        <v>41640</v>
      </c>
      <c r="G6" s="485">
        <v>42004</v>
      </c>
      <c r="H6" s="853">
        <v>0.5</v>
      </c>
      <c r="I6" s="486">
        <v>3</v>
      </c>
      <c r="J6" s="487"/>
    </row>
    <row r="7" spans="1:17" ht="14.4" x14ac:dyDescent="0.3">
      <c r="B7" s="464" t="s">
        <v>640</v>
      </c>
      <c r="C7" s="483"/>
      <c r="D7" s="488">
        <v>2</v>
      </c>
      <c r="E7" s="485"/>
      <c r="F7" s="485"/>
      <c r="G7" s="485"/>
      <c r="H7" s="853"/>
      <c r="I7" s="486">
        <v>2</v>
      </c>
      <c r="J7" s="487"/>
    </row>
    <row r="8" spans="1:17" ht="14.4" x14ac:dyDescent="0.3">
      <c r="B8" s="464" t="s">
        <v>641</v>
      </c>
      <c r="C8" s="483"/>
      <c r="D8" s="484">
        <v>3</v>
      </c>
      <c r="E8" s="485"/>
      <c r="F8" s="485"/>
      <c r="G8" s="485"/>
      <c r="H8" s="853"/>
      <c r="I8" s="486"/>
      <c r="J8" s="487"/>
      <c r="N8" s="78"/>
    </row>
    <row r="9" spans="1:17" ht="14.4" x14ac:dyDescent="0.3">
      <c r="B9" s="464" t="s">
        <v>642</v>
      </c>
      <c r="C9" s="483"/>
      <c r="D9" s="488"/>
      <c r="E9" s="485"/>
      <c r="F9" s="485"/>
      <c r="G9" s="485"/>
      <c r="H9" s="853"/>
      <c r="I9" s="486"/>
      <c r="J9" s="487"/>
      <c r="N9" s="78"/>
    </row>
    <row r="10" spans="1:17" ht="14.4" x14ac:dyDescent="0.3">
      <c r="B10" s="464" t="s">
        <v>643</v>
      </c>
      <c r="C10" s="483"/>
      <c r="D10" s="484"/>
      <c r="E10" s="485"/>
      <c r="F10" s="485"/>
      <c r="G10" s="485"/>
      <c r="H10" s="853"/>
      <c r="I10" s="486"/>
      <c r="J10" s="487"/>
      <c r="N10" s="78"/>
    </row>
    <row r="11" spans="1:17" ht="14.4" x14ac:dyDescent="0.3">
      <c r="B11" s="464" t="s">
        <v>644</v>
      </c>
      <c r="C11" s="483"/>
      <c r="D11" s="488"/>
      <c r="E11" s="485"/>
      <c r="F11" s="485"/>
      <c r="G11" s="485"/>
      <c r="H11" s="853"/>
      <c r="I11" s="486"/>
      <c r="J11" s="487"/>
      <c r="N11" s="78"/>
      <c r="Q11" s="78"/>
    </row>
    <row r="12" spans="1:17" ht="14.4" x14ac:dyDescent="0.3">
      <c r="B12" s="464" t="s">
        <v>645</v>
      </c>
      <c r="C12" s="483"/>
      <c r="D12" s="484"/>
      <c r="E12" s="485"/>
      <c r="F12" s="485"/>
      <c r="G12" s="485"/>
      <c r="H12" s="853"/>
      <c r="I12" s="486"/>
      <c r="J12" s="487"/>
      <c r="N12" s="78"/>
      <c r="Q12" s="78"/>
    </row>
    <row r="13" spans="1:17" ht="14.4" x14ac:dyDescent="0.3">
      <c r="B13" s="464" t="s">
        <v>646</v>
      </c>
      <c r="C13" s="483"/>
      <c r="D13" s="488"/>
      <c r="E13" s="485"/>
      <c r="F13" s="485"/>
      <c r="G13" s="485"/>
      <c r="H13" s="853"/>
      <c r="I13" s="486"/>
      <c r="J13" s="487"/>
      <c r="N13" s="78"/>
      <c r="P13" s="150"/>
      <c r="Q13" s="78"/>
    </row>
    <row r="14" spans="1:17" ht="14.4" x14ac:dyDescent="0.3">
      <c r="B14" s="464" t="s">
        <v>647</v>
      </c>
      <c r="C14" s="483"/>
      <c r="D14" s="484"/>
      <c r="E14" s="485"/>
      <c r="F14" s="485"/>
      <c r="G14" s="485"/>
      <c r="H14" s="853"/>
      <c r="I14" s="486"/>
      <c r="J14" s="487"/>
      <c r="N14" s="78"/>
      <c r="O14" s="150"/>
      <c r="P14" s="78"/>
      <c r="Q14" s="78"/>
    </row>
    <row r="15" spans="1:17" ht="14.4" x14ac:dyDescent="0.3">
      <c r="B15" s="464" t="s">
        <v>648</v>
      </c>
      <c r="C15" s="483"/>
      <c r="D15" s="488"/>
      <c r="E15" s="485"/>
      <c r="F15" s="485"/>
      <c r="G15" s="485"/>
      <c r="H15" s="853"/>
      <c r="I15" s="486"/>
      <c r="J15" s="487"/>
      <c r="N15" s="78"/>
      <c r="O15" s="78"/>
      <c r="P15" s="78"/>
      <c r="Q15" s="78"/>
    </row>
    <row r="16" spans="1:17" ht="14.4" x14ac:dyDescent="0.3">
      <c r="B16" s="464" t="s">
        <v>649</v>
      </c>
      <c r="C16" s="483"/>
      <c r="D16" s="484"/>
      <c r="E16" s="485"/>
      <c r="F16" s="485"/>
      <c r="G16" s="485"/>
      <c r="H16" s="853"/>
      <c r="I16" s="486"/>
      <c r="J16" s="487"/>
      <c r="N16" s="78"/>
      <c r="O16" s="78"/>
      <c r="P16" s="78"/>
      <c r="Q16" s="78"/>
    </row>
    <row r="17" spans="2:10" ht="14.4" x14ac:dyDescent="0.3">
      <c r="B17" s="464" t="s">
        <v>650</v>
      </c>
      <c r="C17" s="483"/>
      <c r="D17" s="488"/>
      <c r="E17" s="485"/>
      <c r="F17" s="485"/>
      <c r="G17" s="485"/>
      <c r="H17" s="853"/>
      <c r="I17" s="486"/>
      <c r="J17" s="487"/>
    </row>
    <row r="18" spans="2:10" ht="14.4" x14ac:dyDescent="0.3">
      <c r="B18" s="464" t="s">
        <v>651</v>
      </c>
      <c r="C18" s="483"/>
      <c r="D18" s="484"/>
      <c r="E18" s="485"/>
      <c r="F18" s="485"/>
      <c r="G18" s="485"/>
      <c r="H18" s="853"/>
      <c r="I18" s="486"/>
      <c r="J18" s="487"/>
    </row>
    <row r="19" spans="2:10" ht="14.4" x14ac:dyDescent="0.3">
      <c r="B19" s="464" t="s">
        <v>652</v>
      </c>
      <c r="C19" s="483"/>
      <c r="D19" s="488"/>
      <c r="E19" s="485"/>
      <c r="F19" s="485"/>
      <c r="G19" s="485"/>
      <c r="H19" s="853"/>
      <c r="I19" s="486"/>
      <c r="J19" s="487"/>
    </row>
    <row r="20" spans="2:10" ht="14.4" x14ac:dyDescent="0.3">
      <c r="B20" s="464" t="s">
        <v>653</v>
      </c>
      <c r="C20" s="483"/>
      <c r="D20" s="484"/>
      <c r="E20" s="485"/>
      <c r="F20" s="485"/>
      <c r="G20" s="485"/>
      <c r="H20" s="853"/>
      <c r="I20" s="486"/>
      <c r="J20" s="487"/>
    </row>
    <row r="21" spans="2:10" ht="14.4" x14ac:dyDescent="0.3">
      <c r="B21" s="464" t="s">
        <v>654</v>
      </c>
      <c r="C21" s="483"/>
      <c r="D21" s="488"/>
      <c r="E21" s="485"/>
      <c r="F21" s="485"/>
      <c r="G21" s="485"/>
      <c r="H21" s="853"/>
      <c r="I21" s="486"/>
      <c r="J21" s="487"/>
    </row>
    <row r="22" spans="2:10" ht="14.4" x14ac:dyDescent="0.3">
      <c r="B22" s="464" t="s">
        <v>655</v>
      </c>
      <c r="C22" s="483"/>
      <c r="D22" s="484"/>
      <c r="E22" s="485"/>
      <c r="F22" s="485"/>
      <c r="G22" s="485"/>
      <c r="H22" s="853"/>
      <c r="I22" s="486"/>
      <c r="J22" s="487"/>
    </row>
    <row r="23" spans="2:10" ht="14.4" x14ac:dyDescent="0.3">
      <c r="B23" s="464" t="s">
        <v>656</v>
      </c>
      <c r="C23" s="483"/>
      <c r="D23" s="488"/>
      <c r="E23" s="485"/>
      <c r="F23" s="485"/>
      <c r="G23" s="485"/>
      <c r="H23" s="853"/>
      <c r="I23" s="486"/>
      <c r="J23" s="487"/>
    </row>
    <row r="24" spans="2:10" ht="14.4" x14ac:dyDescent="0.3">
      <c r="B24" s="464" t="s">
        <v>657</v>
      </c>
      <c r="C24" s="483"/>
      <c r="D24" s="484"/>
      <c r="E24" s="485"/>
      <c r="F24" s="485"/>
      <c r="G24" s="485"/>
      <c r="H24" s="853"/>
      <c r="I24" s="486"/>
      <c r="J24" s="487"/>
    </row>
    <row r="25" spans="2:10" ht="14.4" x14ac:dyDescent="0.3">
      <c r="B25" s="464" t="s">
        <v>658</v>
      </c>
      <c r="C25" s="483"/>
      <c r="D25" s="488"/>
      <c r="E25" s="485"/>
      <c r="F25" s="485"/>
      <c r="G25" s="485"/>
      <c r="H25" s="853"/>
      <c r="I25" s="486"/>
      <c r="J25" s="487"/>
    </row>
    <row r="26" spans="2:10" ht="14.4" x14ac:dyDescent="0.3">
      <c r="B26" s="464" t="s">
        <v>659</v>
      </c>
      <c r="C26" s="483"/>
      <c r="D26" s="484"/>
      <c r="E26" s="485"/>
      <c r="F26" s="485"/>
      <c r="G26" s="485"/>
      <c r="H26" s="853"/>
      <c r="I26" s="486"/>
      <c r="J26" s="487"/>
    </row>
    <row r="27" spans="2:10" ht="14.4" x14ac:dyDescent="0.3">
      <c r="B27" s="464" t="s">
        <v>660</v>
      </c>
      <c r="C27" s="483"/>
      <c r="D27" s="488"/>
      <c r="E27" s="485"/>
      <c r="F27" s="485"/>
      <c r="G27" s="485"/>
      <c r="H27" s="853"/>
      <c r="I27" s="486"/>
      <c r="J27" s="487"/>
    </row>
    <row r="28" spans="2:10" ht="14.4" x14ac:dyDescent="0.3">
      <c r="B28" s="464" t="s">
        <v>661</v>
      </c>
      <c r="C28" s="483"/>
      <c r="D28" s="484"/>
      <c r="E28" s="485"/>
      <c r="F28" s="485"/>
      <c r="G28" s="485"/>
      <c r="H28" s="853"/>
      <c r="I28" s="486"/>
      <c r="J28" s="487"/>
    </row>
    <row r="29" spans="2:10" ht="14.4" x14ac:dyDescent="0.3">
      <c r="B29" s="464" t="s">
        <v>662</v>
      </c>
      <c r="C29" s="483"/>
      <c r="D29" s="488"/>
      <c r="E29" s="485"/>
      <c r="F29" s="485"/>
      <c r="G29" s="485"/>
      <c r="H29" s="853"/>
      <c r="I29" s="486"/>
      <c r="J29" s="487"/>
    </row>
    <row r="30" spans="2:10" ht="14.4" x14ac:dyDescent="0.3">
      <c r="B30" s="464" t="s">
        <v>663</v>
      </c>
      <c r="C30" s="483"/>
      <c r="D30" s="484"/>
      <c r="E30" s="485"/>
      <c r="F30" s="485"/>
      <c r="G30" s="485"/>
      <c r="H30" s="853"/>
      <c r="I30" s="486"/>
      <c r="J30" s="487"/>
    </row>
    <row r="31" spans="2:10" ht="14.4" x14ac:dyDescent="0.3">
      <c r="B31" s="464" t="s">
        <v>664</v>
      </c>
      <c r="C31" s="483"/>
      <c r="D31" s="488"/>
      <c r="E31" s="485"/>
      <c r="F31" s="485"/>
      <c r="G31" s="485"/>
      <c r="H31" s="853"/>
      <c r="I31" s="486"/>
      <c r="J31" s="487"/>
    </row>
    <row r="32" spans="2:10" ht="14.4" x14ac:dyDescent="0.3">
      <c r="B32" s="464" t="s">
        <v>665</v>
      </c>
      <c r="C32" s="483"/>
      <c r="D32" s="484"/>
      <c r="E32" s="485"/>
      <c r="F32" s="485"/>
      <c r="G32" s="485"/>
      <c r="H32" s="853"/>
      <c r="I32" s="486"/>
      <c r="J32" s="487"/>
    </row>
    <row r="33" spans="2:10" ht="14.4" x14ac:dyDescent="0.3">
      <c r="B33" s="464" t="s">
        <v>666</v>
      </c>
      <c r="C33" s="483"/>
      <c r="D33" s="488"/>
      <c r="E33" s="485"/>
      <c r="F33" s="485"/>
      <c r="G33" s="485"/>
      <c r="H33" s="853"/>
      <c r="I33" s="486"/>
      <c r="J33" s="487"/>
    </row>
    <row r="34" spans="2:10" ht="14.4" x14ac:dyDescent="0.3">
      <c r="B34" s="464" t="s">
        <v>667</v>
      </c>
      <c r="C34" s="483"/>
      <c r="D34" s="484"/>
      <c r="E34" s="485"/>
      <c r="F34" s="485"/>
      <c r="G34" s="485"/>
      <c r="H34" s="853"/>
      <c r="I34" s="486"/>
      <c r="J34" s="487"/>
    </row>
    <row r="35" spans="2:10" ht="14.4" x14ac:dyDescent="0.3">
      <c r="B35" s="464" t="s">
        <v>668</v>
      </c>
      <c r="C35" s="483"/>
      <c r="D35" s="488"/>
      <c r="E35" s="485"/>
      <c r="F35" s="485"/>
      <c r="G35" s="485"/>
      <c r="H35" s="853"/>
      <c r="I35" s="486"/>
      <c r="J35" s="487"/>
    </row>
    <row r="36" spans="2:10" ht="14.4" x14ac:dyDescent="0.3">
      <c r="B36" s="464" t="s">
        <v>669</v>
      </c>
      <c r="C36" s="483"/>
      <c r="D36" s="484"/>
      <c r="E36" s="485"/>
      <c r="F36" s="485"/>
      <c r="G36" s="485"/>
      <c r="H36" s="853"/>
      <c r="I36" s="486"/>
      <c r="J36" s="487"/>
    </row>
    <row r="37" spans="2:10" ht="14.4" x14ac:dyDescent="0.3">
      <c r="B37" s="464" t="s">
        <v>670</v>
      </c>
      <c r="C37" s="483"/>
      <c r="D37" s="488"/>
      <c r="E37" s="485"/>
      <c r="F37" s="485"/>
      <c r="G37" s="485"/>
      <c r="H37" s="853"/>
      <c r="I37" s="486"/>
      <c r="J37" s="487"/>
    </row>
    <row r="38" spans="2:10" ht="14.4" x14ac:dyDescent="0.3">
      <c r="B38" s="464" t="s">
        <v>671</v>
      </c>
      <c r="C38" s="483"/>
      <c r="D38" s="484"/>
      <c r="E38" s="485"/>
      <c r="F38" s="485"/>
      <c r="G38" s="485"/>
      <c r="H38" s="853"/>
      <c r="I38" s="486"/>
      <c r="J38" s="487"/>
    </row>
    <row r="39" spans="2:10" ht="14.4" x14ac:dyDescent="0.3">
      <c r="B39" s="464" t="s">
        <v>672</v>
      </c>
      <c r="C39" s="483"/>
      <c r="D39" s="488"/>
      <c r="E39" s="485"/>
      <c r="F39" s="485"/>
      <c r="G39" s="485"/>
      <c r="H39" s="853"/>
      <c r="I39" s="486"/>
      <c r="J39" s="487"/>
    </row>
    <row r="40" spans="2:10" ht="14.4" x14ac:dyDescent="0.3">
      <c r="B40" s="464" t="s">
        <v>673</v>
      </c>
      <c r="C40" s="483"/>
      <c r="D40" s="484"/>
      <c r="E40" s="485"/>
      <c r="F40" s="485"/>
      <c r="G40" s="485"/>
      <c r="H40" s="853"/>
      <c r="I40" s="486"/>
      <c r="J40" s="487"/>
    </row>
    <row r="41" spans="2:10" ht="14.4" x14ac:dyDescent="0.3">
      <c r="B41" s="464" t="s">
        <v>674</v>
      </c>
      <c r="C41" s="483"/>
      <c r="D41" s="488"/>
      <c r="E41" s="485"/>
      <c r="F41" s="485"/>
      <c r="G41" s="485"/>
      <c r="H41" s="853"/>
      <c r="I41" s="486"/>
      <c r="J41" s="487"/>
    </row>
    <row r="42" spans="2:10" ht="14.4" x14ac:dyDescent="0.3">
      <c r="B42" s="464" t="s">
        <v>675</v>
      </c>
      <c r="C42" s="483"/>
      <c r="D42" s="484"/>
      <c r="E42" s="485"/>
      <c r="F42" s="485"/>
      <c r="G42" s="485"/>
      <c r="H42" s="853"/>
      <c r="I42" s="486"/>
      <c r="J42" s="487"/>
    </row>
    <row r="43" spans="2:10" ht="14.4" x14ac:dyDescent="0.3">
      <c r="B43" s="464" t="s">
        <v>676</v>
      </c>
      <c r="C43" s="483"/>
      <c r="D43" s="488"/>
      <c r="E43" s="485"/>
      <c r="F43" s="485"/>
      <c r="G43" s="485"/>
      <c r="H43" s="853"/>
      <c r="I43" s="486"/>
      <c r="J43" s="487"/>
    </row>
    <row r="44" spans="2:10" ht="14.4" x14ac:dyDescent="0.3">
      <c r="B44" s="464" t="s">
        <v>677</v>
      </c>
      <c r="C44" s="483"/>
      <c r="D44" s="484"/>
      <c r="E44" s="485"/>
      <c r="F44" s="485"/>
      <c r="G44" s="485"/>
      <c r="H44" s="853"/>
      <c r="I44" s="486"/>
      <c r="J44" s="487"/>
    </row>
    <row r="45" spans="2:10" ht="14.4" x14ac:dyDescent="0.3">
      <c r="B45" s="464" t="s">
        <v>678</v>
      </c>
      <c r="C45" s="483"/>
      <c r="D45" s="488"/>
      <c r="E45" s="485"/>
      <c r="F45" s="485"/>
      <c r="G45" s="485"/>
      <c r="H45" s="853"/>
      <c r="I45" s="486"/>
      <c r="J45" s="487"/>
    </row>
    <row r="46" spans="2:10" ht="14.4" x14ac:dyDescent="0.3">
      <c r="B46" s="464" t="s">
        <v>679</v>
      </c>
      <c r="C46" s="483"/>
      <c r="D46" s="484"/>
      <c r="E46" s="485"/>
      <c r="F46" s="485"/>
      <c r="G46" s="485"/>
      <c r="H46" s="853"/>
      <c r="I46" s="486"/>
      <c r="J46" s="487"/>
    </row>
    <row r="47" spans="2:10" ht="14.4" x14ac:dyDescent="0.3">
      <c r="B47" s="464" t="s">
        <v>680</v>
      </c>
      <c r="C47" s="483"/>
      <c r="D47" s="488"/>
      <c r="E47" s="485"/>
      <c r="F47" s="485"/>
      <c r="G47" s="485"/>
      <c r="H47" s="853"/>
      <c r="I47" s="486"/>
      <c r="J47" s="487"/>
    </row>
    <row r="48" spans="2:10" ht="14.4" x14ac:dyDescent="0.3">
      <c r="B48" s="464" t="s">
        <v>681</v>
      </c>
      <c r="C48" s="483"/>
      <c r="D48" s="484"/>
      <c r="E48" s="485"/>
      <c r="F48" s="485"/>
      <c r="G48" s="485"/>
      <c r="H48" s="853"/>
      <c r="I48" s="486"/>
      <c r="J48" s="487"/>
    </row>
    <row r="49" spans="2:10" ht="14.4" x14ac:dyDescent="0.3">
      <c r="B49" s="464" t="s">
        <v>682</v>
      </c>
      <c r="C49" s="483"/>
      <c r="D49" s="488"/>
      <c r="E49" s="485"/>
      <c r="F49" s="485"/>
      <c r="G49" s="485"/>
      <c r="H49" s="853"/>
      <c r="I49" s="486"/>
      <c r="J49" s="487"/>
    </row>
    <row r="50" spans="2:10" ht="14.4" x14ac:dyDescent="0.3">
      <c r="B50" s="464" t="s">
        <v>683</v>
      </c>
      <c r="C50" s="483"/>
      <c r="D50" s="484"/>
      <c r="E50" s="485"/>
      <c r="F50" s="485"/>
      <c r="G50" s="485"/>
      <c r="H50" s="853"/>
      <c r="I50" s="486"/>
      <c r="J50" s="487"/>
    </row>
    <row r="51" spans="2:10" ht="14.4" x14ac:dyDescent="0.3">
      <c r="B51" s="464" t="s">
        <v>684</v>
      </c>
      <c r="C51" s="483"/>
      <c r="D51" s="488"/>
      <c r="E51" s="485"/>
      <c r="F51" s="485"/>
      <c r="G51" s="485"/>
      <c r="H51" s="853"/>
      <c r="I51" s="486"/>
      <c r="J51" s="487"/>
    </row>
    <row r="52" spans="2:10" ht="14.4" x14ac:dyDescent="0.3">
      <c r="B52" s="464" t="s">
        <v>685</v>
      </c>
      <c r="C52" s="483"/>
      <c r="D52" s="484"/>
      <c r="E52" s="485"/>
      <c r="F52" s="485"/>
      <c r="G52" s="485"/>
      <c r="H52" s="853"/>
      <c r="I52" s="486"/>
      <c r="J52" s="487"/>
    </row>
    <row r="53" spans="2:10" ht="14.4" x14ac:dyDescent="0.3">
      <c r="B53" s="464" t="s">
        <v>686</v>
      </c>
      <c r="C53" s="483"/>
      <c r="D53" s="488"/>
      <c r="E53" s="485"/>
      <c r="F53" s="485"/>
      <c r="G53" s="485"/>
      <c r="H53" s="853"/>
      <c r="I53" s="486"/>
      <c r="J53" s="487"/>
    </row>
    <row r="54" spans="2:10" ht="14.4" x14ac:dyDescent="0.3">
      <c r="B54" s="464" t="s">
        <v>687</v>
      </c>
      <c r="C54" s="483"/>
      <c r="D54" s="484"/>
      <c r="E54" s="485"/>
      <c r="F54" s="485"/>
      <c r="G54" s="485"/>
      <c r="H54" s="853"/>
      <c r="I54" s="486"/>
      <c r="J54" s="487"/>
    </row>
    <row r="55" spans="2:10" ht="14.4" x14ac:dyDescent="0.3">
      <c r="B55" s="464" t="s">
        <v>688</v>
      </c>
      <c r="C55" s="483"/>
      <c r="D55" s="488"/>
      <c r="E55" s="485"/>
      <c r="F55" s="485"/>
      <c r="G55" s="485"/>
      <c r="H55" s="853"/>
      <c r="I55" s="486"/>
      <c r="J55" s="487"/>
    </row>
    <row r="56" spans="2:10" ht="14.4" x14ac:dyDescent="0.3">
      <c r="B56" s="464" t="s">
        <v>1160</v>
      </c>
      <c r="C56" s="483"/>
      <c r="D56" s="484"/>
      <c r="E56" s="485"/>
      <c r="F56" s="485"/>
      <c r="G56" s="485"/>
      <c r="H56" s="853"/>
      <c r="I56" s="486"/>
      <c r="J56" s="487"/>
    </row>
    <row r="57" spans="2:10" ht="14.4" x14ac:dyDescent="0.3">
      <c r="B57" s="464" t="s">
        <v>1161</v>
      </c>
      <c r="C57" s="483"/>
      <c r="D57" s="488"/>
      <c r="E57" s="485"/>
      <c r="F57" s="485"/>
      <c r="G57" s="485"/>
      <c r="H57" s="853"/>
      <c r="I57" s="486"/>
      <c r="J57" s="487"/>
    </row>
    <row r="58" spans="2:10" ht="14.4" x14ac:dyDescent="0.3">
      <c r="B58" s="464" t="s">
        <v>1162</v>
      </c>
      <c r="C58" s="483"/>
      <c r="D58" s="484"/>
      <c r="E58" s="485"/>
      <c r="F58" s="485"/>
      <c r="G58" s="485"/>
      <c r="H58" s="853"/>
      <c r="I58" s="486"/>
      <c r="J58" s="487"/>
    </row>
    <row r="59" spans="2:10" ht="14.4" x14ac:dyDescent="0.3">
      <c r="B59" s="464" t="s">
        <v>1163</v>
      </c>
      <c r="C59" s="483"/>
      <c r="D59" s="488"/>
      <c r="E59" s="485"/>
      <c r="F59" s="485"/>
      <c r="G59" s="485"/>
      <c r="H59" s="853"/>
      <c r="I59" s="486"/>
      <c r="J59" s="487"/>
    </row>
    <row r="60" spans="2:10" ht="14.4" x14ac:dyDescent="0.3">
      <c r="B60" s="464" t="s">
        <v>1164</v>
      </c>
      <c r="C60" s="483"/>
      <c r="D60" s="484"/>
      <c r="E60" s="485"/>
      <c r="F60" s="485"/>
      <c r="G60" s="485"/>
      <c r="H60" s="853"/>
      <c r="I60" s="486"/>
      <c r="J60" s="487"/>
    </row>
    <row r="61" spans="2:10" ht="14.4" x14ac:dyDescent="0.3">
      <c r="B61" s="464" t="s">
        <v>1165</v>
      </c>
      <c r="C61" s="483"/>
      <c r="D61" s="488"/>
      <c r="E61" s="485"/>
      <c r="F61" s="485"/>
      <c r="G61" s="485"/>
      <c r="H61" s="853"/>
      <c r="I61" s="486"/>
      <c r="J61" s="487"/>
    </row>
    <row r="62" spans="2:10" ht="14.4" x14ac:dyDescent="0.3">
      <c r="B62" s="464" t="s">
        <v>1166</v>
      </c>
      <c r="C62" s="483"/>
      <c r="D62" s="484"/>
      <c r="E62" s="485"/>
      <c r="F62" s="485"/>
      <c r="G62" s="485"/>
      <c r="H62" s="853"/>
      <c r="I62" s="486"/>
      <c r="J62" s="487"/>
    </row>
    <row r="63" spans="2:10" ht="14.4" x14ac:dyDescent="0.3">
      <c r="B63" s="464" t="s">
        <v>1167</v>
      </c>
      <c r="C63" s="483"/>
      <c r="D63" s="488"/>
      <c r="E63" s="485"/>
      <c r="F63" s="485"/>
      <c r="G63" s="485"/>
      <c r="H63" s="853"/>
      <c r="I63" s="486"/>
      <c r="J63" s="487"/>
    </row>
    <row r="64" spans="2:10" ht="14.4" x14ac:dyDescent="0.3">
      <c r="B64" s="464" t="s">
        <v>1168</v>
      </c>
      <c r="C64" s="483"/>
      <c r="D64" s="484"/>
      <c r="E64" s="485"/>
      <c r="F64" s="485"/>
      <c r="G64" s="485"/>
      <c r="H64" s="853"/>
      <c r="I64" s="486"/>
      <c r="J64" s="487"/>
    </row>
    <row r="65" spans="2:10" ht="14.4" x14ac:dyDescent="0.3">
      <c r="B65" s="464" t="s">
        <v>1169</v>
      </c>
      <c r="C65" s="483"/>
      <c r="D65" s="488"/>
      <c r="E65" s="485"/>
      <c r="F65" s="485"/>
      <c r="G65" s="485"/>
      <c r="H65" s="853"/>
      <c r="I65" s="486"/>
      <c r="J65" s="487"/>
    </row>
    <row r="66" spans="2:10" ht="14.4" x14ac:dyDescent="0.3">
      <c r="B66" s="464" t="s">
        <v>1170</v>
      </c>
      <c r="C66" s="483"/>
      <c r="D66" s="484"/>
      <c r="E66" s="485"/>
      <c r="F66" s="485"/>
      <c r="G66" s="485"/>
      <c r="H66" s="853"/>
      <c r="I66" s="486"/>
      <c r="J66" s="487"/>
    </row>
    <row r="67" spans="2:10" ht="14.4" x14ac:dyDescent="0.3">
      <c r="B67" s="464" t="s">
        <v>1171</v>
      </c>
      <c r="C67" s="483"/>
      <c r="D67" s="488"/>
      <c r="E67" s="485"/>
      <c r="F67" s="485"/>
      <c r="G67" s="485"/>
      <c r="H67" s="853"/>
      <c r="I67" s="486"/>
      <c r="J67" s="487"/>
    </row>
    <row r="68" spans="2:10" ht="14.4" x14ac:dyDescent="0.3">
      <c r="B68" s="464" t="s">
        <v>1172</v>
      </c>
      <c r="C68" s="483"/>
      <c r="D68" s="484"/>
      <c r="E68" s="485"/>
      <c r="F68" s="485"/>
      <c r="G68" s="485"/>
      <c r="H68" s="853"/>
      <c r="I68" s="486"/>
      <c r="J68" s="487"/>
    </row>
    <row r="69" spans="2:10" ht="14.4" x14ac:dyDescent="0.3">
      <c r="B69" s="464" t="s">
        <v>1173</v>
      </c>
      <c r="C69" s="483"/>
      <c r="D69" s="488"/>
      <c r="E69" s="485"/>
      <c r="F69" s="485"/>
      <c r="G69" s="485"/>
      <c r="H69" s="853"/>
      <c r="I69" s="486"/>
      <c r="J69" s="487"/>
    </row>
    <row r="70" spans="2:10" ht="14.4" x14ac:dyDescent="0.3">
      <c r="B70" s="464" t="s">
        <v>1174</v>
      </c>
      <c r="C70" s="483"/>
      <c r="D70" s="484"/>
      <c r="E70" s="485"/>
      <c r="F70" s="485"/>
      <c r="G70" s="485"/>
      <c r="H70" s="853"/>
      <c r="I70" s="486"/>
      <c r="J70" s="487"/>
    </row>
    <row r="71" spans="2:10" ht="14.4" x14ac:dyDescent="0.3">
      <c r="B71" s="464" t="s">
        <v>1175</v>
      </c>
      <c r="C71" s="483"/>
      <c r="D71" s="488"/>
      <c r="E71" s="485"/>
      <c r="F71" s="485"/>
      <c r="G71" s="485"/>
      <c r="H71" s="853"/>
      <c r="I71" s="486"/>
      <c r="J71" s="487"/>
    </row>
    <row r="72" spans="2:10" ht="14.4" x14ac:dyDescent="0.3">
      <c r="B72" s="464" t="s">
        <v>1176</v>
      </c>
      <c r="C72" s="483"/>
      <c r="D72" s="484"/>
      <c r="E72" s="485"/>
      <c r="F72" s="485"/>
      <c r="G72" s="485"/>
      <c r="H72" s="853"/>
      <c r="I72" s="486"/>
      <c r="J72" s="487"/>
    </row>
    <row r="73" spans="2:10" ht="14.4" x14ac:dyDescent="0.3">
      <c r="B73" s="464" t="s">
        <v>1177</v>
      </c>
      <c r="C73" s="483"/>
      <c r="D73" s="488"/>
      <c r="E73" s="485"/>
      <c r="F73" s="485"/>
      <c r="G73" s="485"/>
      <c r="H73" s="853"/>
      <c r="I73" s="486"/>
      <c r="J73" s="487"/>
    </row>
    <row r="74" spans="2:10" ht="14.4" x14ac:dyDescent="0.3">
      <c r="B74" s="464" t="s">
        <v>1178</v>
      </c>
      <c r="C74" s="483"/>
      <c r="D74" s="484"/>
      <c r="E74" s="485"/>
      <c r="F74" s="485"/>
      <c r="G74" s="485"/>
      <c r="H74" s="853"/>
      <c r="I74" s="486"/>
      <c r="J74" s="487"/>
    </row>
    <row r="75" spans="2:10" ht="14.4" x14ac:dyDescent="0.3">
      <c r="B75" s="464" t="s">
        <v>1179</v>
      </c>
      <c r="C75" s="483"/>
      <c r="D75" s="488"/>
      <c r="E75" s="485"/>
      <c r="F75" s="485"/>
      <c r="G75" s="485"/>
      <c r="H75" s="853"/>
      <c r="I75" s="486"/>
      <c r="J75" s="487"/>
    </row>
    <row r="76" spans="2:10" ht="14.4" x14ac:dyDescent="0.3">
      <c r="B76" s="464" t="s">
        <v>1180</v>
      </c>
      <c r="C76" s="483"/>
      <c r="D76" s="484"/>
      <c r="E76" s="485"/>
      <c r="F76" s="485"/>
      <c r="G76" s="485"/>
      <c r="H76" s="853"/>
      <c r="I76" s="486"/>
      <c r="J76" s="487"/>
    </row>
    <row r="77" spans="2:10" ht="14.4" x14ac:dyDescent="0.3">
      <c r="B77" s="464" t="s">
        <v>1181</v>
      </c>
      <c r="C77" s="483"/>
      <c r="D77" s="488"/>
      <c r="E77" s="485"/>
      <c r="F77" s="485"/>
      <c r="G77" s="485"/>
      <c r="H77" s="853"/>
      <c r="I77" s="486"/>
      <c r="J77" s="487"/>
    </row>
    <row r="78" spans="2:10" ht="14.4" x14ac:dyDescent="0.3">
      <c r="B78" s="464" t="s">
        <v>1182</v>
      </c>
      <c r="C78" s="483"/>
      <c r="D78" s="484"/>
      <c r="E78" s="485"/>
      <c r="F78" s="485"/>
      <c r="G78" s="485"/>
      <c r="H78" s="853"/>
      <c r="I78" s="486"/>
      <c r="J78" s="487"/>
    </row>
    <row r="79" spans="2:10" ht="14.4" x14ac:dyDescent="0.3">
      <c r="B79" s="464" t="s">
        <v>1183</v>
      </c>
      <c r="C79" s="483"/>
      <c r="D79" s="488"/>
      <c r="E79" s="485"/>
      <c r="F79" s="485"/>
      <c r="G79" s="485"/>
      <c r="H79" s="853"/>
      <c r="I79" s="486"/>
      <c r="J79" s="487"/>
    </row>
    <row r="80" spans="2:10" ht="14.4" x14ac:dyDescent="0.3">
      <c r="B80" s="464" t="s">
        <v>1184</v>
      </c>
      <c r="C80" s="483"/>
      <c r="D80" s="484"/>
      <c r="E80" s="485"/>
      <c r="F80" s="485"/>
      <c r="G80" s="485"/>
      <c r="H80" s="853"/>
      <c r="I80" s="486"/>
      <c r="J80" s="487"/>
    </row>
    <row r="81" spans="2:10" ht="14.4" x14ac:dyDescent="0.3">
      <c r="B81" s="464" t="s">
        <v>1185</v>
      </c>
      <c r="C81" s="483"/>
      <c r="D81" s="488"/>
      <c r="E81" s="485"/>
      <c r="F81" s="485"/>
      <c r="G81" s="485"/>
      <c r="H81" s="853"/>
      <c r="I81" s="486"/>
      <c r="J81" s="487"/>
    </row>
    <row r="82" spans="2:10" ht="14.4" x14ac:dyDescent="0.3">
      <c r="B82" s="464" t="s">
        <v>1186</v>
      </c>
      <c r="C82" s="483"/>
      <c r="D82" s="484"/>
      <c r="E82" s="485"/>
      <c r="F82" s="485"/>
      <c r="G82" s="485"/>
      <c r="H82" s="853"/>
      <c r="I82" s="486"/>
      <c r="J82" s="487"/>
    </row>
    <row r="83" spans="2:10" ht="14.4" x14ac:dyDescent="0.3">
      <c r="B83" s="464" t="s">
        <v>1187</v>
      </c>
      <c r="C83" s="483"/>
      <c r="D83" s="488"/>
      <c r="E83" s="485"/>
      <c r="F83" s="485"/>
      <c r="G83" s="485"/>
      <c r="H83" s="853"/>
      <c r="I83" s="486"/>
      <c r="J83" s="487"/>
    </row>
    <row r="84" spans="2:10" ht="14.4" x14ac:dyDescent="0.3">
      <c r="B84" s="464" t="s">
        <v>1188</v>
      </c>
      <c r="C84" s="483"/>
      <c r="D84" s="484"/>
      <c r="E84" s="485"/>
      <c r="F84" s="485"/>
      <c r="G84" s="485"/>
      <c r="H84" s="853"/>
      <c r="I84" s="486"/>
      <c r="J84" s="487"/>
    </row>
    <row r="85" spans="2:10" ht="14.4" x14ac:dyDescent="0.3">
      <c r="B85" s="464" t="s">
        <v>1189</v>
      </c>
      <c r="C85" s="483"/>
      <c r="D85" s="488"/>
      <c r="E85" s="485"/>
      <c r="F85" s="485"/>
      <c r="G85" s="485"/>
      <c r="H85" s="853"/>
      <c r="I85" s="486"/>
      <c r="J85" s="487"/>
    </row>
    <row r="86" spans="2:10" ht="14.4" x14ac:dyDescent="0.3">
      <c r="B86" s="464" t="s">
        <v>1228</v>
      </c>
      <c r="C86" s="483"/>
      <c r="D86" s="484"/>
      <c r="E86" s="485"/>
      <c r="F86" s="485"/>
      <c r="G86" s="485"/>
      <c r="H86" s="853"/>
      <c r="I86" s="486"/>
      <c r="J86" s="487"/>
    </row>
    <row r="87" spans="2:10" ht="14.4" x14ac:dyDescent="0.3">
      <c r="B87" s="464" t="s">
        <v>1229</v>
      </c>
      <c r="C87" s="483"/>
      <c r="D87" s="488"/>
      <c r="E87" s="485"/>
      <c r="F87" s="485"/>
      <c r="G87" s="485"/>
      <c r="H87" s="853"/>
      <c r="I87" s="486"/>
      <c r="J87" s="487"/>
    </row>
    <row r="88" spans="2:10" ht="14.4" x14ac:dyDescent="0.3">
      <c r="B88" s="464" t="s">
        <v>1230</v>
      </c>
      <c r="C88" s="483"/>
      <c r="D88" s="484"/>
      <c r="E88" s="485"/>
      <c r="F88" s="485"/>
      <c r="G88" s="485"/>
      <c r="H88" s="853"/>
      <c r="I88" s="486"/>
      <c r="J88" s="487"/>
    </row>
    <row r="89" spans="2:10" ht="14.4" x14ac:dyDescent="0.3">
      <c r="B89" s="464" t="s">
        <v>1231</v>
      </c>
      <c r="C89" s="483"/>
      <c r="D89" s="488"/>
      <c r="E89" s="485"/>
      <c r="F89" s="485"/>
      <c r="G89" s="485"/>
      <c r="H89" s="853"/>
      <c r="I89" s="486"/>
      <c r="J89" s="487"/>
    </row>
    <row r="90" spans="2:10" ht="15.75" customHeight="1" x14ac:dyDescent="0.3">
      <c r="B90" s="489"/>
      <c r="C90" s="129" t="s">
        <v>1136</v>
      </c>
      <c r="D90" s="490"/>
      <c r="E90" s="490"/>
      <c r="F90" s="490"/>
      <c r="G90" s="490"/>
      <c r="H90" s="490"/>
      <c r="I90" s="491"/>
    </row>
  </sheetData>
  <sheetProtection sheet="1" objects="1" scenarios="1" formatCells="0" formatColumns="0" formatRows="0" insertHyperlinks="0" sort="0" autoFilter="0"/>
  <autoFilter ref="C5:J89" xr:uid="{00000000-0009-0000-0000-000014000000}"/>
  <sortState xmlns:xlrd2="http://schemas.microsoft.com/office/spreadsheetml/2017/richdata2" ref="C6:J16">
    <sortCondition ref="D6:D16"/>
  </sortState>
  <phoneticPr fontId="143" type="noConversion"/>
  <conditionalFormatting sqref="D6:D39">
    <cfRule type="cellIs" dxfId="95" priority="22" operator="equal">
      <formula>3</formula>
    </cfRule>
    <cfRule type="cellIs" dxfId="94" priority="23" operator="equal">
      <formula>2</formula>
    </cfRule>
    <cfRule type="cellIs" dxfId="93" priority="24" operator="equal">
      <formula>1</formula>
    </cfRule>
  </conditionalFormatting>
  <conditionalFormatting sqref="H6:H89">
    <cfRule type="dataBar" priority="1">
      <dataBar>
        <cfvo type="num" val="0"/>
        <cfvo type="num" val="1"/>
        <color theme="0" tint="-0.34998626667073579"/>
      </dataBar>
      <extLst>
        <ext xmlns:x14="http://schemas.microsoft.com/office/spreadsheetml/2009/9/main" uri="{B025F937-C7B1-47D3-B67F-A62EFF666E3E}">
          <x14:id>{2CAFF2B5-1206-4B2A-8DE2-96C8F870F266}</x14:id>
        </ext>
      </extLst>
    </cfRule>
  </conditionalFormatting>
  <conditionalFormatting sqref="C6:J39">
    <cfRule type="expression" dxfId="92" priority="12572">
      <formula>MOD(ROW(A1),2)=0</formula>
    </cfRule>
    <cfRule type="expression" dxfId="91" priority="12573">
      <formula>MOD(ROW(A2),2)=0</formula>
    </cfRule>
  </conditionalFormatting>
  <conditionalFormatting sqref="I6:I39">
    <cfRule type="iconSet" priority="19829">
      <iconSet iconSet="3Symbols2" showValue="0" reverse="1">
        <cfvo type="percent" val="0"/>
        <cfvo type="num" val="1.25"/>
        <cfvo type="num" val="2.25"/>
      </iconSet>
    </cfRule>
  </conditionalFormatting>
  <conditionalFormatting sqref="D40:D89">
    <cfRule type="cellIs" dxfId="90" priority="2" operator="equal">
      <formula>3</formula>
    </cfRule>
    <cfRule type="cellIs" dxfId="89" priority="3" operator="equal">
      <formula>2</formula>
    </cfRule>
    <cfRule type="cellIs" dxfId="88" priority="4" operator="equal">
      <formula>1</formula>
    </cfRule>
  </conditionalFormatting>
  <conditionalFormatting sqref="C40:J89">
    <cfRule type="expression" dxfId="87" priority="6">
      <formula>MOD(ROW(A35),2)=0</formula>
    </cfRule>
    <cfRule type="expression" dxfId="86" priority="15">
      <formula>MOD(ROW(A36),2)=0</formula>
    </cfRule>
  </conditionalFormatting>
  <conditionalFormatting sqref="I40:I89">
    <cfRule type="iconSet" priority="7">
      <iconSet iconSet="3Symbols2" showValue="0" reverse="1">
        <cfvo type="percent" val="0"/>
        <cfvo type="num" val="1.25"/>
        <cfvo type="num" val="2.25"/>
      </iconSet>
    </cfRule>
  </conditionalFormatting>
  <dataValidations count="2">
    <dataValidation type="list" showInputMessage="1" showErrorMessage="1" sqref="I6:I89" xr:uid="{00000000-0002-0000-1400-000000000000}">
      <formula1>"1,2,3"</formula1>
    </dataValidation>
    <dataValidation type="list" allowBlank="1" showInputMessage="1" showErrorMessage="1" errorTitle="Priority" error="Please select priority 1 to 3" sqref="D6:D89" xr:uid="{00000000-0002-0000-1400-000001000000}">
      <formula1>"1,2,3"</formula1>
    </dataValidation>
  </dataValidations>
  <pageMargins left="0.19685039370078741" right="0.19685039370078741" top="0.31496062992125984" bottom="0.43307086614173229" header="0" footer="0.19685039370078741"/>
  <pageSetup paperSize="9" scale="80" fitToHeight="2" orientation="landscape" r:id="rId1"/>
  <headerFooter scaleWithDoc="0">
    <oddFooter>&amp;L&amp;8&amp;K01+049(c) s. imboden&amp;C&amp;8&amp;K01+049printed &amp;D&amp;R&amp;8&amp;K03+000&amp;P/&amp;N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2CAFF2B5-1206-4B2A-8DE2-96C8F870F266}">
            <x14:dataBar minLength="0" maxLength="100">
              <x14:cfvo type="num">
                <xm:f>0</xm:f>
              </x14:cfvo>
              <x14:cfvo type="num">
                <xm:f>1</xm:f>
              </x14:cfvo>
              <x14:negativeFillColor rgb="FFFF0000"/>
              <x14:axisColor rgb="FF000000"/>
            </x14:dataBar>
          </x14:cfRule>
          <xm:sqref>H6:H89</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InputMessage="1" showErrorMessage="1" error="Name not in the list!" xr:uid="{00000000-0002-0000-1400-000002000000}">
          <x14:formula1>
            <xm:f>Projektteam!$AZ$10:$AZ$31</xm:f>
          </x14:formula1>
          <xm:sqref>E6:E89</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Tabelle5">
    <tabColor theme="5" tint="0.59999389629810485"/>
    <pageSetUpPr fitToPage="1"/>
  </sheetPr>
  <dimension ref="A1:T86"/>
  <sheetViews>
    <sheetView showGridLines="0" zoomScaleNormal="100" workbookViewId="0">
      <pane ySplit="1" topLeftCell="A2" activePane="bottomLeft" state="frozen"/>
      <selection activeCell="C28" sqref="C28"/>
      <selection pane="bottomLeft" activeCell="B6" sqref="B6"/>
    </sheetView>
  </sheetViews>
  <sheetFormatPr baseColWidth="10" defaultColWidth="11.44140625" defaultRowHeight="18.75" customHeight="1" x14ac:dyDescent="0.3"/>
  <cols>
    <col min="1" max="1" width="3.5546875" style="493" customWidth="1"/>
    <col min="2" max="2" width="4.109375" style="812" bestFit="1" customWidth="1"/>
    <col min="3" max="3" width="27.5546875" style="490" customWidth="1"/>
    <col min="4" max="4" width="3.44140625" style="814" customWidth="1"/>
    <col min="5" max="5" width="28.44140625" style="490" customWidth="1"/>
    <col min="6" max="6" width="37.88671875" style="495" customWidth="1"/>
    <col min="7" max="7" width="19.88671875" style="495" customWidth="1"/>
    <col min="8" max="8" width="20.5546875" style="495" customWidth="1"/>
    <col min="9" max="9" width="2.88671875" style="496" customWidth="1"/>
    <col min="10" max="10" width="10.109375" style="495" customWidth="1"/>
    <col min="11" max="12" width="11.109375" style="495" bestFit="1" customWidth="1"/>
    <col min="13" max="13" width="4.5546875" style="813" customWidth="1"/>
    <col min="14" max="14" width="3.88671875" style="810" customWidth="1"/>
    <col min="15" max="15" width="3.88671875" style="811" customWidth="1"/>
    <col min="16" max="18" width="3.88671875" style="806" customWidth="1"/>
    <col min="19" max="20" width="3.88671875" style="807" customWidth="1"/>
    <col min="21" max="34" width="3.88671875" style="355" customWidth="1"/>
    <col min="35" max="16384" width="11.44140625" style="355"/>
  </cols>
  <sheetData>
    <row r="1" spans="1:13" s="70" customFormat="1" ht="45" customHeight="1" x14ac:dyDescent="0.6">
      <c r="A1" s="205"/>
      <c r="B1" s="773"/>
      <c r="C1" s="825" t="str">
        <f ca="1">' '!A305</f>
        <v>C O M M U N I C A T I O N</v>
      </c>
      <c r="D1" s="774"/>
      <c r="E1" s="71"/>
      <c r="F1" s="775"/>
      <c r="G1" s="775"/>
      <c r="H1" s="775"/>
      <c r="I1" s="778"/>
      <c r="J1" s="779"/>
      <c r="K1" s="465"/>
      <c r="L1" s="777"/>
      <c r="M1" s="776"/>
    </row>
    <row r="2" spans="1:13" s="70" customFormat="1" ht="6" hidden="1" customHeight="1" x14ac:dyDescent="0.3">
      <c r="B2" s="773"/>
      <c r="C2" s="69"/>
      <c r="D2" s="780"/>
      <c r="E2" s="69"/>
      <c r="F2" s="467"/>
      <c r="G2" s="467"/>
      <c r="H2" s="467"/>
      <c r="I2" s="781"/>
      <c r="J2" s="467"/>
      <c r="K2" s="782"/>
      <c r="L2" s="467"/>
      <c r="M2" s="467"/>
    </row>
    <row r="3" spans="1:13" s="78" customFormat="1" ht="29.25" customHeight="1" x14ac:dyDescent="0.3">
      <c r="A3" s="783"/>
      <c r="B3" s="784"/>
      <c r="D3" s="785"/>
      <c r="E3" s="786"/>
      <c r="F3" s="221"/>
      <c r="G3" s="221"/>
      <c r="H3" s="221"/>
      <c r="I3" s="462"/>
      <c r="J3" s="221"/>
      <c r="K3" s="221"/>
      <c r="L3" s="221"/>
      <c r="M3" s="140"/>
    </row>
    <row r="4" spans="1:13" s="795" customFormat="1" ht="26.25" customHeight="1" x14ac:dyDescent="0.3">
      <c r="A4" s="787"/>
      <c r="B4" s="788" t="str">
        <f ca="1">' '!A313</f>
        <v>No.</v>
      </c>
      <c r="C4" s="789" t="str">
        <f ca="1">' '!A306</f>
        <v>Goals</v>
      </c>
      <c r="D4" s="790" t="str">
        <f ca="1">B4</f>
        <v>No.</v>
      </c>
      <c r="E4" s="822" t="str">
        <f ca="1">' '!A314</f>
        <v>Target public</v>
      </c>
      <c r="F4" s="791" t="str">
        <f ca="1">' '!A316</f>
        <v>Key Message</v>
      </c>
      <c r="G4" s="791" t="str">
        <f ca="1">' '!A321</f>
        <v>Channel</v>
      </c>
      <c r="H4" s="789" t="str">
        <f ca="1">' '!A307</f>
        <v>Periodicity</v>
      </c>
      <c r="I4" s="792" t="s">
        <v>638</v>
      </c>
      <c r="J4" s="793" t="str">
        <f ca="1">' '!A320</f>
        <v>Who?</v>
      </c>
      <c r="K4" s="793" t="str">
        <f ca="1">' '!A293</f>
        <v>Start</v>
      </c>
      <c r="L4" s="793" t="str">
        <f ca="1">' '!A294</f>
        <v>Finish</v>
      </c>
      <c r="M4" s="794" t="s">
        <v>1159</v>
      </c>
    </row>
    <row r="5" spans="1:13" s="802" customFormat="1" ht="9" customHeight="1" x14ac:dyDescent="0.3">
      <c r="A5" s="796"/>
      <c r="B5" s="492"/>
      <c r="C5" s="797"/>
      <c r="D5" s="798"/>
      <c r="E5" s="797"/>
      <c r="F5" s="799"/>
      <c r="G5" s="799"/>
      <c r="H5" s="799"/>
      <c r="I5" s="800"/>
      <c r="J5" s="799"/>
      <c r="K5" s="799"/>
      <c r="L5" s="799"/>
      <c r="M5" s="801"/>
    </row>
    <row r="6" spans="1:13" ht="14.4" x14ac:dyDescent="0.3">
      <c r="A6" s="803"/>
      <c r="B6" s="804">
        <v>1</v>
      </c>
      <c r="C6" s="1237" t="s">
        <v>1020</v>
      </c>
      <c r="D6" s="805" t="s">
        <v>639</v>
      </c>
      <c r="E6" s="831" t="s">
        <v>1114</v>
      </c>
      <c r="F6" s="831" t="s">
        <v>1190</v>
      </c>
      <c r="G6" s="831" t="s">
        <v>1191</v>
      </c>
      <c r="H6" s="831" t="s">
        <v>1192</v>
      </c>
      <c r="I6" s="484">
        <v>1</v>
      </c>
      <c r="J6" s="832" t="s">
        <v>699</v>
      </c>
      <c r="K6" s="833">
        <f ca="1">Projektauftrag!G4</f>
        <v>46049</v>
      </c>
      <c r="L6" s="833">
        <f ca="1">Projektauftrag!J4</f>
        <v>46799</v>
      </c>
      <c r="M6" s="834">
        <v>1</v>
      </c>
    </row>
    <row r="7" spans="1:13" ht="14.4" x14ac:dyDescent="0.3">
      <c r="A7" s="803"/>
      <c r="B7" s="492"/>
      <c r="C7" s="1238"/>
      <c r="D7" s="805" t="s">
        <v>640</v>
      </c>
      <c r="E7" s="831" t="s">
        <v>1193</v>
      </c>
      <c r="F7" s="831" t="s">
        <v>1194</v>
      </c>
      <c r="G7" s="831" t="s">
        <v>1195</v>
      </c>
      <c r="H7" s="831" t="s">
        <v>1196</v>
      </c>
      <c r="I7" s="484">
        <v>2</v>
      </c>
      <c r="J7" s="832" t="s">
        <v>1057</v>
      </c>
      <c r="K7" s="833">
        <v>43466</v>
      </c>
      <c r="L7" s="833">
        <f ca="1">L6+10</f>
        <v>46809</v>
      </c>
      <c r="M7" s="834">
        <v>2</v>
      </c>
    </row>
    <row r="8" spans="1:13" ht="14.4" x14ac:dyDescent="0.3">
      <c r="A8" s="803"/>
      <c r="B8" s="492"/>
      <c r="C8" s="1238"/>
      <c r="D8" s="805" t="s">
        <v>641</v>
      </c>
      <c r="E8" s="831"/>
      <c r="F8" s="831"/>
      <c r="G8" s="831"/>
      <c r="H8" s="831"/>
      <c r="I8" s="484"/>
      <c r="J8" s="832"/>
      <c r="K8" s="833"/>
      <c r="L8" s="833"/>
      <c r="M8" s="834"/>
    </row>
    <row r="9" spans="1:13" ht="14.4" x14ac:dyDescent="0.3">
      <c r="A9" s="803"/>
      <c r="B9" s="492"/>
      <c r="C9" s="1238"/>
      <c r="D9" s="805" t="s">
        <v>642</v>
      </c>
      <c r="E9" s="831"/>
      <c r="F9" s="831"/>
      <c r="G9" s="831"/>
      <c r="H9" s="831"/>
      <c r="I9" s="484"/>
      <c r="J9" s="832"/>
      <c r="K9" s="833"/>
      <c r="L9" s="833"/>
      <c r="M9" s="834"/>
    </row>
    <row r="10" spans="1:13" ht="14.4" x14ac:dyDescent="0.3">
      <c r="A10" s="803"/>
      <c r="B10" s="492"/>
      <c r="C10" s="1238"/>
      <c r="D10" s="805" t="s">
        <v>643</v>
      </c>
      <c r="E10" s="831"/>
      <c r="F10" s="831"/>
      <c r="G10" s="831"/>
      <c r="H10" s="831"/>
      <c r="I10" s="484"/>
      <c r="J10" s="832"/>
      <c r="K10" s="833"/>
      <c r="L10" s="833"/>
      <c r="M10" s="834"/>
    </row>
    <row r="11" spans="1:13" ht="14.4" x14ac:dyDescent="0.3">
      <c r="A11" s="803"/>
      <c r="B11" s="492"/>
      <c r="C11" s="1238"/>
      <c r="D11" s="805" t="s">
        <v>644</v>
      </c>
      <c r="E11" s="831"/>
      <c r="F11" s="831"/>
      <c r="G11" s="831"/>
      <c r="H11" s="831"/>
      <c r="I11" s="484"/>
      <c r="J11" s="832"/>
      <c r="K11" s="833"/>
      <c r="L11" s="833"/>
      <c r="M11" s="834"/>
    </row>
    <row r="12" spans="1:13" ht="14.4" x14ac:dyDescent="0.3">
      <c r="A12" s="803"/>
      <c r="B12" s="492"/>
      <c r="C12" s="1238"/>
      <c r="D12" s="805" t="s">
        <v>645</v>
      </c>
      <c r="E12" s="831"/>
      <c r="F12" s="831"/>
      <c r="G12" s="831"/>
      <c r="H12" s="831"/>
      <c r="I12" s="484"/>
      <c r="J12" s="832"/>
      <c r="K12" s="833"/>
      <c r="L12" s="833"/>
      <c r="M12" s="834"/>
    </row>
    <row r="13" spans="1:13" ht="14.4" x14ac:dyDescent="0.3">
      <c r="A13" s="803"/>
      <c r="B13" s="492"/>
      <c r="C13" s="1239"/>
      <c r="D13" s="805" t="s">
        <v>646</v>
      </c>
      <c r="E13" s="831"/>
      <c r="F13" s="831"/>
      <c r="G13" s="831"/>
      <c r="H13" s="831"/>
      <c r="I13" s="484"/>
      <c r="J13" s="832"/>
      <c r="K13" s="833"/>
      <c r="L13" s="833"/>
      <c r="M13" s="834"/>
    </row>
    <row r="14" spans="1:13" ht="14.4" x14ac:dyDescent="0.3">
      <c r="A14" s="803"/>
      <c r="B14" s="804">
        <v>2</v>
      </c>
      <c r="C14" s="1235"/>
      <c r="D14" s="805" t="s">
        <v>647</v>
      </c>
      <c r="E14" s="835"/>
      <c r="F14" s="835"/>
      <c r="G14" s="835"/>
      <c r="H14" s="835"/>
      <c r="I14" s="488"/>
      <c r="J14" s="836"/>
      <c r="K14" s="837"/>
      <c r="L14" s="837"/>
      <c r="M14" s="838"/>
    </row>
    <row r="15" spans="1:13" ht="14.4" x14ac:dyDescent="0.3">
      <c r="A15" s="803"/>
      <c r="B15" s="803"/>
      <c r="C15" s="1236"/>
      <c r="D15" s="805" t="s">
        <v>648</v>
      </c>
      <c r="E15" s="835"/>
      <c r="F15" s="835"/>
      <c r="G15" s="835"/>
      <c r="H15" s="835"/>
      <c r="I15" s="488"/>
      <c r="J15" s="836"/>
      <c r="K15" s="837"/>
      <c r="L15" s="837"/>
      <c r="M15" s="838"/>
    </row>
    <row r="16" spans="1:13" ht="14.4" x14ac:dyDescent="0.3">
      <c r="A16" s="803"/>
      <c r="B16" s="803"/>
      <c r="C16" s="1236"/>
      <c r="D16" s="805" t="s">
        <v>649</v>
      </c>
      <c r="E16" s="835"/>
      <c r="F16" s="835"/>
      <c r="G16" s="835"/>
      <c r="H16" s="835"/>
      <c r="I16" s="488"/>
      <c r="J16" s="836"/>
      <c r="K16" s="837"/>
      <c r="L16" s="837"/>
      <c r="M16" s="838"/>
    </row>
    <row r="17" spans="2:13" ht="14.4" x14ac:dyDescent="0.3">
      <c r="B17" s="803"/>
      <c r="C17" s="1236"/>
      <c r="D17" s="805" t="s">
        <v>650</v>
      </c>
      <c r="E17" s="835"/>
      <c r="F17" s="835"/>
      <c r="G17" s="835"/>
      <c r="H17" s="835"/>
      <c r="I17" s="488"/>
      <c r="J17" s="836"/>
      <c r="K17" s="837"/>
      <c r="L17" s="837"/>
      <c r="M17" s="838"/>
    </row>
    <row r="18" spans="2:13" ht="14.4" x14ac:dyDescent="0.3">
      <c r="B18" s="803"/>
      <c r="C18" s="1236"/>
      <c r="D18" s="805" t="s">
        <v>651</v>
      </c>
      <c r="E18" s="835"/>
      <c r="F18" s="835"/>
      <c r="G18" s="835"/>
      <c r="H18" s="835"/>
      <c r="I18" s="488"/>
      <c r="J18" s="836"/>
      <c r="K18" s="837"/>
      <c r="L18" s="837"/>
      <c r="M18" s="838"/>
    </row>
    <row r="19" spans="2:13" ht="14.4" x14ac:dyDescent="0.3">
      <c r="B19" s="803"/>
      <c r="C19" s="1236"/>
      <c r="D19" s="805" t="s">
        <v>652</v>
      </c>
      <c r="E19" s="835"/>
      <c r="F19" s="835"/>
      <c r="G19" s="835"/>
      <c r="H19" s="835"/>
      <c r="I19" s="488"/>
      <c r="J19" s="836"/>
      <c r="K19" s="837"/>
      <c r="L19" s="837"/>
      <c r="M19" s="838"/>
    </row>
    <row r="20" spans="2:13" ht="14.4" x14ac:dyDescent="0.3">
      <c r="B20" s="803"/>
      <c r="C20" s="1236"/>
      <c r="D20" s="805" t="s">
        <v>653</v>
      </c>
      <c r="E20" s="835"/>
      <c r="F20" s="835"/>
      <c r="G20" s="835"/>
      <c r="H20" s="835"/>
      <c r="I20" s="488"/>
      <c r="J20" s="836"/>
      <c r="K20" s="837"/>
      <c r="L20" s="837"/>
      <c r="M20" s="838"/>
    </row>
    <row r="21" spans="2:13" ht="14.4" x14ac:dyDescent="0.3">
      <c r="B21" s="803"/>
      <c r="C21" s="1236"/>
      <c r="D21" s="805" t="s">
        <v>654</v>
      </c>
      <c r="E21" s="835"/>
      <c r="F21" s="835"/>
      <c r="G21" s="835"/>
      <c r="H21" s="835"/>
      <c r="I21" s="488"/>
      <c r="J21" s="836"/>
      <c r="K21" s="837"/>
      <c r="L21" s="837"/>
      <c r="M21" s="838"/>
    </row>
    <row r="22" spans="2:13" ht="14.4" x14ac:dyDescent="0.3">
      <c r="B22" s="804">
        <v>3</v>
      </c>
      <c r="C22" s="1237"/>
      <c r="D22" s="805" t="s">
        <v>655</v>
      </c>
      <c r="E22" s="831"/>
      <c r="F22" s="831"/>
      <c r="G22" s="831"/>
      <c r="H22" s="831"/>
      <c r="I22" s="484"/>
      <c r="J22" s="832"/>
      <c r="K22" s="833"/>
      <c r="L22" s="833"/>
      <c r="M22" s="834"/>
    </row>
    <row r="23" spans="2:13" ht="14.4" x14ac:dyDescent="0.3">
      <c r="B23" s="803"/>
      <c r="C23" s="1238"/>
      <c r="D23" s="805" t="s">
        <v>656</v>
      </c>
      <c r="E23" s="831"/>
      <c r="F23" s="831"/>
      <c r="G23" s="831"/>
      <c r="H23" s="831"/>
      <c r="I23" s="484"/>
      <c r="J23" s="832"/>
      <c r="K23" s="833"/>
      <c r="L23" s="833"/>
      <c r="M23" s="834"/>
    </row>
    <row r="24" spans="2:13" ht="14.4" x14ac:dyDescent="0.3">
      <c r="B24" s="803"/>
      <c r="C24" s="1238"/>
      <c r="D24" s="805" t="s">
        <v>657</v>
      </c>
      <c r="E24" s="831"/>
      <c r="F24" s="831"/>
      <c r="G24" s="831"/>
      <c r="H24" s="831"/>
      <c r="I24" s="484"/>
      <c r="J24" s="832"/>
      <c r="K24" s="833"/>
      <c r="L24" s="833"/>
      <c r="M24" s="834"/>
    </row>
    <row r="25" spans="2:13" ht="14.4" x14ac:dyDescent="0.3">
      <c r="B25" s="803"/>
      <c r="C25" s="1238"/>
      <c r="D25" s="805" t="s">
        <v>658</v>
      </c>
      <c r="E25" s="831"/>
      <c r="F25" s="831"/>
      <c r="G25" s="831"/>
      <c r="H25" s="831"/>
      <c r="I25" s="484"/>
      <c r="J25" s="832"/>
      <c r="K25" s="833"/>
      <c r="L25" s="833"/>
      <c r="M25" s="834"/>
    </row>
    <row r="26" spans="2:13" ht="14.4" x14ac:dyDescent="0.3">
      <c r="B26" s="803"/>
      <c r="C26" s="1238"/>
      <c r="D26" s="805" t="s">
        <v>659</v>
      </c>
      <c r="E26" s="831"/>
      <c r="F26" s="831"/>
      <c r="G26" s="831"/>
      <c r="H26" s="831"/>
      <c r="I26" s="484"/>
      <c r="J26" s="832"/>
      <c r="K26" s="833"/>
      <c r="L26" s="833"/>
      <c r="M26" s="834"/>
    </row>
    <row r="27" spans="2:13" ht="14.4" x14ac:dyDescent="0.3">
      <c r="B27" s="803"/>
      <c r="C27" s="1238"/>
      <c r="D27" s="805" t="s">
        <v>660</v>
      </c>
      <c r="E27" s="831"/>
      <c r="F27" s="831"/>
      <c r="G27" s="831"/>
      <c r="H27" s="831"/>
      <c r="I27" s="484"/>
      <c r="J27" s="832"/>
      <c r="K27" s="833"/>
      <c r="L27" s="833"/>
      <c r="M27" s="834"/>
    </row>
    <row r="28" spans="2:13" ht="14.4" x14ac:dyDescent="0.3">
      <c r="B28" s="803"/>
      <c r="C28" s="1238"/>
      <c r="D28" s="805" t="s">
        <v>661</v>
      </c>
      <c r="E28" s="831"/>
      <c r="F28" s="831"/>
      <c r="G28" s="831"/>
      <c r="H28" s="831"/>
      <c r="I28" s="484"/>
      <c r="J28" s="832"/>
      <c r="K28" s="833"/>
      <c r="L28" s="833"/>
      <c r="M28" s="834"/>
    </row>
    <row r="29" spans="2:13" ht="14.4" x14ac:dyDescent="0.3">
      <c r="B29" s="803"/>
      <c r="C29" s="1239"/>
      <c r="D29" s="805" t="s">
        <v>662</v>
      </c>
      <c r="E29" s="831"/>
      <c r="F29" s="831"/>
      <c r="G29" s="831"/>
      <c r="H29" s="831"/>
      <c r="I29" s="484"/>
      <c r="J29" s="832"/>
      <c r="K29" s="833"/>
      <c r="L29" s="833"/>
      <c r="M29" s="834"/>
    </row>
    <row r="30" spans="2:13" ht="14.4" x14ac:dyDescent="0.3">
      <c r="B30" s="804">
        <v>4</v>
      </c>
      <c r="C30" s="1235"/>
      <c r="D30" s="805" t="s">
        <v>663</v>
      </c>
      <c r="E30" s="835"/>
      <c r="F30" s="835"/>
      <c r="G30" s="835"/>
      <c r="H30" s="835"/>
      <c r="I30" s="488"/>
      <c r="J30" s="836"/>
      <c r="K30" s="837"/>
      <c r="L30" s="837"/>
      <c r="M30" s="838"/>
    </row>
    <row r="31" spans="2:13" ht="14.4" x14ac:dyDescent="0.3">
      <c r="B31" s="803"/>
      <c r="C31" s="1236"/>
      <c r="D31" s="805" t="s">
        <v>664</v>
      </c>
      <c r="E31" s="835"/>
      <c r="F31" s="835"/>
      <c r="G31" s="835"/>
      <c r="H31" s="835"/>
      <c r="I31" s="488"/>
      <c r="J31" s="836"/>
      <c r="K31" s="837"/>
      <c r="L31" s="837"/>
      <c r="M31" s="838"/>
    </row>
    <row r="32" spans="2:13" ht="14.4" x14ac:dyDescent="0.3">
      <c r="B32" s="803"/>
      <c r="C32" s="1236"/>
      <c r="D32" s="805" t="s">
        <v>665</v>
      </c>
      <c r="E32" s="835"/>
      <c r="F32" s="835"/>
      <c r="G32" s="835"/>
      <c r="H32" s="835"/>
      <c r="I32" s="488"/>
      <c r="J32" s="836"/>
      <c r="K32" s="837"/>
      <c r="L32" s="837"/>
      <c r="M32" s="838"/>
    </row>
    <row r="33" spans="2:13" ht="14.4" x14ac:dyDescent="0.3">
      <c r="B33" s="803"/>
      <c r="C33" s="1236"/>
      <c r="D33" s="805" t="s">
        <v>666</v>
      </c>
      <c r="E33" s="835"/>
      <c r="F33" s="835"/>
      <c r="G33" s="835"/>
      <c r="H33" s="835"/>
      <c r="I33" s="488"/>
      <c r="J33" s="836"/>
      <c r="K33" s="837"/>
      <c r="L33" s="837"/>
      <c r="M33" s="838"/>
    </row>
    <row r="34" spans="2:13" ht="14.4" x14ac:dyDescent="0.3">
      <c r="B34" s="803"/>
      <c r="C34" s="1236"/>
      <c r="D34" s="805" t="s">
        <v>667</v>
      </c>
      <c r="E34" s="835"/>
      <c r="F34" s="835"/>
      <c r="G34" s="835"/>
      <c r="H34" s="835"/>
      <c r="I34" s="488"/>
      <c r="J34" s="836"/>
      <c r="K34" s="837"/>
      <c r="L34" s="837"/>
      <c r="M34" s="838"/>
    </row>
    <row r="35" spans="2:13" ht="14.4" x14ac:dyDescent="0.3">
      <c r="B35" s="803"/>
      <c r="C35" s="1236"/>
      <c r="D35" s="805" t="s">
        <v>668</v>
      </c>
      <c r="E35" s="835"/>
      <c r="F35" s="835"/>
      <c r="G35" s="835"/>
      <c r="H35" s="835"/>
      <c r="I35" s="488"/>
      <c r="J35" s="836"/>
      <c r="K35" s="837"/>
      <c r="L35" s="837"/>
      <c r="M35" s="838"/>
    </row>
    <row r="36" spans="2:13" ht="14.4" x14ac:dyDescent="0.3">
      <c r="B36" s="803"/>
      <c r="C36" s="1236"/>
      <c r="D36" s="805" t="s">
        <v>669</v>
      </c>
      <c r="E36" s="835"/>
      <c r="F36" s="835"/>
      <c r="G36" s="835"/>
      <c r="H36" s="835"/>
      <c r="I36" s="488"/>
      <c r="J36" s="836"/>
      <c r="K36" s="837"/>
      <c r="L36" s="837"/>
      <c r="M36" s="838"/>
    </row>
    <row r="37" spans="2:13" ht="14.4" x14ac:dyDescent="0.3">
      <c r="B37" s="803"/>
      <c r="C37" s="1236"/>
      <c r="D37" s="805" t="s">
        <v>670</v>
      </c>
      <c r="E37" s="835"/>
      <c r="F37" s="835"/>
      <c r="G37" s="835"/>
      <c r="H37" s="835"/>
      <c r="I37" s="488"/>
      <c r="J37" s="836"/>
      <c r="K37" s="837"/>
      <c r="L37" s="837"/>
      <c r="M37" s="838"/>
    </row>
    <row r="38" spans="2:13" ht="14.4" x14ac:dyDescent="0.3">
      <c r="B38" s="804">
        <v>5</v>
      </c>
      <c r="C38" s="1237"/>
      <c r="D38" s="805" t="s">
        <v>671</v>
      </c>
      <c r="E38" s="831"/>
      <c r="F38" s="831"/>
      <c r="G38" s="831"/>
      <c r="H38" s="831"/>
      <c r="I38" s="484"/>
      <c r="J38" s="832"/>
      <c r="K38" s="833"/>
      <c r="L38" s="833"/>
      <c r="M38" s="834"/>
    </row>
    <row r="39" spans="2:13" ht="14.4" x14ac:dyDescent="0.3">
      <c r="B39" s="803"/>
      <c r="C39" s="1238"/>
      <c r="D39" s="805" t="s">
        <v>672</v>
      </c>
      <c r="E39" s="831"/>
      <c r="F39" s="831"/>
      <c r="G39" s="831"/>
      <c r="H39" s="831"/>
      <c r="I39" s="484"/>
      <c r="J39" s="832"/>
      <c r="K39" s="833"/>
      <c r="L39" s="833"/>
      <c r="M39" s="834"/>
    </row>
    <row r="40" spans="2:13" ht="14.4" x14ac:dyDescent="0.3">
      <c r="B40" s="803"/>
      <c r="C40" s="1238"/>
      <c r="D40" s="805" t="s">
        <v>673</v>
      </c>
      <c r="E40" s="831"/>
      <c r="F40" s="831"/>
      <c r="G40" s="831"/>
      <c r="H40" s="831"/>
      <c r="I40" s="484"/>
      <c r="J40" s="832"/>
      <c r="K40" s="833"/>
      <c r="L40" s="833"/>
      <c r="M40" s="834"/>
    </row>
    <row r="41" spans="2:13" ht="14.4" x14ac:dyDescent="0.3">
      <c r="B41" s="803"/>
      <c r="C41" s="1238"/>
      <c r="D41" s="805" t="s">
        <v>674</v>
      </c>
      <c r="E41" s="831"/>
      <c r="F41" s="831"/>
      <c r="G41" s="831"/>
      <c r="H41" s="831"/>
      <c r="I41" s="484"/>
      <c r="J41" s="832"/>
      <c r="K41" s="833"/>
      <c r="L41" s="833"/>
      <c r="M41" s="834"/>
    </row>
    <row r="42" spans="2:13" ht="14.4" x14ac:dyDescent="0.3">
      <c r="B42" s="803"/>
      <c r="C42" s="1238"/>
      <c r="D42" s="805" t="s">
        <v>675</v>
      </c>
      <c r="E42" s="831"/>
      <c r="F42" s="831"/>
      <c r="G42" s="831"/>
      <c r="H42" s="831"/>
      <c r="I42" s="484"/>
      <c r="J42" s="832"/>
      <c r="K42" s="833"/>
      <c r="L42" s="833"/>
      <c r="M42" s="834"/>
    </row>
    <row r="43" spans="2:13" ht="14.4" x14ac:dyDescent="0.3">
      <c r="B43" s="803"/>
      <c r="C43" s="1238"/>
      <c r="D43" s="805" t="s">
        <v>676</v>
      </c>
      <c r="E43" s="831"/>
      <c r="F43" s="831"/>
      <c r="G43" s="831"/>
      <c r="H43" s="831"/>
      <c r="I43" s="484"/>
      <c r="J43" s="832"/>
      <c r="K43" s="833"/>
      <c r="L43" s="833"/>
      <c r="M43" s="834"/>
    </row>
    <row r="44" spans="2:13" ht="14.4" x14ac:dyDescent="0.3">
      <c r="B44" s="803"/>
      <c r="C44" s="1238"/>
      <c r="D44" s="805" t="s">
        <v>677</v>
      </c>
      <c r="E44" s="831"/>
      <c r="F44" s="831"/>
      <c r="G44" s="831"/>
      <c r="H44" s="831"/>
      <c r="I44" s="484"/>
      <c r="J44" s="832"/>
      <c r="K44" s="833"/>
      <c r="L44" s="833"/>
      <c r="M44" s="834"/>
    </row>
    <row r="45" spans="2:13" ht="14.4" x14ac:dyDescent="0.3">
      <c r="B45" s="803"/>
      <c r="C45" s="1239"/>
      <c r="D45" s="805" t="s">
        <v>678</v>
      </c>
      <c r="E45" s="831"/>
      <c r="F45" s="831"/>
      <c r="G45" s="831"/>
      <c r="H45" s="831"/>
      <c r="I45" s="484"/>
      <c r="J45" s="832"/>
      <c r="K45" s="833"/>
      <c r="L45" s="833"/>
      <c r="M45" s="834"/>
    </row>
    <row r="46" spans="2:13" ht="14.4" x14ac:dyDescent="0.3">
      <c r="B46" s="804">
        <v>6</v>
      </c>
      <c r="C46" s="1235"/>
      <c r="D46" s="805" t="s">
        <v>679</v>
      </c>
      <c r="E46" s="835"/>
      <c r="F46" s="835"/>
      <c r="G46" s="835"/>
      <c r="H46" s="835"/>
      <c r="I46" s="488"/>
      <c r="J46" s="836"/>
      <c r="K46" s="837"/>
      <c r="L46" s="837"/>
      <c r="M46" s="838"/>
    </row>
    <row r="47" spans="2:13" ht="14.4" x14ac:dyDescent="0.3">
      <c r="B47" s="803"/>
      <c r="C47" s="1236"/>
      <c r="D47" s="805" t="s">
        <v>680</v>
      </c>
      <c r="E47" s="835"/>
      <c r="F47" s="835"/>
      <c r="G47" s="835"/>
      <c r="H47" s="835"/>
      <c r="I47" s="488"/>
      <c r="J47" s="836"/>
      <c r="K47" s="837"/>
      <c r="L47" s="837"/>
      <c r="M47" s="838"/>
    </row>
    <row r="48" spans="2:13" ht="14.4" x14ac:dyDescent="0.3">
      <c r="B48" s="803"/>
      <c r="C48" s="1236"/>
      <c r="D48" s="805" t="s">
        <v>681</v>
      </c>
      <c r="E48" s="835"/>
      <c r="F48" s="835"/>
      <c r="G48" s="835"/>
      <c r="H48" s="835"/>
      <c r="I48" s="488"/>
      <c r="J48" s="836"/>
      <c r="K48" s="837"/>
      <c r="L48" s="837"/>
      <c r="M48" s="838"/>
    </row>
    <row r="49" spans="2:13" ht="14.4" x14ac:dyDescent="0.3">
      <c r="B49" s="803"/>
      <c r="C49" s="1236"/>
      <c r="D49" s="805" t="s">
        <v>682</v>
      </c>
      <c r="E49" s="835"/>
      <c r="F49" s="835"/>
      <c r="G49" s="835"/>
      <c r="H49" s="835"/>
      <c r="I49" s="488"/>
      <c r="J49" s="836"/>
      <c r="K49" s="837"/>
      <c r="L49" s="837"/>
      <c r="M49" s="838"/>
    </row>
    <row r="50" spans="2:13" ht="14.4" x14ac:dyDescent="0.3">
      <c r="B50" s="803"/>
      <c r="C50" s="1236"/>
      <c r="D50" s="805" t="s">
        <v>683</v>
      </c>
      <c r="E50" s="835"/>
      <c r="F50" s="835"/>
      <c r="G50" s="835"/>
      <c r="H50" s="835"/>
      <c r="I50" s="488"/>
      <c r="J50" s="836"/>
      <c r="K50" s="837"/>
      <c r="L50" s="837"/>
      <c r="M50" s="838"/>
    </row>
    <row r="51" spans="2:13" ht="14.4" x14ac:dyDescent="0.3">
      <c r="B51" s="803"/>
      <c r="C51" s="1236"/>
      <c r="D51" s="805" t="s">
        <v>684</v>
      </c>
      <c r="E51" s="835"/>
      <c r="F51" s="835"/>
      <c r="G51" s="835"/>
      <c r="H51" s="835"/>
      <c r="I51" s="488"/>
      <c r="J51" s="836"/>
      <c r="K51" s="837"/>
      <c r="L51" s="837"/>
      <c r="M51" s="838"/>
    </row>
    <row r="52" spans="2:13" ht="14.4" x14ac:dyDescent="0.3">
      <c r="B52" s="803"/>
      <c r="C52" s="1236"/>
      <c r="D52" s="805" t="s">
        <v>685</v>
      </c>
      <c r="E52" s="835"/>
      <c r="F52" s="835"/>
      <c r="G52" s="835"/>
      <c r="H52" s="835"/>
      <c r="I52" s="488"/>
      <c r="J52" s="836"/>
      <c r="K52" s="837"/>
      <c r="L52" s="837"/>
      <c r="M52" s="838"/>
    </row>
    <row r="53" spans="2:13" ht="14.4" x14ac:dyDescent="0.3">
      <c r="B53" s="803"/>
      <c r="C53" s="1236"/>
      <c r="D53" s="805" t="s">
        <v>686</v>
      </c>
      <c r="E53" s="835"/>
      <c r="F53" s="835"/>
      <c r="G53" s="835"/>
      <c r="H53" s="835"/>
      <c r="I53" s="488"/>
      <c r="J53" s="836"/>
      <c r="K53" s="837"/>
      <c r="L53" s="837"/>
      <c r="M53" s="838"/>
    </row>
    <row r="54" spans="2:13" ht="14.4" x14ac:dyDescent="0.3">
      <c r="B54" s="804">
        <v>7</v>
      </c>
      <c r="C54" s="1237"/>
      <c r="D54" s="805" t="s">
        <v>687</v>
      </c>
      <c r="E54" s="831"/>
      <c r="F54" s="831"/>
      <c r="G54" s="831"/>
      <c r="H54" s="831"/>
      <c r="I54" s="484"/>
      <c r="J54" s="832"/>
      <c r="K54" s="833"/>
      <c r="L54" s="833"/>
      <c r="M54" s="834"/>
    </row>
    <row r="55" spans="2:13" ht="14.4" x14ac:dyDescent="0.3">
      <c r="B55" s="803"/>
      <c r="C55" s="1238"/>
      <c r="D55" s="805" t="s">
        <v>688</v>
      </c>
      <c r="E55" s="831"/>
      <c r="F55" s="831"/>
      <c r="G55" s="831"/>
      <c r="H55" s="831"/>
      <c r="I55" s="484"/>
      <c r="J55" s="832"/>
      <c r="K55" s="833"/>
      <c r="L55" s="833"/>
      <c r="M55" s="834"/>
    </row>
    <row r="56" spans="2:13" ht="14.4" x14ac:dyDescent="0.3">
      <c r="B56" s="803"/>
      <c r="C56" s="1238"/>
      <c r="D56" s="805" t="s">
        <v>1160</v>
      </c>
      <c r="E56" s="831"/>
      <c r="F56" s="831"/>
      <c r="G56" s="831"/>
      <c r="H56" s="831"/>
      <c r="I56" s="484"/>
      <c r="J56" s="832"/>
      <c r="K56" s="833"/>
      <c r="L56" s="833"/>
      <c r="M56" s="834"/>
    </row>
    <row r="57" spans="2:13" ht="14.4" x14ac:dyDescent="0.3">
      <c r="B57" s="803"/>
      <c r="C57" s="1238"/>
      <c r="D57" s="805" t="s">
        <v>1161</v>
      </c>
      <c r="E57" s="831"/>
      <c r="F57" s="831"/>
      <c r="G57" s="831"/>
      <c r="H57" s="831"/>
      <c r="I57" s="484"/>
      <c r="J57" s="832"/>
      <c r="K57" s="833"/>
      <c r="L57" s="833"/>
      <c r="M57" s="834"/>
    </row>
    <row r="58" spans="2:13" ht="14.4" x14ac:dyDescent="0.3">
      <c r="B58" s="803"/>
      <c r="C58" s="1238"/>
      <c r="D58" s="805" t="s">
        <v>1162</v>
      </c>
      <c r="E58" s="831"/>
      <c r="F58" s="831"/>
      <c r="G58" s="831"/>
      <c r="H58" s="831"/>
      <c r="I58" s="484"/>
      <c r="J58" s="832"/>
      <c r="K58" s="833"/>
      <c r="L58" s="833"/>
      <c r="M58" s="834"/>
    </row>
    <row r="59" spans="2:13" ht="14.4" x14ac:dyDescent="0.3">
      <c r="B59" s="803"/>
      <c r="C59" s="1238"/>
      <c r="D59" s="805" t="s">
        <v>1163</v>
      </c>
      <c r="E59" s="831"/>
      <c r="F59" s="831"/>
      <c r="G59" s="831"/>
      <c r="H59" s="831"/>
      <c r="I59" s="484"/>
      <c r="J59" s="832"/>
      <c r="K59" s="833"/>
      <c r="L59" s="833"/>
      <c r="M59" s="834"/>
    </row>
    <row r="60" spans="2:13" ht="14.4" x14ac:dyDescent="0.3">
      <c r="B60" s="803"/>
      <c r="C60" s="1238"/>
      <c r="D60" s="805" t="s">
        <v>1164</v>
      </c>
      <c r="E60" s="831"/>
      <c r="F60" s="831"/>
      <c r="G60" s="831"/>
      <c r="H60" s="831"/>
      <c r="I60" s="484"/>
      <c r="J60" s="832"/>
      <c r="K60" s="833"/>
      <c r="L60" s="833"/>
      <c r="M60" s="834"/>
    </row>
    <row r="61" spans="2:13" ht="14.4" x14ac:dyDescent="0.3">
      <c r="B61" s="803"/>
      <c r="C61" s="1239"/>
      <c r="D61" s="805" t="s">
        <v>1165</v>
      </c>
      <c r="E61" s="831"/>
      <c r="F61" s="831"/>
      <c r="G61" s="831"/>
      <c r="H61" s="831"/>
      <c r="I61" s="484"/>
      <c r="J61" s="832"/>
      <c r="K61" s="833"/>
      <c r="L61" s="833"/>
      <c r="M61" s="834"/>
    </row>
    <row r="62" spans="2:13" ht="14.4" x14ac:dyDescent="0.3">
      <c r="B62" s="804">
        <v>8</v>
      </c>
      <c r="C62" s="1235"/>
      <c r="D62" s="805" t="s">
        <v>1166</v>
      </c>
      <c r="E62" s="835"/>
      <c r="F62" s="835"/>
      <c r="G62" s="835"/>
      <c r="H62" s="835"/>
      <c r="I62" s="488"/>
      <c r="J62" s="836"/>
      <c r="K62" s="837"/>
      <c r="L62" s="837"/>
      <c r="M62" s="838"/>
    </row>
    <row r="63" spans="2:13" ht="14.4" x14ac:dyDescent="0.3">
      <c r="B63" s="803"/>
      <c r="C63" s="1236"/>
      <c r="D63" s="805" t="s">
        <v>1167</v>
      </c>
      <c r="E63" s="835"/>
      <c r="F63" s="835"/>
      <c r="G63" s="835"/>
      <c r="H63" s="835"/>
      <c r="I63" s="488"/>
      <c r="J63" s="836"/>
      <c r="K63" s="837"/>
      <c r="L63" s="837"/>
      <c r="M63" s="838"/>
    </row>
    <row r="64" spans="2:13" ht="14.4" x14ac:dyDescent="0.3">
      <c r="B64" s="803"/>
      <c r="C64" s="1236"/>
      <c r="D64" s="805" t="s">
        <v>1168</v>
      </c>
      <c r="E64" s="835"/>
      <c r="F64" s="835"/>
      <c r="G64" s="835"/>
      <c r="H64" s="835"/>
      <c r="I64" s="488"/>
      <c r="J64" s="836"/>
      <c r="K64" s="837"/>
      <c r="L64" s="837"/>
      <c r="M64" s="838"/>
    </row>
    <row r="65" spans="2:13" ht="14.4" x14ac:dyDescent="0.3">
      <c r="B65" s="803"/>
      <c r="C65" s="1236"/>
      <c r="D65" s="805" t="s">
        <v>1169</v>
      </c>
      <c r="E65" s="835"/>
      <c r="F65" s="835"/>
      <c r="G65" s="835"/>
      <c r="H65" s="835"/>
      <c r="I65" s="488"/>
      <c r="J65" s="836"/>
      <c r="K65" s="837"/>
      <c r="L65" s="837"/>
      <c r="M65" s="838"/>
    </row>
    <row r="66" spans="2:13" ht="14.4" x14ac:dyDescent="0.3">
      <c r="B66" s="803"/>
      <c r="C66" s="1236"/>
      <c r="D66" s="805" t="s">
        <v>1170</v>
      </c>
      <c r="E66" s="835"/>
      <c r="F66" s="835"/>
      <c r="G66" s="835"/>
      <c r="H66" s="835"/>
      <c r="I66" s="488"/>
      <c r="J66" s="836"/>
      <c r="K66" s="837"/>
      <c r="L66" s="837"/>
      <c r="M66" s="838"/>
    </row>
    <row r="67" spans="2:13" ht="14.4" x14ac:dyDescent="0.3">
      <c r="B67" s="803"/>
      <c r="C67" s="1236"/>
      <c r="D67" s="805" t="s">
        <v>1171</v>
      </c>
      <c r="E67" s="835"/>
      <c r="F67" s="835"/>
      <c r="G67" s="835"/>
      <c r="H67" s="835"/>
      <c r="I67" s="488"/>
      <c r="J67" s="836"/>
      <c r="K67" s="837"/>
      <c r="L67" s="837"/>
      <c r="M67" s="838"/>
    </row>
    <row r="68" spans="2:13" ht="14.4" x14ac:dyDescent="0.3">
      <c r="B68" s="803"/>
      <c r="C68" s="1236"/>
      <c r="D68" s="805" t="s">
        <v>1172</v>
      </c>
      <c r="E68" s="835"/>
      <c r="F68" s="835"/>
      <c r="G68" s="835"/>
      <c r="H68" s="835"/>
      <c r="I68" s="488"/>
      <c r="J68" s="836"/>
      <c r="K68" s="837"/>
      <c r="L68" s="837"/>
      <c r="M68" s="838"/>
    </row>
    <row r="69" spans="2:13" ht="14.4" x14ac:dyDescent="0.3">
      <c r="B69" s="803"/>
      <c r="C69" s="1236"/>
      <c r="D69" s="805" t="s">
        <v>1173</v>
      </c>
      <c r="E69" s="835"/>
      <c r="F69" s="835"/>
      <c r="G69" s="835"/>
      <c r="H69" s="835"/>
      <c r="I69" s="488"/>
      <c r="J69" s="836"/>
      <c r="K69" s="837"/>
      <c r="L69" s="837"/>
      <c r="M69" s="838"/>
    </row>
    <row r="70" spans="2:13" ht="14.4" x14ac:dyDescent="0.3">
      <c r="B70" s="804">
        <v>9</v>
      </c>
      <c r="C70" s="1237"/>
      <c r="D70" s="805" t="s">
        <v>1174</v>
      </c>
      <c r="E70" s="831"/>
      <c r="F70" s="831"/>
      <c r="G70" s="831"/>
      <c r="H70" s="831"/>
      <c r="I70" s="484"/>
      <c r="J70" s="832"/>
      <c r="K70" s="833"/>
      <c r="L70" s="833"/>
      <c r="M70" s="834"/>
    </row>
    <row r="71" spans="2:13" ht="14.4" x14ac:dyDescent="0.3">
      <c r="B71" s="803"/>
      <c r="C71" s="1238"/>
      <c r="D71" s="805" t="s">
        <v>1175</v>
      </c>
      <c r="E71" s="831"/>
      <c r="F71" s="831"/>
      <c r="G71" s="831"/>
      <c r="H71" s="831"/>
      <c r="I71" s="484"/>
      <c r="J71" s="832"/>
      <c r="K71" s="833"/>
      <c r="L71" s="833"/>
      <c r="M71" s="834"/>
    </row>
    <row r="72" spans="2:13" ht="14.4" x14ac:dyDescent="0.3">
      <c r="B72" s="803"/>
      <c r="C72" s="1238"/>
      <c r="D72" s="805" t="s">
        <v>1176</v>
      </c>
      <c r="E72" s="831"/>
      <c r="F72" s="831"/>
      <c r="G72" s="831"/>
      <c r="H72" s="831"/>
      <c r="I72" s="484"/>
      <c r="J72" s="832"/>
      <c r="K72" s="833"/>
      <c r="L72" s="833"/>
      <c r="M72" s="834"/>
    </row>
    <row r="73" spans="2:13" ht="14.4" x14ac:dyDescent="0.3">
      <c r="B73" s="803"/>
      <c r="C73" s="1238"/>
      <c r="D73" s="805" t="s">
        <v>1177</v>
      </c>
      <c r="E73" s="831"/>
      <c r="F73" s="831"/>
      <c r="G73" s="831"/>
      <c r="H73" s="831"/>
      <c r="I73" s="484"/>
      <c r="J73" s="832"/>
      <c r="K73" s="833"/>
      <c r="L73" s="833"/>
      <c r="M73" s="834"/>
    </row>
    <row r="74" spans="2:13" ht="14.4" x14ac:dyDescent="0.3">
      <c r="B74" s="803"/>
      <c r="C74" s="1238"/>
      <c r="D74" s="805" t="s">
        <v>1178</v>
      </c>
      <c r="E74" s="831"/>
      <c r="F74" s="831"/>
      <c r="G74" s="831"/>
      <c r="H74" s="831"/>
      <c r="I74" s="484"/>
      <c r="J74" s="832"/>
      <c r="K74" s="833"/>
      <c r="L74" s="833"/>
      <c r="M74" s="834"/>
    </row>
    <row r="75" spans="2:13" ht="14.4" x14ac:dyDescent="0.3">
      <c r="B75" s="803"/>
      <c r="C75" s="1238"/>
      <c r="D75" s="805" t="s">
        <v>1179</v>
      </c>
      <c r="E75" s="831"/>
      <c r="F75" s="831"/>
      <c r="G75" s="831"/>
      <c r="H75" s="831"/>
      <c r="I75" s="484"/>
      <c r="J75" s="832"/>
      <c r="K75" s="833"/>
      <c r="L75" s="833"/>
      <c r="M75" s="834"/>
    </row>
    <row r="76" spans="2:13" ht="14.4" x14ac:dyDescent="0.3">
      <c r="B76" s="803"/>
      <c r="C76" s="1238"/>
      <c r="D76" s="805" t="s">
        <v>1180</v>
      </c>
      <c r="E76" s="831"/>
      <c r="F76" s="831"/>
      <c r="G76" s="831"/>
      <c r="H76" s="831"/>
      <c r="I76" s="484"/>
      <c r="J76" s="832"/>
      <c r="K76" s="833"/>
      <c r="L76" s="833"/>
      <c r="M76" s="834"/>
    </row>
    <row r="77" spans="2:13" ht="14.4" x14ac:dyDescent="0.3">
      <c r="B77" s="803"/>
      <c r="C77" s="1239"/>
      <c r="D77" s="805" t="s">
        <v>1181</v>
      </c>
      <c r="E77" s="831"/>
      <c r="F77" s="831"/>
      <c r="G77" s="831"/>
      <c r="H77" s="831"/>
      <c r="I77" s="484"/>
      <c r="J77" s="832"/>
      <c r="K77" s="833"/>
      <c r="L77" s="833"/>
      <c r="M77" s="834"/>
    </row>
    <row r="78" spans="2:13" ht="14.4" x14ac:dyDescent="0.3">
      <c r="B78" s="804">
        <v>10</v>
      </c>
      <c r="C78" s="1235"/>
      <c r="D78" s="805" t="s">
        <v>1182</v>
      </c>
      <c r="E78" s="835"/>
      <c r="F78" s="835"/>
      <c r="G78" s="835"/>
      <c r="H78" s="835"/>
      <c r="I78" s="488"/>
      <c r="J78" s="836"/>
      <c r="K78" s="837"/>
      <c r="L78" s="837"/>
      <c r="M78" s="838"/>
    </row>
    <row r="79" spans="2:13" ht="14.4" x14ac:dyDescent="0.3">
      <c r="B79" s="803"/>
      <c r="C79" s="1236"/>
      <c r="D79" s="805" t="s">
        <v>1183</v>
      </c>
      <c r="E79" s="835"/>
      <c r="F79" s="835"/>
      <c r="G79" s="835"/>
      <c r="H79" s="835"/>
      <c r="I79" s="488"/>
      <c r="J79" s="836"/>
      <c r="K79" s="837"/>
      <c r="L79" s="837"/>
      <c r="M79" s="838"/>
    </row>
    <row r="80" spans="2:13" ht="14.4" x14ac:dyDescent="0.3">
      <c r="B80" s="803"/>
      <c r="C80" s="1236"/>
      <c r="D80" s="805" t="s">
        <v>1184</v>
      </c>
      <c r="E80" s="835"/>
      <c r="F80" s="835"/>
      <c r="G80" s="835"/>
      <c r="H80" s="835"/>
      <c r="I80" s="488"/>
      <c r="J80" s="836"/>
      <c r="K80" s="837"/>
      <c r="L80" s="837"/>
      <c r="M80" s="838"/>
    </row>
    <row r="81" spans="2:13" ht="14.4" x14ac:dyDescent="0.3">
      <c r="B81" s="803"/>
      <c r="C81" s="1236"/>
      <c r="D81" s="805" t="s">
        <v>1185</v>
      </c>
      <c r="E81" s="835"/>
      <c r="F81" s="835"/>
      <c r="G81" s="835"/>
      <c r="H81" s="835"/>
      <c r="I81" s="488"/>
      <c r="J81" s="836"/>
      <c r="K81" s="837"/>
      <c r="L81" s="837"/>
      <c r="M81" s="838"/>
    </row>
    <row r="82" spans="2:13" ht="14.4" x14ac:dyDescent="0.3">
      <c r="B82" s="803"/>
      <c r="C82" s="1236"/>
      <c r="D82" s="805" t="s">
        <v>1186</v>
      </c>
      <c r="E82" s="835"/>
      <c r="F82" s="835"/>
      <c r="G82" s="835"/>
      <c r="H82" s="835"/>
      <c r="I82" s="488"/>
      <c r="J82" s="836"/>
      <c r="K82" s="837"/>
      <c r="L82" s="837"/>
      <c r="M82" s="838"/>
    </row>
    <row r="83" spans="2:13" ht="14.4" x14ac:dyDescent="0.3">
      <c r="B83" s="803"/>
      <c r="C83" s="1236"/>
      <c r="D83" s="805" t="s">
        <v>1187</v>
      </c>
      <c r="E83" s="835"/>
      <c r="F83" s="835"/>
      <c r="G83" s="835"/>
      <c r="H83" s="835"/>
      <c r="I83" s="488"/>
      <c r="J83" s="836"/>
      <c r="K83" s="837"/>
      <c r="L83" s="837"/>
      <c r="M83" s="838"/>
    </row>
    <row r="84" spans="2:13" ht="14.4" x14ac:dyDescent="0.3">
      <c r="B84" s="803"/>
      <c r="C84" s="1236"/>
      <c r="D84" s="805" t="s">
        <v>1188</v>
      </c>
      <c r="E84" s="835"/>
      <c r="F84" s="835"/>
      <c r="G84" s="835"/>
      <c r="H84" s="835"/>
      <c r="I84" s="488"/>
      <c r="J84" s="836"/>
      <c r="K84" s="837"/>
      <c r="L84" s="837"/>
      <c r="M84" s="838"/>
    </row>
    <row r="85" spans="2:13" ht="14.4" x14ac:dyDescent="0.3">
      <c r="B85" s="803"/>
      <c r="C85" s="1236"/>
      <c r="D85" s="805" t="s">
        <v>1189</v>
      </c>
      <c r="E85" s="835"/>
      <c r="F85" s="835"/>
      <c r="G85" s="835"/>
      <c r="H85" s="835"/>
      <c r="I85" s="488"/>
      <c r="J85" s="836"/>
      <c r="K85" s="837"/>
      <c r="L85" s="837"/>
      <c r="M85" s="838"/>
    </row>
    <row r="86" spans="2:13" s="809" customFormat="1" ht="14.4" x14ac:dyDescent="0.3">
      <c r="B86" s="808"/>
      <c r="C86" s="129" t="s">
        <v>1136</v>
      </c>
      <c r="D86" s="78"/>
      <c r="E86" s="797"/>
      <c r="F86" s="802"/>
      <c r="G86" s="802"/>
      <c r="H86" s="802"/>
      <c r="I86" s="494"/>
      <c r="J86" s="802"/>
      <c r="K86" s="802"/>
      <c r="L86" s="1234"/>
      <c r="M86" s="1234"/>
    </row>
  </sheetData>
  <sheetProtection sheet="1" objects="1" scenarios="1" formatCells="0" formatColumns="0" formatRows="0" insertHyperlinks="0" selectLockedCells="1" sort="0" autoFilter="0"/>
  <autoFilter ref="C5:M85" xr:uid="{00000000-0009-0000-0000-000016000000}"/>
  <mergeCells count="11">
    <mergeCell ref="C6:C13"/>
    <mergeCell ref="C14:C21"/>
    <mergeCell ref="C22:C29"/>
    <mergeCell ref="C30:C37"/>
    <mergeCell ref="C38:C45"/>
    <mergeCell ref="L86:M86"/>
    <mergeCell ref="C46:C53"/>
    <mergeCell ref="C54:C61"/>
    <mergeCell ref="C62:C69"/>
    <mergeCell ref="C70:C77"/>
    <mergeCell ref="C78:C85"/>
  </mergeCells>
  <conditionalFormatting sqref="I36:I37 I52:I53 I68:I69 I84:I85">
    <cfRule type="expression" dxfId="85" priority="19">
      <formula>I36=3</formula>
    </cfRule>
    <cfRule type="expression" dxfId="84" priority="20">
      <formula>I36=2</formula>
    </cfRule>
    <cfRule type="expression" dxfId="83" priority="21">
      <formula>I36=1</formula>
    </cfRule>
  </conditionalFormatting>
  <conditionalFormatting sqref="M5">
    <cfRule type="iconSet" priority="78">
      <iconSet iconSet="3Symbols2" showValue="0" reverse="1">
        <cfvo type="percent" val="0"/>
        <cfvo type="num" val="1.25"/>
        <cfvo type="num" val="2.25"/>
      </iconSet>
    </cfRule>
  </conditionalFormatting>
  <conditionalFormatting sqref="I9:I21">
    <cfRule type="expression" dxfId="82" priority="72">
      <formula>I9=3</formula>
    </cfRule>
    <cfRule type="expression" dxfId="81" priority="76">
      <formula>I9=2</formula>
    </cfRule>
    <cfRule type="expression" dxfId="80" priority="77">
      <formula>I9=1</formula>
    </cfRule>
  </conditionalFormatting>
  <conditionalFormatting sqref="L14:L21 L9:L11">
    <cfRule type="expression" dxfId="79" priority="74">
      <formula>AND(J9&lt;&gt;"",M9&lt;&gt;1,L9&lt;=TODAY())</formula>
    </cfRule>
    <cfRule type="expression" dxfId="78" priority="75">
      <formula>AND(J9&lt;&gt;"",M9&lt;&gt;1,L9&lt;=TODAY()+7)</formula>
    </cfRule>
  </conditionalFormatting>
  <conditionalFormatting sqref="J9:J11 J14:J21">
    <cfRule type="expression" dxfId="77" priority="73">
      <formula>AND(#REF!&lt;&gt;"",J9="")</formula>
    </cfRule>
  </conditionalFormatting>
  <conditionalFormatting sqref="L12:L13">
    <cfRule type="expression" dxfId="76" priority="69">
      <formula>AND(J12&lt;&gt;"",M12&lt;&gt;1,L12&lt;=TODAY())</formula>
    </cfRule>
    <cfRule type="expression" dxfId="75" priority="70">
      <formula>AND(J12&lt;&gt;"",M12&lt;&gt;1,L12&lt;=TODAY()+7)</formula>
    </cfRule>
  </conditionalFormatting>
  <conditionalFormatting sqref="J12:J13">
    <cfRule type="expression" dxfId="74" priority="68">
      <formula>AND(#REF!&lt;&gt;"",J12="")</formula>
    </cfRule>
  </conditionalFormatting>
  <conditionalFormatting sqref="I20:I21">
    <cfRule type="expression" dxfId="73" priority="65">
      <formula>I20=3</formula>
    </cfRule>
    <cfRule type="expression" dxfId="72" priority="66">
      <formula>I20=2</formula>
    </cfRule>
    <cfRule type="expression" dxfId="71" priority="67">
      <formula>I20=1</formula>
    </cfRule>
  </conditionalFormatting>
  <conditionalFormatting sqref="M20:M21">
    <cfRule type="iconSet" priority="80">
      <iconSet iconSet="3Symbols2" showValue="0" reverse="1">
        <cfvo type="percent" val="0"/>
        <cfvo type="num" val="1.25"/>
        <cfvo type="num" val="2.25"/>
      </iconSet>
    </cfRule>
  </conditionalFormatting>
  <conditionalFormatting sqref="C22 C38 C54 C70">
    <cfRule type="expression" dxfId="70" priority="41">
      <formula>$A22=1</formula>
    </cfRule>
    <cfRule type="expression" dxfId="69" priority="42">
      <formula>$A22=2</formula>
    </cfRule>
    <cfRule type="expression" dxfId="68" priority="43">
      <formula>$A22=3</formula>
    </cfRule>
    <cfRule type="expression" dxfId="67" priority="44">
      <formula>$A22=4</formula>
    </cfRule>
    <cfRule type="expression" dxfId="66" priority="45">
      <formula>$A22=5</formula>
    </cfRule>
    <cfRule type="expression" dxfId="65" priority="46">
      <formula>$A22=6</formula>
    </cfRule>
    <cfRule type="expression" dxfId="64" priority="47">
      <formula>$A22=7</formula>
    </cfRule>
    <cfRule type="expression" dxfId="63" priority="48">
      <formula>$A22=8</formula>
    </cfRule>
    <cfRule type="expression" dxfId="62" priority="49">
      <formula>$A22=9</formula>
    </cfRule>
    <cfRule type="expression" dxfId="61" priority="50">
      <formula>$A22=10</formula>
    </cfRule>
  </conditionalFormatting>
  <conditionalFormatting sqref="I22:I85">
    <cfRule type="expression" dxfId="60" priority="26">
      <formula>I22=3</formula>
    </cfRule>
    <cfRule type="expression" dxfId="59" priority="30">
      <formula>I22=2</formula>
    </cfRule>
    <cfRule type="expression" dxfId="58" priority="31">
      <formula>I22=1</formula>
    </cfRule>
  </conditionalFormatting>
  <conditionalFormatting sqref="L22:L27 L30:L43 L46:L59 L62:L75 L78:L85">
    <cfRule type="expression" dxfId="57" priority="28">
      <formula>AND(J22&lt;&gt;"",M22&lt;&gt;1,L22&lt;=TODAY())</formula>
    </cfRule>
    <cfRule type="expression" dxfId="56" priority="29">
      <formula>AND(J22&lt;&gt;"",M22&lt;&gt;1,L22&lt;=TODAY()+7)</formula>
    </cfRule>
  </conditionalFormatting>
  <conditionalFormatting sqref="J22:J27 J30:J43 J46:J59 J62:J75 J78:J85">
    <cfRule type="expression" dxfId="55" priority="27">
      <formula>AND(#REF!&lt;&gt;"",J22="")</formula>
    </cfRule>
  </conditionalFormatting>
  <conditionalFormatting sqref="L28:L29 L44:L45 L60:L61 L76:L77">
    <cfRule type="expression" dxfId="54" priority="23">
      <formula>AND(J28&lt;&gt;"",M28&lt;&gt;1,L28&lt;=TODAY())</formula>
    </cfRule>
    <cfRule type="expression" dxfId="53" priority="24">
      <formula>AND(J28&lt;&gt;"",M28&lt;&gt;1,L28&lt;=TODAY()+7)</formula>
    </cfRule>
  </conditionalFormatting>
  <conditionalFormatting sqref="J28:J29 J44:J45 J60:J61 J76:J77">
    <cfRule type="expression" dxfId="52" priority="22">
      <formula>AND(#REF!&lt;&gt;"",J28="")</formula>
    </cfRule>
  </conditionalFormatting>
  <conditionalFormatting sqref="M28:M29 M44:M45 M60:M61 M76:M77">
    <cfRule type="iconSet" priority="25">
      <iconSet iconSet="3Symbols2" showValue="0" reverse="1">
        <cfvo type="percent" val="0"/>
        <cfvo type="num" val="1.25"/>
        <cfvo type="num" val="2.25"/>
      </iconSet>
    </cfRule>
  </conditionalFormatting>
  <conditionalFormatting sqref="M36:M37 M52:M53 M68:M69 M84:M85">
    <cfRule type="iconSet" priority="32">
      <iconSet iconSet="3Symbols2" showValue="0" reverse="1">
        <cfvo type="percent" val="0"/>
        <cfvo type="num" val="1.25"/>
        <cfvo type="num" val="2.25"/>
      </iconSet>
    </cfRule>
  </conditionalFormatting>
  <conditionalFormatting sqref="M22:M27 M38:M43 M54:M59 M70:M75 M30:M35 M46:M51 M62:M67 M78:M83">
    <cfRule type="iconSet" priority="33">
      <iconSet iconSet="3Symbols2" showValue="0" reverse="1">
        <cfvo type="percent" val="0"/>
        <cfvo type="num" val="1.25"/>
        <cfvo type="num" val="2.25"/>
      </iconSet>
    </cfRule>
  </conditionalFormatting>
  <conditionalFormatting sqref="M14:M19">
    <cfRule type="iconSet" priority="83">
      <iconSet iconSet="3Symbols2" showValue="0" reverse="1">
        <cfvo type="percent" val="0"/>
        <cfvo type="num" val="1.25"/>
        <cfvo type="num" val="2.25"/>
      </iconSet>
    </cfRule>
  </conditionalFormatting>
  <conditionalFormatting sqref="C6">
    <cfRule type="expression" dxfId="51" priority="9">
      <formula>$A6=1</formula>
    </cfRule>
    <cfRule type="expression" dxfId="50" priority="10">
      <formula>$A6=2</formula>
    </cfRule>
    <cfRule type="expression" dxfId="49" priority="11">
      <formula>$A6=3</formula>
    </cfRule>
    <cfRule type="expression" dxfId="48" priority="12">
      <formula>$A6=4</formula>
    </cfRule>
    <cfRule type="expression" dxfId="47" priority="13">
      <formula>$A6=5</formula>
    </cfRule>
    <cfRule type="expression" dxfId="46" priority="14">
      <formula>$A6=6</formula>
    </cfRule>
    <cfRule type="expression" dxfId="45" priority="15">
      <formula>$A6=7</formula>
    </cfRule>
    <cfRule type="expression" dxfId="44" priority="16">
      <formula>$A6=8</formula>
    </cfRule>
    <cfRule type="expression" dxfId="43" priority="17">
      <formula>$A6=9</formula>
    </cfRule>
    <cfRule type="expression" dxfId="42" priority="18">
      <formula>$A6=10</formula>
    </cfRule>
  </conditionalFormatting>
  <conditionalFormatting sqref="I6:I8">
    <cfRule type="expression" dxfId="41" priority="2">
      <formula>I6=3</formula>
    </cfRule>
    <cfRule type="expression" dxfId="40" priority="6">
      <formula>I6=2</formula>
    </cfRule>
    <cfRule type="expression" dxfId="39" priority="7">
      <formula>I6=1</formula>
    </cfRule>
  </conditionalFormatting>
  <conditionalFormatting sqref="L6:L8">
    <cfRule type="expression" dxfId="38" priority="4">
      <formula>AND(J6&lt;&gt;"",M6&lt;&gt;1,L6&lt;=TODAY())</formula>
    </cfRule>
    <cfRule type="expression" dxfId="37" priority="5">
      <formula>AND(J6&lt;&gt;"",M6&lt;&gt;1,L6&lt;=TODAY()+7)</formula>
    </cfRule>
  </conditionalFormatting>
  <conditionalFormatting sqref="J6:J8">
    <cfRule type="expression" dxfId="36" priority="3">
      <formula>AND(#REF!&lt;&gt;"",J6="")</formula>
    </cfRule>
  </conditionalFormatting>
  <conditionalFormatting sqref="M6:M8">
    <cfRule type="iconSet" priority="8">
      <iconSet iconSet="3Symbols2" showValue="0" reverse="1">
        <cfvo type="percent" val="0"/>
        <cfvo type="num" val="1.25"/>
        <cfvo type="num" val="2.25"/>
      </iconSet>
    </cfRule>
  </conditionalFormatting>
  <conditionalFormatting sqref="M9:M13">
    <cfRule type="iconSet" priority="1">
      <iconSet iconSet="3Symbols2" showValue="0" reverse="1">
        <cfvo type="percent" val="0"/>
        <cfvo type="num" val="1.25"/>
        <cfvo type="num" val="2.25"/>
      </iconSet>
    </cfRule>
  </conditionalFormatting>
  <dataValidations count="2">
    <dataValidation type="list" allowBlank="1" showInputMessage="1" showErrorMessage="1" errorTitle="Priority" error="Please select priority 1 to 3" sqref="I6:I8" xr:uid="{00000000-0002-0000-1600-000000000000}">
      <formula1>"1,2,3"</formula1>
    </dataValidation>
    <dataValidation type="list" showInputMessage="1" sqref="M6:M85" xr:uid="{00000000-0002-0000-1600-000001000000}">
      <formula1>"1,2,3"</formula1>
    </dataValidation>
  </dataValidations>
  <pageMargins left="0.23622047244094491" right="0.23622047244094491" top="0.19685039370078741" bottom="0.19685039370078741" header="0.19685039370078741" footer="0.19685039370078741"/>
  <pageSetup paperSize="9" scale="80" fitToHeight="4" orientation="landscape" r:id="rId1"/>
  <headerFooter>
    <oddFooter>&amp;L&amp;8&amp;K00-048(c) S.Imboden&amp;R&amp;8&amp;K00-048Seite &amp;P von &amp;N</oddFooter>
  </headerFooter>
  <drawing r:id="rId2"/>
  <legacyDrawing r:id="rId3"/>
  <extLst>
    <ext xmlns:x14="http://schemas.microsoft.com/office/spreadsheetml/2009/9/main" uri="{CCE6A557-97BC-4b89-ADB6-D9C93CAAB3DF}">
      <x14:dataValidations xmlns:xm="http://schemas.microsoft.com/office/excel/2006/main" count="3">
        <x14:dataValidation type="list" errorStyle="warning" allowBlank="1" showInputMessage="1" showErrorMessage="1" errorTitle="Person not in the list" xr:uid="{00000000-0002-0000-1600-000002000000}">
          <x14:formula1>
            <xm:f>Projektteam!$D$11:$D$31</xm:f>
          </x14:formula1>
          <xm:sqref>J85</xm:sqref>
        </x14:dataValidation>
        <x14:dataValidation type="list" errorStyle="information" allowBlank="1" showInputMessage="1" errorTitle="Not in the Stakeholder" xr:uid="{00000000-0002-0000-1600-000003000000}">
          <x14:formula1>
            <xm:f>Stakeholder!$C$5:$C$25</xm:f>
          </x14:formula1>
          <xm:sqref>E6:E85</xm:sqref>
        </x14:dataValidation>
        <x14:dataValidation type="list" errorStyle="warning" allowBlank="1" showInputMessage="1" showErrorMessage="1" errorTitle="Person not in the list" xr:uid="{00000000-0002-0000-1600-000004000000}">
          <x14:formula1>
            <xm:f>Projektteam!$D$10:$D$31</xm:f>
          </x14:formula1>
          <xm:sqref>J6:J84</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
    <tabColor theme="6" tint="0.59999389629810485"/>
    <pageSetUpPr fitToPage="1"/>
  </sheetPr>
  <dimension ref="A1:X78"/>
  <sheetViews>
    <sheetView showGridLines="0" zoomScaleNormal="100" workbookViewId="0">
      <pane ySplit="1" topLeftCell="A3" activePane="bottomLeft" state="frozen"/>
      <selection activeCell="C28" sqref="C28"/>
      <selection pane="bottomLeft" activeCell="C7" sqref="C7"/>
    </sheetView>
  </sheetViews>
  <sheetFormatPr baseColWidth="10" defaultColWidth="11.44140625" defaultRowHeight="14.4" x14ac:dyDescent="0.3"/>
  <cols>
    <col min="1" max="1" width="7" style="75" customWidth="1"/>
    <col min="2" max="2" width="4" style="78" customWidth="1"/>
    <col min="3" max="3" width="51.109375" style="78" customWidth="1"/>
    <col min="4" max="4" width="4.44140625" style="78" customWidth="1"/>
    <col min="5" max="9" width="2.88671875" style="406" bestFit="1" customWidth="1"/>
    <col min="10" max="14" width="2.88671875" style="407" bestFit="1" customWidth="1"/>
    <col min="15" max="15" width="4.109375" style="78" customWidth="1"/>
    <col min="16" max="16" width="51.109375" style="78" customWidth="1"/>
    <col min="17" max="17" width="4.44140625" style="78" customWidth="1"/>
    <col min="18" max="18" width="2.88671875" style="78" customWidth="1"/>
    <col min="19" max="19" width="5.44140625" style="78" customWidth="1"/>
    <col min="20" max="20" width="1.109375" style="78" customWidth="1"/>
    <col min="21" max="30" width="5.44140625" style="78" customWidth="1"/>
    <col min="31" max="31" width="29" style="78" customWidth="1"/>
    <col min="32" max="35" width="5.44140625" style="78" customWidth="1"/>
    <col min="36" max="36" width="4.109375" style="78" customWidth="1"/>
    <col min="37" max="48" width="5.44140625" style="78" customWidth="1"/>
    <col min="49" max="16384" width="11.44140625" style="78"/>
  </cols>
  <sheetData>
    <row r="1" spans="1:24" s="70" customFormat="1" ht="45" customHeight="1" x14ac:dyDescent="0.6">
      <c r="A1" s="205"/>
      <c r="B1" s="825" t="str">
        <f ca="1">' '!A250</f>
        <v>S W O T   A N A L Y S I S</v>
      </c>
      <c r="C1" s="206"/>
      <c r="D1" s="400"/>
      <c r="E1" s="401"/>
      <c r="F1" s="401"/>
      <c r="G1" s="401"/>
      <c r="H1" s="401"/>
      <c r="I1" s="401"/>
      <c r="J1" s="402"/>
      <c r="K1" s="402"/>
      <c r="L1" s="402"/>
      <c r="M1" s="402"/>
      <c r="N1" s="402"/>
      <c r="O1" s="206"/>
      <c r="P1" s="206"/>
      <c r="Q1" s="132"/>
      <c r="R1" s="71"/>
      <c r="S1" s="71"/>
      <c r="T1" s="71"/>
      <c r="U1" s="71"/>
      <c r="V1" s="71"/>
      <c r="W1" s="71"/>
      <c r="X1" s="71"/>
    </row>
    <row r="2" spans="1:24" s="70" customFormat="1" ht="11.25" hidden="1" customHeight="1" x14ac:dyDescent="0.3">
      <c r="A2" s="205"/>
      <c r="B2" s="205"/>
      <c r="C2" s="205"/>
      <c r="D2" s="403"/>
      <c r="E2" s="404"/>
      <c r="F2" s="404"/>
      <c r="G2" s="404"/>
      <c r="H2" s="404"/>
      <c r="I2" s="404"/>
      <c r="J2" s="405"/>
      <c r="K2" s="405"/>
      <c r="L2" s="405"/>
      <c r="M2" s="405"/>
      <c r="N2" s="405"/>
      <c r="O2" s="205"/>
      <c r="P2" s="205"/>
      <c r="Q2" s="403"/>
      <c r="R2" s="69"/>
      <c r="S2" s="69"/>
      <c r="T2" s="69"/>
      <c r="U2" s="69"/>
      <c r="V2" s="69"/>
      <c r="W2" s="69"/>
      <c r="X2" s="69"/>
    </row>
    <row r="3" spans="1:24" ht="15" customHeight="1" x14ac:dyDescent="0.3">
      <c r="B3" s="135"/>
    </row>
    <row r="4" spans="1:24" ht="4.5" customHeight="1" x14ac:dyDescent="0.3">
      <c r="B4" s="408"/>
      <c r="D4" s="409"/>
      <c r="O4" s="410"/>
      <c r="Q4" s="409"/>
    </row>
    <row r="5" spans="1:24" ht="27" customHeight="1" x14ac:dyDescent="0.35">
      <c r="B5" s="408"/>
      <c r="C5" s="411" t="str">
        <f ca="1">' '!A251</f>
        <v>Strength</v>
      </c>
      <c r="D5" s="412"/>
      <c r="E5" s="413">
        <v>5</v>
      </c>
      <c r="F5" s="413">
        <v>4</v>
      </c>
      <c r="G5" s="413">
        <v>3</v>
      </c>
      <c r="H5" s="413">
        <v>2</v>
      </c>
      <c r="I5" s="413">
        <v>1</v>
      </c>
      <c r="J5" s="414">
        <v>-1</v>
      </c>
      <c r="K5" s="414">
        <v>-2</v>
      </c>
      <c r="L5" s="414">
        <v>-3</v>
      </c>
      <c r="M5" s="414">
        <v>-4</v>
      </c>
      <c r="N5" s="414">
        <v>-5</v>
      </c>
      <c r="O5" s="410"/>
      <c r="P5" s="415" t="str">
        <f ca="1">' '!A252</f>
        <v>Weaknesses</v>
      </c>
      <c r="Q5" s="409"/>
      <c r="S5" s="416"/>
    </row>
    <row r="6" spans="1:24" s="424" customFormat="1" ht="11.25" customHeight="1" x14ac:dyDescent="0.35">
      <c r="A6" s="116"/>
      <c r="B6" s="417"/>
      <c r="C6" s="418"/>
      <c r="D6" s="419"/>
      <c r="E6" s="413"/>
      <c r="F6" s="413"/>
      <c r="G6" s="413"/>
      <c r="H6" s="413"/>
      <c r="I6" s="413"/>
      <c r="J6" s="420"/>
      <c r="K6" s="420"/>
      <c r="L6" s="420"/>
      <c r="M6" s="420"/>
      <c r="N6" s="420"/>
      <c r="O6" s="421"/>
      <c r="P6" s="422"/>
      <c r="Q6" s="423"/>
      <c r="S6" s="425"/>
    </row>
    <row r="7" spans="1:24" x14ac:dyDescent="0.3">
      <c r="B7" s="426" t="s">
        <v>286</v>
      </c>
      <c r="C7" s="427"/>
      <c r="D7" s="428">
        <v>1</v>
      </c>
      <c r="E7" s="429" t="str">
        <f>IF(D7=5,"❺","")</f>
        <v/>
      </c>
      <c r="F7" s="429" t="str">
        <f>IF(D7=4,"❹","")</f>
        <v/>
      </c>
      <c r="G7" s="429" t="str">
        <f>IF(D7=3,"❸","")</f>
        <v/>
      </c>
      <c r="H7" s="429" t="str">
        <f>IF(D7=2,"❷","")</f>
        <v/>
      </c>
      <c r="I7" s="430" t="str">
        <f>IF(D7=1,"❶","")</f>
        <v>❶</v>
      </c>
      <c r="J7" s="431" t="str">
        <f>IF(Q7=-1,"❶","")</f>
        <v/>
      </c>
      <c r="K7" s="432" t="str">
        <f>IF(Q7=-2,"❷","")</f>
        <v/>
      </c>
      <c r="L7" s="432" t="str">
        <f>IF(Q7=-3,"❸","")</f>
        <v/>
      </c>
      <c r="M7" s="432" t="str">
        <f>IF(Q7=-4,"❹","")</f>
        <v>❹</v>
      </c>
      <c r="N7" s="432" t="str">
        <f>IF(Q7=-5,"❺","")</f>
        <v/>
      </c>
      <c r="O7" s="426" t="s">
        <v>287</v>
      </c>
      <c r="P7" s="427"/>
      <c r="Q7" s="433">
        <v>-4</v>
      </c>
      <c r="S7" s="434"/>
      <c r="T7" s="434"/>
      <c r="V7" s="434"/>
    </row>
    <row r="8" spans="1:24" x14ac:dyDescent="0.3">
      <c r="B8" s="435" t="s">
        <v>288</v>
      </c>
      <c r="C8" s="436"/>
      <c r="D8" s="437">
        <v>3</v>
      </c>
      <c r="E8" s="438" t="str">
        <f t="shared" ref="E8:E23" si="0">IF(D8=5,"❺","")</f>
        <v/>
      </c>
      <c r="F8" s="438" t="str">
        <f t="shared" ref="F8:F23" si="1">IF(D8=4,"❹","")</f>
        <v/>
      </c>
      <c r="G8" s="438" t="str">
        <f t="shared" ref="G8:G23" si="2">IF(D8=3,"❸","")</f>
        <v>❸</v>
      </c>
      <c r="H8" s="438" t="str">
        <f t="shared" ref="H8:H23" si="3">IF(D8=2,"❷","")</f>
        <v/>
      </c>
      <c r="I8" s="439" t="str">
        <f t="shared" ref="I8:I23" si="4">IF(D8=1,"❶","")</f>
        <v/>
      </c>
      <c r="J8" s="440" t="str">
        <f t="shared" ref="J8:J23" si="5">IF(Q8=-1,"❶","")</f>
        <v/>
      </c>
      <c r="K8" s="441" t="str">
        <f t="shared" ref="K8:K23" si="6">IF(Q8=-2,"❷","")</f>
        <v>❷</v>
      </c>
      <c r="L8" s="441" t="str">
        <f t="shared" ref="L8:L23" si="7">IF(Q8=-3,"❸","")</f>
        <v/>
      </c>
      <c r="M8" s="441" t="str">
        <f t="shared" ref="M8:M23" si="8">IF(Q8=-4,"❹","")</f>
        <v/>
      </c>
      <c r="N8" s="441" t="str">
        <f t="shared" ref="N8:N23" si="9">IF(Q8=-5,"❺","")</f>
        <v/>
      </c>
      <c r="O8" s="435" t="s">
        <v>289</v>
      </c>
      <c r="P8" s="436"/>
      <c r="Q8" s="442">
        <v>-2</v>
      </c>
      <c r="S8" s="434"/>
      <c r="T8" s="434"/>
      <c r="V8" s="434"/>
    </row>
    <row r="9" spans="1:24" x14ac:dyDescent="0.3">
      <c r="B9" s="435" t="s">
        <v>290</v>
      </c>
      <c r="C9" s="436"/>
      <c r="D9" s="437"/>
      <c r="E9" s="429" t="str">
        <f t="shared" si="0"/>
        <v/>
      </c>
      <c r="F9" s="429" t="str">
        <f t="shared" si="1"/>
        <v/>
      </c>
      <c r="G9" s="429" t="str">
        <f t="shared" si="2"/>
        <v/>
      </c>
      <c r="H9" s="429" t="str">
        <f t="shared" si="3"/>
        <v/>
      </c>
      <c r="I9" s="430" t="str">
        <f t="shared" si="4"/>
        <v/>
      </c>
      <c r="J9" s="431" t="str">
        <f t="shared" si="5"/>
        <v/>
      </c>
      <c r="K9" s="432" t="str">
        <f t="shared" si="6"/>
        <v/>
      </c>
      <c r="L9" s="432" t="str">
        <f t="shared" si="7"/>
        <v/>
      </c>
      <c r="M9" s="432" t="str">
        <f t="shared" si="8"/>
        <v/>
      </c>
      <c r="N9" s="432" t="str">
        <f t="shared" si="9"/>
        <v/>
      </c>
      <c r="O9" s="435" t="s">
        <v>291</v>
      </c>
      <c r="P9" s="436"/>
      <c r="Q9" s="442"/>
      <c r="S9" s="434"/>
      <c r="T9" s="434"/>
      <c r="V9" s="434"/>
    </row>
    <row r="10" spans="1:24" x14ac:dyDescent="0.3">
      <c r="B10" s="435" t="s">
        <v>292</v>
      </c>
      <c r="C10" s="436"/>
      <c r="D10" s="437"/>
      <c r="E10" s="438" t="str">
        <f t="shared" si="0"/>
        <v/>
      </c>
      <c r="F10" s="438" t="str">
        <f t="shared" si="1"/>
        <v/>
      </c>
      <c r="G10" s="438" t="str">
        <f t="shared" si="2"/>
        <v/>
      </c>
      <c r="H10" s="438" t="str">
        <f t="shared" si="3"/>
        <v/>
      </c>
      <c r="I10" s="439" t="str">
        <f t="shared" si="4"/>
        <v/>
      </c>
      <c r="J10" s="440" t="str">
        <f t="shared" si="5"/>
        <v/>
      </c>
      <c r="K10" s="441" t="str">
        <f t="shared" si="6"/>
        <v/>
      </c>
      <c r="L10" s="441" t="str">
        <f t="shared" si="7"/>
        <v/>
      </c>
      <c r="M10" s="441" t="str">
        <f t="shared" si="8"/>
        <v/>
      </c>
      <c r="N10" s="441" t="str">
        <f t="shared" si="9"/>
        <v/>
      </c>
      <c r="O10" s="435" t="s">
        <v>293</v>
      </c>
      <c r="P10" s="436"/>
      <c r="Q10" s="442"/>
      <c r="S10" s="434"/>
      <c r="T10" s="434"/>
      <c r="V10" s="434"/>
    </row>
    <row r="11" spans="1:24" x14ac:dyDescent="0.3">
      <c r="B11" s="435" t="s">
        <v>294</v>
      </c>
      <c r="C11" s="436"/>
      <c r="D11" s="437"/>
      <c r="E11" s="429" t="str">
        <f t="shared" si="0"/>
        <v/>
      </c>
      <c r="F11" s="429" t="str">
        <f t="shared" si="1"/>
        <v/>
      </c>
      <c r="G11" s="429" t="str">
        <f t="shared" si="2"/>
        <v/>
      </c>
      <c r="H11" s="429" t="str">
        <f t="shared" si="3"/>
        <v/>
      </c>
      <c r="I11" s="430" t="str">
        <f t="shared" si="4"/>
        <v/>
      </c>
      <c r="J11" s="431" t="str">
        <f t="shared" si="5"/>
        <v/>
      </c>
      <c r="K11" s="432" t="str">
        <f t="shared" si="6"/>
        <v/>
      </c>
      <c r="L11" s="432" t="str">
        <f t="shared" si="7"/>
        <v/>
      </c>
      <c r="M11" s="432" t="str">
        <f t="shared" si="8"/>
        <v/>
      </c>
      <c r="N11" s="432" t="str">
        <f t="shared" si="9"/>
        <v/>
      </c>
      <c r="O11" s="435" t="s">
        <v>295</v>
      </c>
      <c r="P11" s="436"/>
      <c r="Q11" s="442"/>
      <c r="S11" s="434"/>
      <c r="T11" s="434"/>
      <c r="V11" s="434"/>
    </row>
    <row r="12" spans="1:24" x14ac:dyDescent="0.3">
      <c r="B12" s="435" t="s">
        <v>296</v>
      </c>
      <c r="C12" s="436"/>
      <c r="D12" s="437"/>
      <c r="E12" s="438" t="str">
        <f t="shared" si="0"/>
        <v/>
      </c>
      <c r="F12" s="438" t="str">
        <f t="shared" si="1"/>
        <v/>
      </c>
      <c r="G12" s="438" t="str">
        <f t="shared" si="2"/>
        <v/>
      </c>
      <c r="H12" s="438" t="str">
        <f t="shared" si="3"/>
        <v/>
      </c>
      <c r="I12" s="439" t="str">
        <f t="shared" si="4"/>
        <v/>
      </c>
      <c r="J12" s="440" t="str">
        <f t="shared" si="5"/>
        <v/>
      </c>
      <c r="K12" s="441" t="str">
        <f t="shared" si="6"/>
        <v/>
      </c>
      <c r="L12" s="441" t="str">
        <f t="shared" si="7"/>
        <v/>
      </c>
      <c r="M12" s="441" t="str">
        <f t="shared" si="8"/>
        <v/>
      </c>
      <c r="N12" s="441" t="str">
        <f t="shared" si="9"/>
        <v/>
      </c>
      <c r="O12" s="435" t="s">
        <v>297</v>
      </c>
      <c r="P12" s="436"/>
      <c r="Q12" s="442"/>
      <c r="S12" s="434"/>
      <c r="T12" s="434"/>
      <c r="V12" s="434"/>
    </row>
    <row r="13" spans="1:24" x14ac:dyDescent="0.3">
      <c r="B13" s="435" t="s">
        <v>298</v>
      </c>
      <c r="C13" s="436"/>
      <c r="D13" s="437"/>
      <c r="E13" s="429" t="str">
        <f t="shared" si="0"/>
        <v/>
      </c>
      <c r="F13" s="429" t="str">
        <f t="shared" si="1"/>
        <v/>
      </c>
      <c r="G13" s="429" t="str">
        <f t="shared" si="2"/>
        <v/>
      </c>
      <c r="H13" s="429" t="str">
        <f t="shared" si="3"/>
        <v/>
      </c>
      <c r="I13" s="430" t="str">
        <f t="shared" si="4"/>
        <v/>
      </c>
      <c r="J13" s="431" t="str">
        <f t="shared" si="5"/>
        <v/>
      </c>
      <c r="K13" s="432" t="str">
        <f t="shared" si="6"/>
        <v/>
      </c>
      <c r="L13" s="432" t="str">
        <f t="shared" si="7"/>
        <v/>
      </c>
      <c r="M13" s="432" t="str">
        <f t="shared" si="8"/>
        <v/>
      </c>
      <c r="N13" s="432" t="str">
        <f t="shared" si="9"/>
        <v/>
      </c>
      <c r="O13" s="435" t="s">
        <v>299</v>
      </c>
      <c r="P13" s="436"/>
      <c r="Q13" s="442"/>
      <c r="S13" s="434"/>
      <c r="T13" s="434"/>
      <c r="V13" s="434"/>
    </row>
    <row r="14" spans="1:24" x14ac:dyDescent="0.3">
      <c r="B14" s="435" t="s">
        <v>300</v>
      </c>
      <c r="C14" s="436"/>
      <c r="D14" s="437"/>
      <c r="E14" s="438" t="str">
        <f t="shared" si="0"/>
        <v/>
      </c>
      <c r="F14" s="438" t="str">
        <f t="shared" si="1"/>
        <v/>
      </c>
      <c r="G14" s="438" t="str">
        <f t="shared" si="2"/>
        <v/>
      </c>
      <c r="H14" s="438" t="str">
        <f t="shared" si="3"/>
        <v/>
      </c>
      <c r="I14" s="439" t="str">
        <f t="shared" si="4"/>
        <v/>
      </c>
      <c r="J14" s="440" t="str">
        <f t="shared" si="5"/>
        <v/>
      </c>
      <c r="K14" s="441" t="str">
        <f t="shared" si="6"/>
        <v/>
      </c>
      <c r="L14" s="441" t="str">
        <f t="shared" si="7"/>
        <v/>
      </c>
      <c r="M14" s="441" t="str">
        <f t="shared" si="8"/>
        <v/>
      </c>
      <c r="N14" s="441" t="str">
        <f t="shared" si="9"/>
        <v/>
      </c>
      <c r="O14" s="435" t="s">
        <v>301</v>
      </c>
      <c r="P14" s="436"/>
      <c r="Q14" s="442"/>
      <c r="S14" s="434"/>
      <c r="T14" s="434"/>
      <c r="V14" s="434"/>
    </row>
    <row r="15" spans="1:24" x14ac:dyDescent="0.3">
      <c r="B15" s="435" t="s">
        <v>302</v>
      </c>
      <c r="C15" s="436"/>
      <c r="D15" s="437"/>
      <c r="E15" s="429" t="str">
        <f t="shared" si="0"/>
        <v/>
      </c>
      <c r="F15" s="429" t="str">
        <f t="shared" si="1"/>
        <v/>
      </c>
      <c r="G15" s="429" t="str">
        <f t="shared" si="2"/>
        <v/>
      </c>
      <c r="H15" s="429" t="str">
        <f t="shared" si="3"/>
        <v/>
      </c>
      <c r="I15" s="430" t="str">
        <f t="shared" si="4"/>
        <v/>
      </c>
      <c r="J15" s="431" t="str">
        <f t="shared" si="5"/>
        <v/>
      </c>
      <c r="K15" s="432" t="str">
        <f t="shared" si="6"/>
        <v/>
      </c>
      <c r="L15" s="432" t="str">
        <f t="shared" si="7"/>
        <v/>
      </c>
      <c r="M15" s="432" t="str">
        <f t="shared" si="8"/>
        <v/>
      </c>
      <c r="N15" s="432" t="str">
        <f t="shared" si="9"/>
        <v/>
      </c>
      <c r="O15" s="435" t="s">
        <v>303</v>
      </c>
      <c r="P15" s="436"/>
      <c r="Q15" s="442"/>
      <c r="S15" s="434"/>
      <c r="T15" s="434"/>
      <c r="V15" s="434"/>
    </row>
    <row r="16" spans="1:24" ht="17.399999999999999" customHeight="1" x14ac:dyDescent="0.3">
      <c r="B16" s="435" t="s">
        <v>304</v>
      </c>
      <c r="C16" s="436"/>
      <c r="D16" s="437"/>
      <c r="E16" s="438" t="str">
        <f t="shared" si="0"/>
        <v/>
      </c>
      <c r="F16" s="438" t="str">
        <f t="shared" si="1"/>
        <v/>
      </c>
      <c r="G16" s="438" t="str">
        <f t="shared" si="2"/>
        <v/>
      </c>
      <c r="H16" s="438" t="str">
        <f t="shared" si="3"/>
        <v/>
      </c>
      <c r="I16" s="439" t="str">
        <f t="shared" si="4"/>
        <v/>
      </c>
      <c r="J16" s="440" t="str">
        <f t="shared" si="5"/>
        <v/>
      </c>
      <c r="K16" s="441" t="str">
        <f t="shared" si="6"/>
        <v/>
      </c>
      <c r="L16" s="441" t="str">
        <f t="shared" si="7"/>
        <v/>
      </c>
      <c r="M16" s="441" t="str">
        <f t="shared" si="8"/>
        <v/>
      </c>
      <c r="N16" s="441" t="str">
        <f t="shared" si="9"/>
        <v/>
      </c>
      <c r="O16" s="435" t="s">
        <v>305</v>
      </c>
      <c r="P16" s="436"/>
      <c r="Q16" s="442"/>
      <c r="S16" s="434"/>
      <c r="T16" s="434"/>
      <c r="V16" s="434"/>
    </row>
    <row r="17" spans="1:17" ht="17.399999999999999" customHeight="1" x14ac:dyDescent="0.3">
      <c r="B17" s="435" t="s">
        <v>306</v>
      </c>
      <c r="C17" s="436"/>
      <c r="D17" s="437"/>
      <c r="E17" s="429" t="str">
        <f t="shared" si="0"/>
        <v/>
      </c>
      <c r="F17" s="429" t="str">
        <f t="shared" si="1"/>
        <v/>
      </c>
      <c r="G17" s="429" t="str">
        <f t="shared" si="2"/>
        <v/>
      </c>
      <c r="H17" s="429" t="str">
        <f t="shared" si="3"/>
        <v/>
      </c>
      <c r="I17" s="430" t="str">
        <f t="shared" si="4"/>
        <v/>
      </c>
      <c r="J17" s="431" t="str">
        <f t="shared" si="5"/>
        <v/>
      </c>
      <c r="K17" s="432" t="str">
        <f t="shared" si="6"/>
        <v/>
      </c>
      <c r="L17" s="432" t="str">
        <f t="shared" si="7"/>
        <v/>
      </c>
      <c r="M17" s="432" t="str">
        <f t="shared" si="8"/>
        <v/>
      </c>
      <c r="N17" s="432" t="str">
        <f t="shared" si="9"/>
        <v/>
      </c>
      <c r="O17" s="435" t="s">
        <v>307</v>
      </c>
      <c r="P17" s="436"/>
      <c r="Q17" s="442"/>
    </row>
    <row r="18" spans="1:17" ht="17.399999999999999" customHeight="1" x14ac:dyDescent="0.3">
      <c r="B18" s="435" t="s">
        <v>308</v>
      </c>
      <c r="C18" s="436"/>
      <c r="D18" s="437"/>
      <c r="E18" s="438" t="str">
        <f t="shared" si="0"/>
        <v/>
      </c>
      <c r="F18" s="438" t="str">
        <f t="shared" si="1"/>
        <v/>
      </c>
      <c r="G18" s="438" t="str">
        <f t="shared" si="2"/>
        <v/>
      </c>
      <c r="H18" s="438" t="str">
        <f t="shared" si="3"/>
        <v/>
      </c>
      <c r="I18" s="439" t="str">
        <f t="shared" si="4"/>
        <v/>
      </c>
      <c r="J18" s="440" t="str">
        <f t="shared" si="5"/>
        <v/>
      </c>
      <c r="K18" s="441" t="str">
        <f t="shared" si="6"/>
        <v/>
      </c>
      <c r="L18" s="441" t="str">
        <f t="shared" si="7"/>
        <v/>
      </c>
      <c r="M18" s="441" t="str">
        <f t="shared" si="8"/>
        <v/>
      </c>
      <c r="N18" s="441" t="str">
        <f t="shared" si="9"/>
        <v/>
      </c>
      <c r="O18" s="435" t="s">
        <v>309</v>
      </c>
      <c r="P18" s="436"/>
      <c r="Q18" s="442"/>
    </row>
    <row r="19" spans="1:17" ht="17.399999999999999" customHeight="1" x14ac:dyDescent="0.3">
      <c r="B19" s="435" t="s">
        <v>310</v>
      </c>
      <c r="C19" s="436"/>
      <c r="D19" s="437"/>
      <c r="E19" s="429" t="str">
        <f t="shared" si="0"/>
        <v/>
      </c>
      <c r="F19" s="429" t="str">
        <f t="shared" si="1"/>
        <v/>
      </c>
      <c r="G19" s="429" t="str">
        <f t="shared" si="2"/>
        <v/>
      </c>
      <c r="H19" s="429" t="str">
        <f t="shared" si="3"/>
        <v/>
      </c>
      <c r="I19" s="430" t="str">
        <f t="shared" si="4"/>
        <v/>
      </c>
      <c r="J19" s="431" t="str">
        <f t="shared" si="5"/>
        <v/>
      </c>
      <c r="K19" s="432" t="str">
        <f t="shared" si="6"/>
        <v/>
      </c>
      <c r="L19" s="432" t="str">
        <f t="shared" si="7"/>
        <v/>
      </c>
      <c r="M19" s="432" t="str">
        <f t="shared" si="8"/>
        <v/>
      </c>
      <c r="N19" s="432" t="str">
        <f t="shared" si="9"/>
        <v/>
      </c>
      <c r="O19" s="435" t="s">
        <v>311</v>
      </c>
      <c r="P19" s="436"/>
      <c r="Q19" s="442"/>
    </row>
    <row r="20" spans="1:17" ht="17.399999999999999" customHeight="1" x14ac:dyDescent="0.3">
      <c r="B20" s="435" t="s">
        <v>312</v>
      </c>
      <c r="C20" s="436"/>
      <c r="D20" s="437"/>
      <c r="E20" s="438" t="str">
        <f t="shared" si="0"/>
        <v/>
      </c>
      <c r="F20" s="438" t="str">
        <f t="shared" si="1"/>
        <v/>
      </c>
      <c r="G20" s="438" t="str">
        <f t="shared" si="2"/>
        <v/>
      </c>
      <c r="H20" s="438" t="str">
        <f t="shared" si="3"/>
        <v/>
      </c>
      <c r="I20" s="439" t="str">
        <f t="shared" si="4"/>
        <v/>
      </c>
      <c r="J20" s="440" t="str">
        <f t="shared" si="5"/>
        <v/>
      </c>
      <c r="K20" s="441" t="str">
        <f t="shared" si="6"/>
        <v/>
      </c>
      <c r="L20" s="441" t="str">
        <f t="shared" si="7"/>
        <v/>
      </c>
      <c r="M20" s="441" t="str">
        <f t="shared" si="8"/>
        <v/>
      </c>
      <c r="N20" s="441" t="str">
        <f t="shared" si="9"/>
        <v/>
      </c>
      <c r="O20" s="435" t="s">
        <v>313</v>
      </c>
      <c r="P20" s="436"/>
      <c r="Q20" s="442"/>
    </row>
    <row r="21" spans="1:17" ht="17.399999999999999" customHeight="1" x14ac:dyDescent="0.3">
      <c r="B21" s="435" t="s">
        <v>314</v>
      </c>
      <c r="C21" s="436"/>
      <c r="D21" s="437"/>
      <c r="E21" s="429" t="str">
        <f t="shared" si="0"/>
        <v/>
      </c>
      <c r="F21" s="429" t="str">
        <f t="shared" si="1"/>
        <v/>
      </c>
      <c r="G21" s="429" t="str">
        <f t="shared" si="2"/>
        <v/>
      </c>
      <c r="H21" s="429" t="str">
        <f t="shared" si="3"/>
        <v/>
      </c>
      <c r="I21" s="430" t="str">
        <f t="shared" si="4"/>
        <v/>
      </c>
      <c r="J21" s="431" t="str">
        <f t="shared" si="5"/>
        <v/>
      </c>
      <c r="K21" s="432" t="str">
        <f t="shared" si="6"/>
        <v/>
      </c>
      <c r="L21" s="432" t="str">
        <f t="shared" si="7"/>
        <v/>
      </c>
      <c r="M21" s="432" t="str">
        <f t="shared" si="8"/>
        <v/>
      </c>
      <c r="N21" s="432" t="str">
        <f t="shared" si="9"/>
        <v/>
      </c>
      <c r="O21" s="435" t="s">
        <v>315</v>
      </c>
      <c r="P21" s="436"/>
      <c r="Q21" s="442"/>
    </row>
    <row r="22" spans="1:17" ht="17.399999999999999" customHeight="1" x14ac:dyDescent="0.3">
      <c r="B22" s="435" t="s">
        <v>316</v>
      </c>
      <c r="C22" s="436"/>
      <c r="D22" s="437"/>
      <c r="E22" s="438" t="str">
        <f t="shared" si="0"/>
        <v/>
      </c>
      <c r="F22" s="438" t="str">
        <f t="shared" si="1"/>
        <v/>
      </c>
      <c r="G22" s="438" t="str">
        <f t="shared" si="2"/>
        <v/>
      </c>
      <c r="H22" s="438" t="str">
        <f t="shared" si="3"/>
        <v/>
      </c>
      <c r="I22" s="439" t="str">
        <f t="shared" si="4"/>
        <v/>
      </c>
      <c r="J22" s="440" t="str">
        <f t="shared" si="5"/>
        <v/>
      </c>
      <c r="K22" s="441" t="str">
        <f t="shared" si="6"/>
        <v/>
      </c>
      <c r="L22" s="441" t="str">
        <f t="shared" si="7"/>
        <v/>
      </c>
      <c r="M22" s="441" t="str">
        <f t="shared" si="8"/>
        <v/>
      </c>
      <c r="N22" s="441" t="str">
        <f t="shared" si="9"/>
        <v/>
      </c>
      <c r="O22" s="435" t="s">
        <v>317</v>
      </c>
      <c r="P22" s="436"/>
      <c r="Q22" s="442"/>
    </row>
    <row r="23" spans="1:17" ht="17.399999999999999" customHeight="1" x14ac:dyDescent="0.3">
      <c r="B23" s="435" t="s">
        <v>318</v>
      </c>
      <c r="C23" s="436"/>
      <c r="D23" s="437"/>
      <c r="E23" s="429" t="str">
        <f t="shared" si="0"/>
        <v/>
      </c>
      <c r="F23" s="429" t="str">
        <f t="shared" si="1"/>
        <v/>
      </c>
      <c r="G23" s="429" t="str">
        <f t="shared" si="2"/>
        <v/>
      </c>
      <c r="H23" s="429" t="str">
        <f t="shared" si="3"/>
        <v/>
      </c>
      <c r="I23" s="430" t="str">
        <f t="shared" si="4"/>
        <v/>
      </c>
      <c r="J23" s="431" t="str">
        <f t="shared" si="5"/>
        <v/>
      </c>
      <c r="K23" s="432" t="str">
        <f t="shared" si="6"/>
        <v/>
      </c>
      <c r="L23" s="432" t="str">
        <f t="shared" si="7"/>
        <v/>
      </c>
      <c r="M23" s="432" t="str">
        <f t="shared" si="8"/>
        <v/>
      </c>
      <c r="N23" s="432" t="str">
        <f t="shared" si="9"/>
        <v/>
      </c>
      <c r="O23" s="435" t="s">
        <v>319</v>
      </c>
      <c r="P23" s="436"/>
      <c r="Q23" s="442"/>
    </row>
    <row r="24" spans="1:17" ht="17.399999999999999" customHeight="1" x14ac:dyDescent="0.3">
      <c r="B24" s="435" t="s">
        <v>320</v>
      </c>
      <c r="C24" s="436"/>
      <c r="D24" s="437"/>
      <c r="E24" s="438" t="str">
        <f t="shared" ref="E24:E26" si="10">IF(D24=5,"❺","")</f>
        <v/>
      </c>
      <c r="F24" s="438" t="str">
        <f t="shared" ref="F24:F26" si="11">IF(D24=4,"❹","")</f>
        <v/>
      </c>
      <c r="G24" s="438" t="str">
        <f t="shared" ref="G24:G26" si="12">IF(D24=3,"❸","")</f>
        <v/>
      </c>
      <c r="H24" s="438" t="str">
        <f t="shared" ref="H24:H26" si="13">IF(D24=2,"❷","")</f>
        <v/>
      </c>
      <c r="I24" s="439" t="str">
        <f t="shared" ref="I24:I26" si="14">IF(D24=1,"❶","")</f>
        <v/>
      </c>
      <c r="J24" s="440" t="str">
        <f t="shared" ref="J24:J26" si="15">IF(Q24=-1,"❶","")</f>
        <v/>
      </c>
      <c r="K24" s="441" t="str">
        <f t="shared" ref="K24:K26" si="16">IF(Q24=-2,"❷","")</f>
        <v/>
      </c>
      <c r="L24" s="441" t="str">
        <f t="shared" ref="L24:L26" si="17">IF(Q24=-3,"❸","")</f>
        <v/>
      </c>
      <c r="M24" s="441" t="str">
        <f t="shared" ref="M24:M26" si="18">IF(Q24=-4,"❹","")</f>
        <v/>
      </c>
      <c r="N24" s="441" t="str">
        <f t="shared" ref="N24:N26" si="19">IF(Q24=-5,"❺","")</f>
        <v/>
      </c>
      <c r="O24" s="435" t="s">
        <v>321</v>
      </c>
      <c r="P24" s="436"/>
      <c r="Q24" s="442"/>
    </row>
    <row r="25" spans="1:17" ht="17.399999999999999" customHeight="1" x14ac:dyDescent="0.3">
      <c r="B25" s="435" t="s">
        <v>985</v>
      </c>
      <c r="C25" s="436"/>
      <c r="D25" s="437"/>
      <c r="E25" s="429" t="str">
        <f t="shared" si="10"/>
        <v/>
      </c>
      <c r="F25" s="429" t="str">
        <f t="shared" si="11"/>
        <v/>
      </c>
      <c r="G25" s="429" t="str">
        <f t="shared" si="12"/>
        <v/>
      </c>
      <c r="H25" s="429" t="str">
        <f t="shared" si="13"/>
        <v/>
      </c>
      <c r="I25" s="430" t="str">
        <f t="shared" si="14"/>
        <v/>
      </c>
      <c r="J25" s="431" t="str">
        <f t="shared" si="15"/>
        <v/>
      </c>
      <c r="K25" s="432" t="str">
        <f t="shared" si="16"/>
        <v/>
      </c>
      <c r="L25" s="432" t="str">
        <f t="shared" si="17"/>
        <v/>
      </c>
      <c r="M25" s="432" t="str">
        <f t="shared" si="18"/>
        <v/>
      </c>
      <c r="N25" s="432" t="str">
        <f t="shared" si="19"/>
        <v/>
      </c>
      <c r="O25" s="435" t="s">
        <v>1038</v>
      </c>
      <c r="P25" s="436"/>
      <c r="Q25" s="442"/>
    </row>
    <row r="26" spans="1:17" ht="17.399999999999999" customHeight="1" x14ac:dyDescent="0.3">
      <c r="B26" s="435" t="s">
        <v>986</v>
      </c>
      <c r="C26" s="436"/>
      <c r="D26" s="437"/>
      <c r="E26" s="438" t="str">
        <f t="shared" si="10"/>
        <v/>
      </c>
      <c r="F26" s="438" t="str">
        <f t="shared" si="11"/>
        <v/>
      </c>
      <c r="G26" s="438" t="str">
        <f t="shared" si="12"/>
        <v/>
      </c>
      <c r="H26" s="438" t="str">
        <f t="shared" si="13"/>
        <v/>
      </c>
      <c r="I26" s="439" t="str">
        <f t="shared" si="14"/>
        <v/>
      </c>
      <c r="J26" s="440" t="str">
        <f t="shared" si="15"/>
        <v/>
      </c>
      <c r="K26" s="441" t="str">
        <f t="shared" si="16"/>
        <v/>
      </c>
      <c r="L26" s="441" t="str">
        <f t="shared" si="17"/>
        <v/>
      </c>
      <c r="M26" s="441" t="str">
        <f t="shared" si="18"/>
        <v/>
      </c>
      <c r="N26" s="441" t="str">
        <f t="shared" si="19"/>
        <v/>
      </c>
      <c r="O26" s="435" t="s">
        <v>1039</v>
      </c>
      <c r="P26" s="436"/>
      <c r="Q26" s="442"/>
    </row>
    <row r="27" spans="1:17" ht="31.2" x14ac:dyDescent="0.6">
      <c r="A27" s="78"/>
      <c r="B27" s="443"/>
      <c r="C27" s="444" t="str">
        <f ca="1">' '!A253</f>
        <v>Opportunities</v>
      </c>
      <c r="D27" s="445">
        <f>ABS(SUM(D7:D26))</f>
        <v>4</v>
      </c>
      <c r="E27" s="446">
        <v>5</v>
      </c>
      <c r="F27" s="446">
        <v>4</v>
      </c>
      <c r="G27" s="446">
        <v>3</v>
      </c>
      <c r="H27" s="446">
        <v>2</v>
      </c>
      <c r="I27" s="446">
        <v>1</v>
      </c>
      <c r="J27" s="447">
        <v>-1</v>
      </c>
      <c r="K27" s="447">
        <v>-2</v>
      </c>
      <c r="L27" s="447">
        <v>-3</v>
      </c>
      <c r="M27" s="447">
        <v>-4</v>
      </c>
      <c r="N27" s="447">
        <v>-5</v>
      </c>
      <c r="O27" s="448"/>
      <c r="P27" s="449" t="str">
        <f ca="1">' '!A254</f>
        <v>Threats</v>
      </c>
      <c r="Q27" s="445">
        <f>ABS(SUM(Q7:Q26))</f>
        <v>6</v>
      </c>
    </row>
    <row r="28" spans="1:17" x14ac:dyDescent="0.3">
      <c r="B28" s="435" t="s">
        <v>322</v>
      </c>
      <c r="C28" s="436"/>
      <c r="D28" s="442">
        <v>1</v>
      </c>
      <c r="E28" s="450" t="str">
        <f>IF(D28=5,"❺","")</f>
        <v/>
      </c>
      <c r="F28" s="450" t="str">
        <f>IF(D28=4,"❹","")</f>
        <v/>
      </c>
      <c r="G28" s="450" t="str">
        <f>IF(D28=3,"❸","")</f>
        <v/>
      </c>
      <c r="H28" s="450" t="str">
        <f>IF(D28=2,"❷","")</f>
        <v/>
      </c>
      <c r="I28" s="451" t="str">
        <f>IF(D28=1,"❶","")</f>
        <v>❶</v>
      </c>
      <c r="J28" s="452" t="str">
        <f>IF(Q28=-1,"❶","")</f>
        <v>❶</v>
      </c>
      <c r="K28" s="453" t="str">
        <f>IF(Q28=-2,"❷","")</f>
        <v/>
      </c>
      <c r="L28" s="453" t="str">
        <f>IF(Q28=-3,"❸","")</f>
        <v/>
      </c>
      <c r="M28" s="453" t="str">
        <f>IF(Q28=-4,"❹","")</f>
        <v/>
      </c>
      <c r="N28" s="453" t="str">
        <f>IF(Q28=-5,"❺","")</f>
        <v/>
      </c>
      <c r="O28" s="435" t="s">
        <v>323</v>
      </c>
      <c r="P28" s="436"/>
      <c r="Q28" s="454">
        <v>-1</v>
      </c>
    </row>
    <row r="29" spans="1:17" x14ac:dyDescent="0.3">
      <c r="B29" s="435" t="s">
        <v>324</v>
      </c>
      <c r="C29" s="436"/>
      <c r="D29" s="442">
        <v>3</v>
      </c>
      <c r="E29" s="455" t="str">
        <f t="shared" ref="E29:E44" si="20">IF(D29=5,"❺","")</f>
        <v/>
      </c>
      <c r="F29" s="455" t="str">
        <f t="shared" ref="F29:F44" si="21">IF(D29=4,"❹","")</f>
        <v/>
      </c>
      <c r="G29" s="455" t="str">
        <f t="shared" ref="G29:G44" si="22">IF(D29=3,"❸","")</f>
        <v>❸</v>
      </c>
      <c r="H29" s="455" t="str">
        <f t="shared" ref="H29:H44" si="23">IF(D29=2,"❷","")</f>
        <v/>
      </c>
      <c r="I29" s="456" t="str">
        <f t="shared" ref="I29:I44" si="24">IF(D29=1,"❶","")</f>
        <v/>
      </c>
      <c r="J29" s="457" t="str">
        <f t="shared" ref="J29:J44" si="25">IF(Q29=-1,"❶","")</f>
        <v/>
      </c>
      <c r="K29" s="458" t="str">
        <f t="shared" ref="K29:K44" si="26">IF(Q29=-2,"❷","")</f>
        <v/>
      </c>
      <c r="L29" s="458" t="str">
        <f t="shared" ref="L29:L44" si="27">IF(Q29=-3,"❸","")</f>
        <v/>
      </c>
      <c r="M29" s="458" t="str">
        <f t="shared" ref="M29:M44" si="28">IF(Q29=-4,"❹","")</f>
        <v>❹</v>
      </c>
      <c r="N29" s="458" t="str">
        <f t="shared" ref="N29:N44" si="29">IF(Q29=-5,"❺","")</f>
        <v/>
      </c>
      <c r="O29" s="435" t="s">
        <v>325</v>
      </c>
      <c r="P29" s="436"/>
      <c r="Q29" s="454">
        <v>-4</v>
      </c>
    </row>
    <row r="30" spans="1:17" x14ac:dyDescent="0.3">
      <c r="B30" s="435" t="s">
        <v>326</v>
      </c>
      <c r="C30" s="436"/>
      <c r="D30" s="442"/>
      <c r="E30" s="450" t="str">
        <f t="shared" si="20"/>
        <v/>
      </c>
      <c r="F30" s="450" t="str">
        <f t="shared" si="21"/>
        <v/>
      </c>
      <c r="G30" s="450" t="str">
        <f t="shared" si="22"/>
        <v/>
      </c>
      <c r="H30" s="450" t="str">
        <f t="shared" si="23"/>
        <v/>
      </c>
      <c r="I30" s="451" t="str">
        <f t="shared" si="24"/>
        <v/>
      </c>
      <c r="J30" s="452" t="str">
        <f t="shared" si="25"/>
        <v/>
      </c>
      <c r="K30" s="453" t="str">
        <f t="shared" si="26"/>
        <v/>
      </c>
      <c r="L30" s="453" t="str">
        <f t="shared" si="27"/>
        <v/>
      </c>
      <c r="M30" s="453" t="str">
        <f t="shared" si="28"/>
        <v/>
      </c>
      <c r="N30" s="453" t="str">
        <f t="shared" si="29"/>
        <v/>
      </c>
      <c r="O30" s="435" t="s">
        <v>327</v>
      </c>
      <c r="P30" s="436"/>
      <c r="Q30" s="454"/>
    </row>
    <row r="31" spans="1:17" x14ac:dyDescent="0.3">
      <c r="B31" s="435" t="s">
        <v>328</v>
      </c>
      <c r="C31" s="436"/>
      <c r="D31" s="442"/>
      <c r="E31" s="455" t="str">
        <f t="shared" si="20"/>
        <v/>
      </c>
      <c r="F31" s="455" t="str">
        <f t="shared" si="21"/>
        <v/>
      </c>
      <c r="G31" s="455" t="str">
        <f t="shared" si="22"/>
        <v/>
      </c>
      <c r="H31" s="455" t="str">
        <f t="shared" si="23"/>
        <v/>
      </c>
      <c r="I31" s="456" t="str">
        <f t="shared" si="24"/>
        <v/>
      </c>
      <c r="J31" s="457" t="str">
        <f t="shared" si="25"/>
        <v/>
      </c>
      <c r="K31" s="458" t="str">
        <f t="shared" si="26"/>
        <v/>
      </c>
      <c r="L31" s="458" t="str">
        <f t="shared" si="27"/>
        <v/>
      </c>
      <c r="M31" s="458" t="str">
        <f t="shared" si="28"/>
        <v/>
      </c>
      <c r="N31" s="458" t="str">
        <f t="shared" si="29"/>
        <v/>
      </c>
      <c r="O31" s="435" t="s">
        <v>329</v>
      </c>
      <c r="P31" s="436"/>
      <c r="Q31" s="454"/>
    </row>
    <row r="32" spans="1:17" x14ac:dyDescent="0.3">
      <c r="B32" s="435" t="s">
        <v>330</v>
      </c>
      <c r="C32" s="436"/>
      <c r="D32" s="442"/>
      <c r="E32" s="450" t="str">
        <f t="shared" si="20"/>
        <v/>
      </c>
      <c r="F32" s="450" t="str">
        <f t="shared" si="21"/>
        <v/>
      </c>
      <c r="G32" s="450" t="str">
        <f t="shared" si="22"/>
        <v/>
      </c>
      <c r="H32" s="450" t="str">
        <f t="shared" si="23"/>
        <v/>
      </c>
      <c r="I32" s="451" t="str">
        <f t="shared" si="24"/>
        <v/>
      </c>
      <c r="J32" s="452" t="str">
        <f t="shared" si="25"/>
        <v/>
      </c>
      <c r="K32" s="453" t="str">
        <f t="shared" si="26"/>
        <v/>
      </c>
      <c r="L32" s="453" t="str">
        <f t="shared" si="27"/>
        <v/>
      </c>
      <c r="M32" s="453" t="str">
        <f t="shared" si="28"/>
        <v/>
      </c>
      <c r="N32" s="453" t="str">
        <f t="shared" si="29"/>
        <v/>
      </c>
      <c r="O32" s="435" t="s">
        <v>331</v>
      </c>
      <c r="P32" s="436"/>
      <c r="Q32" s="454"/>
    </row>
    <row r="33" spans="2:17" x14ac:dyDescent="0.3">
      <c r="B33" s="435" t="s">
        <v>332</v>
      </c>
      <c r="C33" s="436"/>
      <c r="D33" s="442"/>
      <c r="E33" s="455" t="str">
        <f t="shared" si="20"/>
        <v/>
      </c>
      <c r="F33" s="455" t="str">
        <f t="shared" si="21"/>
        <v/>
      </c>
      <c r="G33" s="455" t="str">
        <f t="shared" si="22"/>
        <v/>
      </c>
      <c r="H33" s="455" t="str">
        <f t="shared" si="23"/>
        <v/>
      </c>
      <c r="I33" s="456" t="str">
        <f t="shared" si="24"/>
        <v/>
      </c>
      <c r="J33" s="457" t="str">
        <f t="shared" si="25"/>
        <v/>
      </c>
      <c r="K33" s="458" t="str">
        <f t="shared" si="26"/>
        <v/>
      </c>
      <c r="L33" s="458" t="str">
        <f t="shared" si="27"/>
        <v/>
      </c>
      <c r="M33" s="458" t="str">
        <f t="shared" si="28"/>
        <v/>
      </c>
      <c r="N33" s="458" t="str">
        <f t="shared" si="29"/>
        <v/>
      </c>
      <c r="O33" s="435" t="s">
        <v>333</v>
      </c>
      <c r="P33" s="436"/>
      <c r="Q33" s="454"/>
    </row>
    <row r="34" spans="2:17" x14ac:dyDescent="0.3">
      <c r="B34" s="435" t="s">
        <v>334</v>
      </c>
      <c r="C34" s="436"/>
      <c r="D34" s="442"/>
      <c r="E34" s="450" t="str">
        <f t="shared" si="20"/>
        <v/>
      </c>
      <c r="F34" s="450" t="str">
        <f t="shared" si="21"/>
        <v/>
      </c>
      <c r="G34" s="450" t="str">
        <f t="shared" si="22"/>
        <v/>
      </c>
      <c r="H34" s="450" t="str">
        <f t="shared" si="23"/>
        <v/>
      </c>
      <c r="I34" s="451" t="str">
        <f t="shared" si="24"/>
        <v/>
      </c>
      <c r="J34" s="452" t="str">
        <f t="shared" si="25"/>
        <v/>
      </c>
      <c r="K34" s="453" t="str">
        <f t="shared" si="26"/>
        <v/>
      </c>
      <c r="L34" s="453" t="str">
        <f t="shared" si="27"/>
        <v/>
      </c>
      <c r="M34" s="453" t="str">
        <f t="shared" si="28"/>
        <v/>
      </c>
      <c r="N34" s="453" t="str">
        <f t="shared" si="29"/>
        <v/>
      </c>
      <c r="O34" s="435" t="s">
        <v>335</v>
      </c>
      <c r="P34" s="436"/>
      <c r="Q34" s="454"/>
    </row>
    <row r="35" spans="2:17" x14ac:dyDescent="0.3">
      <c r="B35" s="435" t="s">
        <v>336</v>
      </c>
      <c r="C35" s="436"/>
      <c r="D35" s="442"/>
      <c r="E35" s="455" t="str">
        <f t="shared" si="20"/>
        <v/>
      </c>
      <c r="F35" s="455" t="str">
        <f t="shared" si="21"/>
        <v/>
      </c>
      <c r="G35" s="455" t="str">
        <f t="shared" si="22"/>
        <v/>
      </c>
      <c r="H35" s="455" t="str">
        <f t="shared" si="23"/>
        <v/>
      </c>
      <c r="I35" s="456" t="str">
        <f t="shared" si="24"/>
        <v/>
      </c>
      <c r="J35" s="457" t="str">
        <f t="shared" si="25"/>
        <v/>
      </c>
      <c r="K35" s="458" t="str">
        <f t="shared" si="26"/>
        <v/>
      </c>
      <c r="L35" s="458" t="str">
        <f t="shared" si="27"/>
        <v/>
      </c>
      <c r="M35" s="458" t="str">
        <f t="shared" si="28"/>
        <v/>
      </c>
      <c r="N35" s="458" t="str">
        <f t="shared" si="29"/>
        <v/>
      </c>
      <c r="O35" s="435" t="s">
        <v>337</v>
      </c>
      <c r="P35" s="436"/>
      <c r="Q35" s="454"/>
    </row>
    <row r="36" spans="2:17" x14ac:dyDescent="0.3">
      <c r="B36" s="435" t="s">
        <v>338</v>
      </c>
      <c r="C36" s="436"/>
      <c r="D36" s="442"/>
      <c r="E36" s="450" t="str">
        <f t="shared" si="20"/>
        <v/>
      </c>
      <c r="F36" s="450" t="str">
        <f t="shared" si="21"/>
        <v/>
      </c>
      <c r="G36" s="450" t="str">
        <f t="shared" si="22"/>
        <v/>
      </c>
      <c r="H36" s="450" t="str">
        <f t="shared" si="23"/>
        <v/>
      </c>
      <c r="I36" s="451" t="str">
        <f t="shared" si="24"/>
        <v/>
      </c>
      <c r="J36" s="452" t="str">
        <f t="shared" si="25"/>
        <v/>
      </c>
      <c r="K36" s="453" t="str">
        <f t="shared" si="26"/>
        <v/>
      </c>
      <c r="L36" s="453" t="str">
        <f t="shared" si="27"/>
        <v/>
      </c>
      <c r="M36" s="453" t="str">
        <f t="shared" si="28"/>
        <v/>
      </c>
      <c r="N36" s="453" t="str">
        <f t="shared" si="29"/>
        <v/>
      </c>
      <c r="O36" s="435" t="s">
        <v>339</v>
      </c>
      <c r="P36" s="436"/>
      <c r="Q36" s="454"/>
    </row>
    <row r="37" spans="2:17" x14ac:dyDescent="0.3">
      <c r="B37" s="435" t="s">
        <v>340</v>
      </c>
      <c r="C37" s="436"/>
      <c r="D37" s="442"/>
      <c r="E37" s="455" t="str">
        <f t="shared" si="20"/>
        <v/>
      </c>
      <c r="F37" s="455" t="str">
        <f t="shared" si="21"/>
        <v/>
      </c>
      <c r="G37" s="455" t="str">
        <f t="shared" si="22"/>
        <v/>
      </c>
      <c r="H37" s="455" t="str">
        <f t="shared" si="23"/>
        <v/>
      </c>
      <c r="I37" s="456" t="str">
        <f t="shared" si="24"/>
        <v/>
      </c>
      <c r="J37" s="457" t="str">
        <f t="shared" si="25"/>
        <v/>
      </c>
      <c r="K37" s="458" t="str">
        <f t="shared" si="26"/>
        <v/>
      </c>
      <c r="L37" s="458" t="str">
        <f t="shared" si="27"/>
        <v/>
      </c>
      <c r="M37" s="458" t="str">
        <f t="shared" si="28"/>
        <v/>
      </c>
      <c r="N37" s="458" t="str">
        <f t="shared" si="29"/>
        <v/>
      </c>
      <c r="O37" s="435" t="s">
        <v>341</v>
      </c>
      <c r="P37" s="436"/>
      <c r="Q37" s="454"/>
    </row>
    <row r="38" spans="2:17" x14ac:dyDescent="0.3">
      <c r="B38" s="435" t="s">
        <v>342</v>
      </c>
      <c r="C38" s="436"/>
      <c r="D38" s="442"/>
      <c r="E38" s="450" t="str">
        <f t="shared" si="20"/>
        <v/>
      </c>
      <c r="F38" s="450" t="str">
        <f t="shared" si="21"/>
        <v/>
      </c>
      <c r="G38" s="450" t="str">
        <f t="shared" si="22"/>
        <v/>
      </c>
      <c r="H38" s="450" t="str">
        <f t="shared" si="23"/>
        <v/>
      </c>
      <c r="I38" s="451" t="str">
        <f t="shared" si="24"/>
        <v/>
      </c>
      <c r="J38" s="452" t="str">
        <f t="shared" si="25"/>
        <v/>
      </c>
      <c r="K38" s="453" t="str">
        <f t="shared" si="26"/>
        <v/>
      </c>
      <c r="L38" s="453" t="str">
        <f t="shared" si="27"/>
        <v/>
      </c>
      <c r="M38" s="453" t="str">
        <f t="shared" si="28"/>
        <v/>
      </c>
      <c r="N38" s="453" t="str">
        <f t="shared" si="29"/>
        <v/>
      </c>
      <c r="O38" s="435" t="s">
        <v>343</v>
      </c>
      <c r="P38" s="436"/>
      <c r="Q38" s="454"/>
    </row>
    <row r="39" spans="2:17" x14ac:dyDescent="0.3">
      <c r="B39" s="435" t="s">
        <v>344</v>
      </c>
      <c r="C39" s="436"/>
      <c r="D39" s="442"/>
      <c r="E39" s="455" t="str">
        <f t="shared" si="20"/>
        <v/>
      </c>
      <c r="F39" s="455" t="str">
        <f t="shared" si="21"/>
        <v/>
      </c>
      <c r="G39" s="455" t="str">
        <f t="shared" si="22"/>
        <v/>
      </c>
      <c r="H39" s="455" t="str">
        <f t="shared" si="23"/>
        <v/>
      </c>
      <c r="I39" s="456" t="str">
        <f t="shared" si="24"/>
        <v/>
      </c>
      <c r="J39" s="457" t="str">
        <f t="shared" si="25"/>
        <v/>
      </c>
      <c r="K39" s="458" t="str">
        <f t="shared" si="26"/>
        <v/>
      </c>
      <c r="L39" s="458" t="str">
        <f t="shared" si="27"/>
        <v/>
      </c>
      <c r="M39" s="458" t="str">
        <f t="shared" si="28"/>
        <v/>
      </c>
      <c r="N39" s="458" t="str">
        <f t="shared" si="29"/>
        <v/>
      </c>
      <c r="O39" s="435" t="s">
        <v>345</v>
      </c>
      <c r="P39" s="436"/>
      <c r="Q39" s="454"/>
    </row>
    <row r="40" spans="2:17" x14ac:dyDescent="0.3">
      <c r="B40" s="435" t="s">
        <v>346</v>
      </c>
      <c r="C40" s="436"/>
      <c r="D40" s="442"/>
      <c r="E40" s="450" t="str">
        <f t="shared" si="20"/>
        <v/>
      </c>
      <c r="F40" s="450" t="str">
        <f t="shared" si="21"/>
        <v/>
      </c>
      <c r="G40" s="450" t="str">
        <f t="shared" si="22"/>
        <v/>
      </c>
      <c r="H40" s="450" t="str">
        <f t="shared" si="23"/>
        <v/>
      </c>
      <c r="I40" s="451" t="str">
        <f t="shared" si="24"/>
        <v/>
      </c>
      <c r="J40" s="452" t="str">
        <f t="shared" si="25"/>
        <v/>
      </c>
      <c r="K40" s="453" t="str">
        <f t="shared" si="26"/>
        <v/>
      </c>
      <c r="L40" s="453" t="str">
        <f t="shared" si="27"/>
        <v/>
      </c>
      <c r="M40" s="453" t="str">
        <f t="shared" si="28"/>
        <v/>
      </c>
      <c r="N40" s="453" t="str">
        <f t="shared" si="29"/>
        <v/>
      </c>
      <c r="O40" s="435" t="s">
        <v>347</v>
      </c>
      <c r="P40" s="436"/>
      <c r="Q40" s="454"/>
    </row>
    <row r="41" spans="2:17" x14ac:dyDescent="0.3">
      <c r="B41" s="435" t="s">
        <v>348</v>
      </c>
      <c r="C41" s="436"/>
      <c r="D41" s="442"/>
      <c r="E41" s="455" t="str">
        <f t="shared" si="20"/>
        <v/>
      </c>
      <c r="F41" s="455" t="str">
        <f t="shared" si="21"/>
        <v/>
      </c>
      <c r="G41" s="455" t="str">
        <f t="shared" si="22"/>
        <v/>
      </c>
      <c r="H41" s="455" t="str">
        <f t="shared" si="23"/>
        <v/>
      </c>
      <c r="I41" s="456" t="str">
        <f t="shared" si="24"/>
        <v/>
      </c>
      <c r="J41" s="457" t="str">
        <f t="shared" si="25"/>
        <v/>
      </c>
      <c r="K41" s="458" t="str">
        <f t="shared" si="26"/>
        <v/>
      </c>
      <c r="L41" s="458" t="str">
        <f t="shared" si="27"/>
        <v/>
      </c>
      <c r="M41" s="458" t="str">
        <f t="shared" si="28"/>
        <v/>
      </c>
      <c r="N41" s="458" t="str">
        <f t="shared" si="29"/>
        <v/>
      </c>
      <c r="O41" s="435" t="s">
        <v>349</v>
      </c>
      <c r="P41" s="436"/>
      <c r="Q41" s="454"/>
    </row>
    <row r="42" spans="2:17" x14ac:dyDescent="0.3">
      <c r="B42" s="435" t="s">
        <v>350</v>
      </c>
      <c r="C42" s="436"/>
      <c r="D42" s="442"/>
      <c r="E42" s="450" t="str">
        <f t="shared" si="20"/>
        <v/>
      </c>
      <c r="F42" s="450" t="str">
        <f t="shared" si="21"/>
        <v/>
      </c>
      <c r="G42" s="450" t="str">
        <f t="shared" si="22"/>
        <v/>
      </c>
      <c r="H42" s="450" t="str">
        <f t="shared" si="23"/>
        <v/>
      </c>
      <c r="I42" s="451" t="str">
        <f t="shared" si="24"/>
        <v/>
      </c>
      <c r="J42" s="452" t="str">
        <f t="shared" si="25"/>
        <v/>
      </c>
      <c r="K42" s="453" t="str">
        <f t="shared" si="26"/>
        <v/>
      </c>
      <c r="L42" s="453" t="str">
        <f t="shared" si="27"/>
        <v/>
      </c>
      <c r="M42" s="453" t="str">
        <f t="shared" si="28"/>
        <v/>
      </c>
      <c r="N42" s="453" t="str">
        <f t="shared" si="29"/>
        <v/>
      </c>
      <c r="O42" s="435" t="s">
        <v>351</v>
      </c>
      <c r="P42" s="436"/>
      <c r="Q42" s="454"/>
    </row>
    <row r="43" spans="2:17" x14ac:dyDescent="0.3">
      <c r="B43" s="435" t="s">
        <v>352</v>
      </c>
      <c r="C43" s="436"/>
      <c r="D43" s="442"/>
      <c r="E43" s="455" t="str">
        <f t="shared" si="20"/>
        <v/>
      </c>
      <c r="F43" s="455" t="str">
        <f t="shared" si="21"/>
        <v/>
      </c>
      <c r="G43" s="455" t="str">
        <f t="shared" si="22"/>
        <v/>
      </c>
      <c r="H43" s="455" t="str">
        <f t="shared" si="23"/>
        <v/>
      </c>
      <c r="I43" s="456" t="str">
        <f t="shared" si="24"/>
        <v/>
      </c>
      <c r="J43" s="457" t="str">
        <f t="shared" si="25"/>
        <v/>
      </c>
      <c r="K43" s="458" t="str">
        <f t="shared" si="26"/>
        <v/>
      </c>
      <c r="L43" s="458" t="str">
        <f t="shared" si="27"/>
        <v/>
      </c>
      <c r="M43" s="458" t="str">
        <f t="shared" si="28"/>
        <v/>
      </c>
      <c r="N43" s="458" t="str">
        <f t="shared" si="29"/>
        <v/>
      </c>
      <c r="O43" s="435" t="s">
        <v>353</v>
      </c>
      <c r="P43" s="436"/>
      <c r="Q43" s="454"/>
    </row>
    <row r="44" spans="2:17" x14ac:dyDescent="0.3">
      <c r="B44" s="435" t="s">
        <v>354</v>
      </c>
      <c r="C44" s="436"/>
      <c r="D44" s="442"/>
      <c r="E44" s="450" t="str">
        <f t="shared" si="20"/>
        <v/>
      </c>
      <c r="F44" s="450" t="str">
        <f t="shared" si="21"/>
        <v/>
      </c>
      <c r="G44" s="450" t="str">
        <f t="shared" si="22"/>
        <v/>
      </c>
      <c r="H44" s="450" t="str">
        <f t="shared" si="23"/>
        <v/>
      </c>
      <c r="I44" s="451" t="str">
        <f t="shared" si="24"/>
        <v/>
      </c>
      <c r="J44" s="452" t="str">
        <f t="shared" si="25"/>
        <v/>
      </c>
      <c r="K44" s="453" t="str">
        <f t="shared" si="26"/>
        <v/>
      </c>
      <c r="L44" s="453" t="str">
        <f t="shared" si="27"/>
        <v/>
      </c>
      <c r="M44" s="453" t="str">
        <f t="shared" si="28"/>
        <v/>
      </c>
      <c r="N44" s="453" t="str">
        <f t="shared" si="29"/>
        <v/>
      </c>
      <c r="O44" s="435" t="s">
        <v>355</v>
      </c>
      <c r="P44" s="436"/>
      <c r="Q44" s="454"/>
    </row>
    <row r="45" spans="2:17" x14ac:dyDescent="0.3">
      <c r="B45" s="435" t="s">
        <v>356</v>
      </c>
      <c r="C45" s="436"/>
      <c r="D45" s="442"/>
      <c r="E45" s="455" t="str">
        <f t="shared" ref="E45:E47" si="30">IF(D45=5,"❺","")</f>
        <v/>
      </c>
      <c r="F45" s="455" t="str">
        <f t="shared" ref="F45:F47" si="31">IF(D45=4,"❹","")</f>
        <v/>
      </c>
      <c r="G45" s="455" t="str">
        <f t="shared" ref="G45:G47" si="32">IF(D45=3,"❸","")</f>
        <v/>
      </c>
      <c r="H45" s="455" t="str">
        <f t="shared" ref="H45:H47" si="33">IF(D45=2,"❷","")</f>
        <v/>
      </c>
      <c r="I45" s="456" t="str">
        <f t="shared" ref="I45:I47" si="34">IF(D45=1,"❶","")</f>
        <v/>
      </c>
      <c r="J45" s="457" t="str">
        <f t="shared" ref="J45:J47" si="35">IF(Q45=-1,"❶","")</f>
        <v/>
      </c>
      <c r="K45" s="458" t="str">
        <f t="shared" ref="K45:K47" si="36">IF(Q45=-2,"❷","")</f>
        <v/>
      </c>
      <c r="L45" s="458" t="str">
        <f t="shared" ref="L45:L47" si="37">IF(Q45=-3,"❸","")</f>
        <v/>
      </c>
      <c r="M45" s="458" t="str">
        <f t="shared" ref="M45:M47" si="38">IF(Q45=-4,"❹","")</f>
        <v/>
      </c>
      <c r="N45" s="458" t="str">
        <f t="shared" ref="N45:N47" si="39">IF(Q45=-5,"❺","")</f>
        <v/>
      </c>
      <c r="O45" s="435" t="s">
        <v>357</v>
      </c>
      <c r="P45" s="436"/>
      <c r="Q45" s="454"/>
    </row>
    <row r="46" spans="2:17" x14ac:dyDescent="0.3">
      <c r="B46" s="435" t="s">
        <v>1040</v>
      </c>
      <c r="C46" s="436"/>
      <c r="D46" s="442"/>
      <c r="E46" s="450" t="str">
        <f t="shared" si="30"/>
        <v/>
      </c>
      <c r="F46" s="450" t="str">
        <f t="shared" si="31"/>
        <v/>
      </c>
      <c r="G46" s="450" t="str">
        <f t="shared" si="32"/>
        <v/>
      </c>
      <c r="H46" s="450" t="str">
        <f t="shared" si="33"/>
        <v/>
      </c>
      <c r="I46" s="451" t="str">
        <f t="shared" si="34"/>
        <v/>
      </c>
      <c r="J46" s="452" t="str">
        <f t="shared" si="35"/>
        <v/>
      </c>
      <c r="K46" s="453" t="str">
        <f t="shared" si="36"/>
        <v/>
      </c>
      <c r="L46" s="453" t="str">
        <f t="shared" si="37"/>
        <v/>
      </c>
      <c r="M46" s="453" t="str">
        <f t="shared" si="38"/>
        <v/>
      </c>
      <c r="N46" s="453" t="str">
        <f t="shared" si="39"/>
        <v/>
      </c>
      <c r="O46" s="435" t="s">
        <v>1042</v>
      </c>
      <c r="P46" s="436"/>
      <c r="Q46" s="454"/>
    </row>
    <row r="47" spans="2:17" x14ac:dyDescent="0.3">
      <c r="B47" s="435" t="s">
        <v>1041</v>
      </c>
      <c r="C47" s="436"/>
      <c r="D47" s="442"/>
      <c r="E47" s="455" t="str">
        <f t="shared" si="30"/>
        <v/>
      </c>
      <c r="F47" s="455" t="str">
        <f t="shared" si="31"/>
        <v/>
      </c>
      <c r="G47" s="455" t="str">
        <f t="shared" si="32"/>
        <v/>
      </c>
      <c r="H47" s="455" t="str">
        <f t="shared" si="33"/>
        <v/>
      </c>
      <c r="I47" s="456" t="str">
        <f t="shared" si="34"/>
        <v/>
      </c>
      <c r="J47" s="457" t="str">
        <f t="shared" si="35"/>
        <v/>
      </c>
      <c r="K47" s="458" t="str">
        <f t="shared" si="36"/>
        <v/>
      </c>
      <c r="L47" s="458" t="str">
        <f t="shared" si="37"/>
        <v/>
      </c>
      <c r="M47" s="458" t="str">
        <f t="shared" si="38"/>
        <v/>
      </c>
      <c r="N47" s="458" t="str">
        <f t="shared" si="39"/>
        <v/>
      </c>
      <c r="O47" s="435" t="s">
        <v>1043</v>
      </c>
      <c r="P47" s="436"/>
      <c r="Q47" s="454"/>
    </row>
    <row r="48" spans="2:17" x14ac:dyDescent="0.3">
      <c r="B48" s="129" t="s">
        <v>1136</v>
      </c>
      <c r="D48" s="445">
        <f>ABS(SUM(D28:D47))</f>
        <v>4</v>
      </c>
      <c r="O48" s="459"/>
      <c r="Q48" s="445">
        <f>ABS(SUM(Q28:Q47))</f>
        <v>5</v>
      </c>
    </row>
    <row r="52" spans="16:17" x14ac:dyDescent="0.3">
      <c r="P52" s="139" t="str">
        <f ca="1">C5</f>
        <v>Strength</v>
      </c>
      <c r="Q52" s="460">
        <f>$D$27</f>
        <v>4</v>
      </c>
    </row>
    <row r="53" spans="16:17" x14ac:dyDescent="0.3">
      <c r="P53" s="139" t="str">
        <f ca="1">P27</f>
        <v>Threats</v>
      </c>
      <c r="Q53" s="460">
        <f>$Q$48</f>
        <v>5</v>
      </c>
    </row>
    <row r="54" spans="16:17" x14ac:dyDescent="0.3">
      <c r="P54" s="139" t="str">
        <f ca="1">P5</f>
        <v>Weaknesses</v>
      </c>
      <c r="Q54" s="460">
        <f>$Q$27</f>
        <v>6</v>
      </c>
    </row>
    <row r="55" spans="16:17" x14ac:dyDescent="0.3">
      <c r="P55" s="139" t="str">
        <f ca="1">C27</f>
        <v>Opportunities</v>
      </c>
      <c r="Q55" s="460">
        <f>$D$48</f>
        <v>4</v>
      </c>
    </row>
    <row r="70" spans="2:2" ht="6.75" customHeight="1" x14ac:dyDescent="0.3"/>
    <row r="71" spans="2:2" ht="7.5" hidden="1" customHeight="1" x14ac:dyDescent="0.3"/>
    <row r="78" spans="2:2" x14ac:dyDescent="0.3">
      <c r="B78" s="129" t="s">
        <v>1136</v>
      </c>
    </row>
  </sheetData>
  <sheetProtection sheet="1" objects="1" scenarios="1" formatCells="0" formatColumns="0" formatRows="0" insertHyperlinks="0" selectLockedCells="1" sort="0" autoFilter="0"/>
  <autoFilter ref="E6:N47" xr:uid="{00000000-0009-0000-0000-000017000000}"/>
  <conditionalFormatting sqref="O28:Q47">
    <cfRule type="expression" dxfId="35" priority="3">
      <formula>MOD(ROW(A1048561),2)=0</formula>
    </cfRule>
    <cfRule type="expression" dxfId="34" priority="4">
      <formula>MOD(ROW(A1048560),2)=0</formula>
    </cfRule>
  </conditionalFormatting>
  <conditionalFormatting sqref="B28:D47">
    <cfRule type="expression" dxfId="33" priority="2">
      <formula>MOD(ROW(A1),2)=0</formula>
    </cfRule>
    <cfRule type="expression" dxfId="32" priority="17541">
      <formula>MOD(ROW(A2),2)=0</formula>
    </cfRule>
  </conditionalFormatting>
  <conditionalFormatting sqref="B7:D26">
    <cfRule type="expression" dxfId="31" priority="7">
      <formula>MOD(ROW(A1048562),2)=0</formula>
    </cfRule>
    <cfRule type="expression" dxfId="30" priority="8">
      <formula>MOD(ROW(A1048561),2)=0</formula>
    </cfRule>
  </conditionalFormatting>
  <conditionalFormatting sqref="O7:Q26">
    <cfRule type="expression" dxfId="29" priority="9">
      <formula>MOD(ROW(A1048562),2)=0</formula>
    </cfRule>
    <cfRule type="expression" dxfId="28" priority="10">
      <formula>MOD(ROW(A1048561),2)=0</formula>
    </cfRule>
  </conditionalFormatting>
  <dataValidations count="3">
    <dataValidation type="list" allowBlank="1" showInputMessage="1" showErrorMessage="1" sqref="Q7:Q26 Q28:Q47" xr:uid="{00000000-0002-0000-1700-000000000000}">
      <formula1>"-1,-2,-3,-4,-5"</formula1>
    </dataValidation>
    <dataValidation type="list" showInputMessage="1" showErrorMessage="1" sqref="D28:D47 D7:D26" xr:uid="{00000000-0002-0000-1700-000001000000}">
      <formula1>"1,2,3,4,5"</formula1>
    </dataValidation>
    <dataValidation allowBlank="1" showInputMessage="1" showErrorMessage="1" sqref="Q27 D27 Q48" xr:uid="{00000000-0002-0000-1700-000002000000}"/>
  </dataValidations>
  <pageMargins left="0.19685039370078741" right="0.19685039370078741" top="0.31496062992125984" bottom="0.43307086614173229" header="0" footer="0.19685039370078741"/>
  <pageSetup paperSize="8" scale="95" orientation="portrait" r:id="rId1"/>
  <headerFooter scaleWithDoc="0">
    <oddFooter>&amp;L&amp;8&amp;K01+049(c) s. imboden&amp;C&amp;8&amp;K01+049printed &amp;D&amp;R&amp;8&amp;K03+000&amp;P/&amp;N</oddFoot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Tabelle3">
    <tabColor theme="6" tint="0.59999389629810485"/>
    <pageSetUpPr fitToPage="1"/>
  </sheetPr>
  <dimension ref="A1:J54"/>
  <sheetViews>
    <sheetView showGridLines="0" zoomScaleNormal="100" workbookViewId="0">
      <pane ySplit="4" topLeftCell="A5" activePane="bottomLeft" state="frozen"/>
      <selection activeCell="C28" sqref="C28"/>
      <selection pane="bottomLeft" activeCell="B5" sqref="B5"/>
    </sheetView>
  </sheetViews>
  <sheetFormatPr baseColWidth="10" defaultColWidth="12.5546875" defaultRowHeight="14.4" x14ac:dyDescent="0.3"/>
  <cols>
    <col min="1" max="1" width="7" style="75" customWidth="1"/>
    <col min="2" max="2" width="4.5546875" style="356" customWidth="1"/>
    <col min="3" max="3" width="29" style="356" customWidth="1"/>
    <col min="4" max="4" width="11.88671875" style="356" customWidth="1"/>
    <col min="5" max="5" width="12.44140625" style="356" bestFit="1" customWidth="1"/>
    <col min="6" max="6" width="31.88671875" style="356" customWidth="1"/>
    <col min="7" max="7" width="7" style="356" customWidth="1"/>
    <col min="8" max="8" width="26" style="356" customWidth="1"/>
    <col min="9" max="9" width="7" style="356" customWidth="1"/>
    <col min="10" max="10" width="0.109375" style="357" customWidth="1"/>
    <col min="11" max="18" width="4" style="356" customWidth="1"/>
    <col min="19" max="16384" width="12.5546875" style="356"/>
  </cols>
  <sheetData>
    <row r="1" spans="1:10" s="355" customFormat="1" ht="45" customHeight="1" x14ac:dyDescent="0.6">
      <c r="A1" s="205"/>
      <c r="B1" s="826" t="str">
        <f ca="1">' '!A255</f>
        <v>R I S K   A N A L Y S I S</v>
      </c>
      <c r="C1" s="354"/>
      <c r="D1" s="354"/>
      <c r="E1" s="354"/>
      <c r="F1" s="354"/>
      <c r="G1" s="354"/>
      <c r="H1" s="354"/>
      <c r="I1" s="132"/>
      <c r="J1" s="70"/>
    </row>
    <row r="2" spans="1:10" s="78" customFormat="1" ht="22.5" customHeight="1" x14ac:dyDescent="0.3">
      <c r="A2" s="75"/>
      <c r="B2" s="135"/>
      <c r="J2" s="75"/>
    </row>
    <row r="3" spans="1:10" ht="12.75" customHeight="1" x14ac:dyDescent="0.3">
      <c r="C3" s="78"/>
    </row>
    <row r="4" spans="1:10" ht="36" customHeight="1" x14ac:dyDescent="0.3">
      <c r="B4" s="358" t="str">
        <f ca="1">' '!A264</f>
        <v>No.</v>
      </c>
      <c r="C4" s="359" t="str">
        <f ca="1">' '!A265</f>
        <v>Risk</v>
      </c>
      <c r="D4" s="702" t="str">
        <f ca="1">' '!A268</f>
        <v>Extent of damage</v>
      </c>
      <c r="E4" s="360" t="str">
        <f ca="1">' '!A267</f>
        <v>Probability of occurrence</v>
      </c>
      <c r="F4" s="359" t="str">
        <f ca="1">' '!A266</f>
        <v>Consequences</v>
      </c>
      <c r="G4" s="359" t="str">
        <f ca="1">' '!A269</f>
        <v>Ten-dency</v>
      </c>
      <c r="H4" s="359" t="str">
        <f ca="1">' '!A270</f>
        <v>Possible measures</v>
      </c>
      <c r="I4" s="701" t="str">
        <f ca="1">' '!A271</f>
        <v>Status</v>
      </c>
    </row>
    <row r="5" spans="1:10" ht="23.4" x14ac:dyDescent="0.3">
      <c r="B5" s="842" t="s">
        <v>214</v>
      </c>
      <c r="C5" s="361" t="s">
        <v>635</v>
      </c>
      <c r="D5" s="362">
        <v>2</v>
      </c>
      <c r="E5" s="362">
        <v>9</v>
      </c>
      <c r="F5" s="363"/>
      <c r="G5" s="364">
        <v>1</v>
      </c>
      <c r="H5" s="363"/>
      <c r="I5" s="228">
        <v>2</v>
      </c>
      <c r="J5" s="365">
        <v>1</v>
      </c>
    </row>
    <row r="6" spans="1:10" ht="23.4" x14ac:dyDescent="0.3">
      <c r="B6" s="843" t="s">
        <v>215</v>
      </c>
      <c r="C6" s="363" t="s">
        <v>697</v>
      </c>
      <c r="D6" s="362">
        <v>5</v>
      </c>
      <c r="E6" s="362">
        <v>5</v>
      </c>
      <c r="F6" s="366"/>
      <c r="G6" s="367"/>
      <c r="H6" s="366"/>
      <c r="I6" s="368"/>
      <c r="J6" s="365">
        <v>1</v>
      </c>
    </row>
    <row r="7" spans="1:10" ht="23.4" x14ac:dyDescent="0.3">
      <c r="B7" s="844" t="s">
        <v>216</v>
      </c>
      <c r="C7" s="369"/>
      <c r="D7" s="362"/>
      <c r="E7" s="362"/>
      <c r="F7" s="370"/>
      <c r="G7" s="371"/>
      <c r="H7" s="370"/>
      <c r="I7" s="372"/>
      <c r="J7" s="365">
        <v>1</v>
      </c>
    </row>
    <row r="8" spans="1:10" ht="23.4" x14ac:dyDescent="0.3">
      <c r="B8" s="845" t="s">
        <v>217</v>
      </c>
      <c r="C8" s="373"/>
      <c r="D8" s="362"/>
      <c r="E8" s="362"/>
      <c r="F8" s="230"/>
      <c r="G8" s="374"/>
      <c r="H8" s="230"/>
      <c r="I8" s="375"/>
      <c r="J8" s="365">
        <v>1</v>
      </c>
    </row>
    <row r="9" spans="1:10" ht="23.4" x14ac:dyDescent="0.3">
      <c r="B9" s="846" t="s">
        <v>218</v>
      </c>
      <c r="C9" s="366"/>
      <c r="D9" s="362"/>
      <c r="E9" s="362"/>
      <c r="F9" s="313"/>
      <c r="G9" s="376"/>
      <c r="H9" s="313"/>
      <c r="I9" s="377"/>
      <c r="J9" s="365">
        <v>1</v>
      </c>
    </row>
    <row r="10" spans="1:10" ht="23.4" x14ac:dyDescent="0.3">
      <c r="B10" s="847" t="s">
        <v>219</v>
      </c>
      <c r="C10" s="378"/>
      <c r="D10" s="362"/>
      <c r="E10" s="362"/>
      <c r="F10" s="341"/>
      <c r="G10" s="379"/>
      <c r="H10" s="341"/>
      <c r="I10" s="380"/>
      <c r="J10" s="365">
        <v>1</v>
      </c>
    </row>
    <row r="11" spans="1:10" ht="23.4" x14ac:dyDescent="0.3">
      <c r="B11" s="848" t="s">
        <v>220</v>
      </c>
      <c r="C11" s="223"/>
      <c r="D11" s="362"/>
      <c r="E11" s="362"/>
      <c r="F11" s="373"/>
      <c r="G11" s="381"/>
      <c r="H11" s="334"/>
      <c r="I11" s="382"/>
      <c r="J11" s="365">
        <v>1</v>
      </c>
    </row>
    <row r="12" spans="1:10" ht="23.4" x14ac:dyDescent="0.3">
      <c r="B12" s="849" t="s">
        <v>221</v>
      </c>
      <c r="C12" s="383"/>
      <c r="D12" s="362"/>
      <c r="E12" s="362"/>
      <c r="F12" s="384"/>
      <c r="G12" s="385"/>
      <c r="H12" s="386"/>
      <c r="I12" s="387"/>
      <c r="J12" s="365">
        <v>1</v>
      </c>
    </row>
    <row r="13" spans="1:10" ht="23.4" x14ac:dyDescent="0.3">
      <c r="B13" s="305" t="s">
        <v>222</v>
      </c>
      <c r="C13" s="306"/>
      <c r="D13" s="362"/>
      <c r="E13" s="362"/>
      <c r="F13" s="388"/>
      <c r="G13" s="389"/>
      <c r="H13" s="388"/>
      <c r="I13" s="390"/>
      <c r="J13" s="365">
        <v>1</v>
      </c>
    </row>
    <row r="14" spans="1:10" ht="23.4" x14ac:dyDescent="0.3">
      <c r="B14" s="312" t="s">
        <v>223</v>
      </c>
      <c r="C14" s="313"/>
      <c r="D14" s="362"/>
      <c r="E14" s="362"/>
      <c r="F14" s="388"/>
      <c r="G14" s="389"/>
      <c r="H14" s="388"/>
      <c r="I14" s="390"/>
      <c r="J14" s="365">
        <v>1</v>
      </c>
    </row>
    <row r="15" spans="1:10" ht="23.4" x14ac:dyDescent="0.3">
      <c r="B15" s="333" t="s">
        <v>224</v>
      </c>
      <c r="C15" s="334"/>
      <c r="D15" s="362"/>
      <c r="E15" s="362"/>
      <c r="F15" s="388"/>
      <c r="G15" s="389"/>
      <c r="H15" s="388"/>
      <c r="I15" s="390"/>
      <c r="J15" s="365">
        <v>1</v>
      </c>
    </row>
    <row r="16" spans="1:10" ht="23.4" x14ac:dyDescent="0.3">
      <c r="B16" s="340" t="s">
        <v>225</v>
      </c>
      <c r="C16" s="341"/>
      <c r="D16" s="362"/>
      <c r="E16" s="362"/>
      <c r="F16" s="388"/>
      <c r="G16" s="389"/>
      <c r="H16" s="388"/>
      <c r="I16" s="390"/>
      <c r="J16" s="365">
        <v>1</v>
      </c>
    </row>
    <row r="17" spans="2:10" ht="23.4" x14ac:dyDescent="0.3">
      <c r="B17" s="850" t="s">
        <v>226</v>
      </c>
      <c r="C17" s="391"/>
      <c r="D17" s="362"/>
      <c r="E17" s="362"/>
      <c r="F17" s="388"/>
      <c r="G17" s="389"/>
      <c r="H17" s="388"/>
      <c r="I17" s="390"/>
      <c r="J17" s="365">
        <v>1</v>
      </c>
    </row>
    <row r="18" spans="2:10" ht="23.4" x14ac:dyDescent="0.3">
      <c r="B18" s="851" t="s">
        <v>227</v>
      </c>
      <c r="C18" s="392"/>
      <c r="D18" s="362"/>
      <c r="E18" s="362"/>
      <c r="F18" s="388"/>
      <c r="G18" s="389"/>
      <c r="H18" s="388"/>
      <c r="I18" s="390"/>
      <c r="J18" s="365">
        <v>1</v>
      </c>
    </row>
    <row r="19" spans="2:10" ht="23.4" x14ac:dyDescent="0.3">
      <c r="B19" s="262" t="s">
        <v>228</v>
      </c>
      <c r="C19" s="263"/>
      <c r="D19" s="393"/>
      <c r="E19" s="393"/>
      <c r="F19" s="394"/>
      <c r="G19" s="395"/>
      <c r="H19" s="394"/>
      <c r="I19" s="396"/>
      <c r="J19" s="397">
        <v>1</v>
      </c>
    </row>
    <row r="34" spans="8:8" ht="15.6" x14ac:dyDescent="0.3">
      <c r="H34" s="398"/>
    </row>
    <row r="35" spans="8:8" ht="15.6" x14ac:dyDescent="0.3">
      <c r="H35" s="398"/>
    </row>
    <row r="36" spans="8:8" ht="15.6" x14ac:dyDescent="0.3">
      <c r="H36" s="398"/>
    </row>
    <row r="37" spans="8:8" ht="15.6" x14ac:dyDescent="0.3">
      <c r="H37" s="398"/>
    </row>
    <row r="38" spans="8:8" ht="15.6" x14ac:dyDescent="0.3">
      <c r="H38" s="398"/>
    </row>
    <row r="39" spans="8:8" ht="15.6" x14ac:dyDescent="0.3">
      <c r="H39" s="398"/>
    </row>
    <row r="40" spans="8:8" ht="15.6" x14ac:dyDescent="0.3">
      <c r="H40" s="398"/>
    </row>
    <row r="41" spans="8:8" ht="15.6" x14ac:dyDescent="0.3">
      <c r="H41" s="398"/>
    </row>
    <row r="42" spans="8:8" ht="15.6" x14ac:dyDescent="0.3">
      <c r="H42" s="398"/>
    </row>
    <row r="43" spans="8:8" ht="15.6" x14ac:dyDescent="0.3">
      <c r="H43" s="398"/>
    </row>
    <row r="44" spans="8:8" ht="15.6" x14ac:dyDescent="0.3">
      <c r="H44" s="398"/>
    </row>
    <row r="45" spans="8:8" ht="15.6" x14ac:dyDescent="0.3">
      <c r="H45" s="398"/>
    </row>
    <row r="46" spans="8:8" ht="15.6" x14ac:dyDescent="0.3">
      <c r="H46" s="398"/>
    </row>
    <row r="47" spans="8:8" ht="15.6" x14ac:dyDescent="0.3">
      <c r="H47" s="398"/>
    </row>
    <row r="48" spans="8:8" ht="15.6" x14ac:dyDescent="0.3">
      <c r="H48" s="398"/>
    </row>
    <row r="53" spans="1:2" x14ac:dyDescent="0.3">
      <c r="B53" s="129" t="s">
        <v>1136</v>
      </c>
    </row>
    <row r="54" spans="1:2" ht="0.9" customHeight="1" x14ac:dyDescent="0.3">
      <c r="A54" s="399"/>
    </row>
  </sheetData>
  <sheetProtection sheet="1" objects="1" scenarios="1" formatCells="0" formatColumns="0" formatRows="0" insertHyperlinks="0" selectLockedCells="1" sort="0" autoFilter="0"/>
  <conditionalFormatting sqref="D14:D18">
    <cfRule type="iconSet" priority="8">
      <iconSet iconSet="5Rating">
        <cfvo type="percent" val="0"/>
        <cfvo type="num" val="2"/>
        <cfvo type="num" val="5"/>
        <cfvo type="num" val="7"/>
        <cfvo type="num" val="9"/>
      </iconSet>
    </cfRule>
  </conditionalFormatting>
  <conditionalFormatting sqref="G5:G19">
    <cfRule type="iconSet" priority="7">
      <iconSet iconSet="3ArrowsGray" showValue="0">
        <cfvo type="percent" val="0"/>
        <cfvo type="num" val="2"/>
        <cfvo type="num" val="3"/>
      </iconSet>
    </cfRule>
  </conditionalFormatting>
  <conditionalFormatting sqref="D5:D19">
    <cfRule type="iconSet" priority="2">
      <iconSet iconSet="5Rating">
        <cfvo type="percent" val="0"/>
        <cfvo type="num" val="2"/>
        <cfvo type="num" val="5"/>
        <cfvo type="num" val="7"/>
        <cfvo type="num" val="9"/>
      </iconSet>
    </cfRule>
  </conditionalFormatting>
  <conditionalFormatting sqref="E5:E19">
    <cfRule type="iconSet" priority="1">
      <iconSet iconSet="5Rating">
        <cfvo type="percent" val="0"/>
        <cfvo type="num" val="2"/>
        <cfvo type="num" val="5"/>
        <cfvo type="num" val="7"/>
        <cfvo type="num" val="9"/>
      </iconSet>
    </cfRule>
  </conditionalFormatting>
  <conditionalFormatting sqref="D5:F19">
    <cfRule type="expression" dxfId="27" priority="3">
      <formula>MOD(ROW(A1),2)=0</formula>
    </cfRule>
    <cfRule type="expression" dxfId="26" priority="4">
      <formula>MOD(ROW(A2),2)=0</formula>
    </cfRule>
  </conditionalFormatting>
  <conditionalFormatting sqref="G5:I19">
    <cfRule type="expression" dxfId="25" priority="12563">
      <formula>MOD(ROW(E1),2)=0</formula>
    </cfRule>
    <cfRule type="expression" dxfId="24" priority="12564">
      <formula>MOD(ROW(E2),2)=0</formula>
    </cfRule>
  </conditionalFormatting>
  <dataValidations count="2">
    <dataValidation type="list" allowBlank="1" showInputMessage="1" showErrorMessage="1" sqref="I5:J19 G5:G54" xr:uid="{00000000-0002-0000-1800-000000000000}">
      <formula1>"1,2,3"</formula1>
    </dataValidation>
    <dataValidation type="list" allowBlank="1" showInputMessage="1" showErrorMessage="1" sqref="D5:E54" xr:uid="{00000000-0002-0000-1800-000001000000}">
      <formula1>"1,2,3,4,5,6,7,8,9,10"</formula1>
    </dataValidation>
  </dataValidations>
  <pageMargins left="0.19685039370078741" right="0.19685039370078741" top="0.31496062992125984" bottom="0.43307086614173229" header="0" footer="0.19685039370078741"/>
  <pageSetup paperSize="8" orientation="portrait" r:id="rId1"/>
  <headerFooter scaleWithDoc="0">
    <oddFooter>&amp;L&amp;8&amp;K01+049(c) s. imboden&amp;C&amp;8&amp;K01+049printed &amp;D&amp;R&amp;8&amp;K03+000&amp;P/&amp;N</oddFooter>
  </headerFooter>
  <rowBreaks count="1" manualBreakCount="1">
    <brk id="20"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10" id="{898A14F4-4C1E-4714-8590-7A271F3F9FDB}">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I14:I18</xm:sqref>
        </x14:conditionalFormatting>
        <x14:conditionalFormatting xmlns:xm="http://schemas.microsoft.com/office/excel/2006/main">
          <x14:cfRule type="iconSet" priority="6" id="{08C29F40-3696-4C3F-9D61-9DA9BB0ADF7A}">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I5:I19</xm:sqref>
        </x14:conditionalFormatting>
      </x14:conditionalFormatting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Tabelle4">
    <tabColor theme="6" tint="0.59999389629810485"/>
  </sheetPr>
  <dimension ref="A1:S95"/>
  <sheetViews>
    <sheetView showGridLines="0" zoomScaleNormal="100" workbookViewId="0">
      <pane ySplit="1" topLeftCell="A2" activePane="bottomLeft" state="frozen"/>
      <selection activeCell="C28" sqref="C28"/>
      <selection pane="bottomLeft" activeCell="A2" sqref="A2"/>
    </sheetView>
  </sheetViews>
  <sheetFormatPr baseColWidth="10" defaultColWidth="11.44140625" defaultRowHeight="14.4" x14ac:dyDescent="0.3"/>
  <cols>
    <col min="1" max="1" width="7" style="78" customWidth="1"/>
    <col min="2" max="2" width="4.109375" style="75" customWidth="1"/>
    <col min="3" max="3" width="27" style="78" customWidth="1"/>
    <col min="4" max="4" width="40.109375" style="78" customWidth="1"/>
    <col min="5" max="5" width="10.109375" style="78" customWidth="1"/>
    <col min="6" max="6" width="0.109375" style="78" customWidth="1"/>
    <col min="7" max="7" width="6.5546875" style="78" customWidth="1"/>
    <col min="8" max="8" width="49.109375" style="78" customWidth="1"/>
    <col min="9" max="9" width="6.44140625" style="210" customWidth="1"/>
    <col min="10" max="10" width="4.5546875" style="78" hidden="1" customWidth="1"/>
    <col min="11" max="11" width="38.88671875" style="78" customWidth="1"/>
    <col min="12" max="12" width="4.5546875" style="78" customWidth="1"/>
    <col min="13" max="19" width="3.5546875" style="78" customWidth="1"/>
    <col min="20" max="16384" width="11.44140625" style="78"/>
  </cols>
  <sheetData>
    <row r="1" spans="1:19" s="70" customFormat="1" ht="43.5" customHeight="1" x14ac:dyDescent="0.6">
      <c r="A1" s="205"/>
      <c r="B1" s="825" t="str">
        <f ca="1">' '!A273&amp;"  ("&amp;Projektauftrag!D5&amp;")"</f>
        <v>F E A S I B I L I T Y  (Projet Agile 1)</v>
      </c>
      <c r="C1" s="206"/>
      <c r="D1" s="71"/>
      <c r="E1" s="71"/>
      <c r="F1" s="71"/>
      <c r="G1" s="71"/>
      <c r="H1" s="73"/>
      <c r="I1" s="132"/>
      <c r="J1" s="71"/>
      <c r="K1" s="207"/>
      <c r="L1" s="207"/>
      <c r="M1" s="207"/>
      <c r="N1" s="207"/>
      <c r="O1" s="207"/>
      <c r="P1" s="207"/>
      <c r="Q1" s="207"/>
      <c r="R1" s="207"/>
      <c r="S1" s="207"/>
    </row>
    <row r="2" spans="1:19" s="70" customFormat="1" ht="43.5" customHeight="1" x14ac:dyDescent="0.6">
      <c r="A2" s="208"/>
      <c r="B2" s="896"/>
      <c r="C2" s="897"/>
      <c r="D2" s="898"/>
      <c r="E2" s="898"/>
      <c r="F2" s="898"/>
      <c r="G2" s="898"/>
      <c r="H2" s="899"/>
      <c r="I2" s="900"/>
      <c r="J2" s="69"/>
      <c r="K2" s="207"/>
      <c r="L2" s="207"/>
      <c r="M2" s="207"/>
      <c r="N2" s="207"/>
      <c r="O2" s="207"/>
      <c r="P2" s="207"/>
      <c r="Q2" s="207"/>
      <c r="R2" s="207"/>
      <c r="S2" s="207"/>
    </row>
    <row r="3" spans="1:19" s="70" customFormat="1" ht="18.75" customHeight="1" x14ac:dyDescent="0.3">
      <c r="A3" s="205"/>
      <c r="B3" s="205"/>
      <c r="C3" s="205"/>
      <c r="D3" s="69"/>
      <c r="E3" s="69"/>
      <c r="F3" s="69"/>
      <c r="G3" s="69"/>
      <c r="H3" s="106"/>
      <c r="I3" s="209"/>
      <c r="J3" s="69"/>
      <c r="K3" s="207"/>
      <c r="L3" s="207"/>
      <c r="M3" s="207"/>
      <c r="N3" s="207"/>
      <c r="O3" s="207"/>
      <c r="P3" s="207"/>
      <c r="Q3" s="207"/>
      <c r="R3" s="207"/>
      <c r="S3" s="207"/>
    </row>
    <row r="4" spans="1:19" ht="21" customHeight="1" x14ac:dyDescent="0.3">
      <c r="A4" s="75"/>
      <c r="B4" s="135"/>
    </row>
    <row r="5" spans="1:19" x14ac:dyDescent="0.3">
      <c r="A5" s="211"/>
      <c r="B5" s="212"/>
    </row>
    <row r="6" spans="1:19" x14ac:dyDescent="0.3">
      <c r="B6" s="212"/>
      <c r="F6" s="138" t="str">
        <f ca="1">C23</f>
        <v>Organizational feasibility</v>
      </c>
      <c r="G6" s="138">
        <f>IF(E35&lt;&gt;0,E35,0.1)</f>
        <v>7</v>
      </c>
    </row>
    <row r="7" spans="1:19" x14ac:dyDescent="0.3">
      <c r="B7" s="212"/>
      <c r="F7" s="138" t="str">
        <f ca="1">C38</f>
        <v>Technical feasibility</v>
      </c>
      <c r="G7" s="138">
        <f>IF(E50&lt;&gt;0,E50,0.1)</f>
        <v>3</v>
      </c>
      <c r="H7" s="213"/>
    </row>
    <row r="8" spans="1:19" x14ac:dyDescent="0.3">
      <c r="B8" s="212"/>
      <c r="F8" s="138" t="str">
        <f ca="1">C53</f>
        <v>Legal feasibility</v>
      </c>
      <c r="G8" s="138">
        <f>IF(E65&lt;&gt;0,E65,0.1)</f>
        <v>3</v>
      </c>
      <c r="H8" s="213"/>
    </row>
    <row r="9" spans="1:19" x14ac:dyDescent="0.3">
      <c r="B9" s="212"/>
      <c r="F9" s="138" t="str">
        <f ca="1">C68</f>
        <v>Economic feasibility</v>
      </c>
      <c r="G9" s="138">
        <f>IF(E80&lt;&gt;0,E80,0.1)</f>
        <v>1</v>
      </c>
      <c r="H9" s="213"/>
    </row>
    <row r="10" spans="1:19" x14ac:dyDescent="0.3">
      <c r="B10" s="212"/>
      <c r="F10" s="138" t="str">
        <f ca="1">C83</f>
        <v>Resources and time</v>
      </c>
      <c r="G10" s="138">
        <f>IF(E95&lt;&gt;0,E95,0.1)</f>
        <v>4</v>
      </c>
      <c r="H10" s="213"/>
    </row>
    <row r="11" spans="1:19" x14ac:dyDescent="0.3">
      <c r="B11" s="212"/>
      <c r="F11" s="213"/>
      <c r="G11" s="213"/>
      <c r="H11" s="213"/>
    </row>
    <row r="12" spans="1:19" x14ac:dyDescent="0.3">
      <c r="B12" s="212"/>
      <c r="F12" s="213"/>
      <c r="G12" s="213"/>
      <c r="H12" s="213"/>
    </row>
    <row r="13" spans="1:19" x14ac:dyDescent="0.3">
      <c r="B13" s="212"/>
    </row>
    <row r="14" spans="1:19" x14ac:dyDescent="0.3">
      <c r="B14" s="212"/>
    </row>
    <row r="15" spans="1:19" x14ac:dyDescent="0.3">
      <c r="B15" s="212"/>
    </row>
    <row r="16" spans="1:19" x14ac:dyDescent="0.3">
      <c r="B16" s="212"/>
    </row>
    <row r="17" spans="1:10" x14ac:dyDescent="0.3">
      <c r="B17" s="214"/>
    </row>
    <row r="18" spans="1:10" x14ac:dyDescent="0.3">
      <c r="B18" s="214"/>
    </row>
    <row r="19" spans="1:10" x14ac:dyDescent="0.3">
      <c r="B19" s="214"/>
    </row>
    <row r="20" spans="1:10" x14ac:dyDescent="0.3">
      <c r="B20" s="214"/>
    </row>
    <row r="21" spans="1:10" x14ac:dyDescent="0.3">
      <c r="B21" s="214"/>
    </row>
    <row r="22" spans="1:10" ht="74.25" customHeight="1" x14ac:dyDescent="0.3"/>
    <row r="23" spans="1:10" ht="21" x14ac:dyDescent="0.4">
      <c r="B23" s="215"/>
      <c r="C23" s="216" t="str">
        <f ca="1">' '!A274</f>
        <v>Organizational feasibility</v>
      </c>
      <c r="D23" s="217"/>
      <c r="E23" s="217"/>
      <c r="F23" s="217"/>
      <c r="G23" s="217"/>
      <c r="H23" s="217"/>
      <c r="I23" s="218"/>
    </row>
    <row r="24" spans="1:10" s="221" customFormat="1" ht="39" customHeight="1" x14ac:dyDescent="0.3">
      <c r="A24" s="78"/>
      <c r="B24" s="902" t="str">
        <f ca="1">' '!A279</f>
        <v>No.</v>
      </c>
      <c r="C24" s="219" t="str">
        <f ca="1">' '!A280</f>
        <v>Title</v>
      </c>
      <c r="D24" s="219" t="str">
        <f ca="1">' '!A281</f>
        <v>Consequences</v>
      </c>
      <c r="E24" s="823" t="str">
        <f ca="1">' '!A283</f>
        <v>Influence on the project</v>
      </c>
      <c r="F24" s="220" t="str">
        <f ca="1">' '!A282</f>
        <v>Degree of danger</v>
      </c>
      <c r="G24" s="220" t="str">
        <f ca="1">' '!A284</f>
        <v>Ten-dency</v>
      </c>
      <c r="H24" s="220" t="str">
        <f ca="1">' '!A285</f>
        <v>Possible measures</v>
      </c>
      <c r="I24" s="824" t="str">
        <f ca="1">' '!A286</f>
        <v>Status</v>
      </c>
      <c r="J24" s="78">
        <f ca="1">COUNTIF(I24:I34,1)</f>
        <v>1</v>
      </c>
    </row>
    <row r="25" spans="1:10" ht="23.4" x14ac:dyDescent="0.3">
      <c r="B25" s="222">
        <v>1</v>
      </c>
      <c r="C25" s="223"/>
      <c r="D25" s="223"/>
      <c r="E25" s="224">
        <v>3</v>
      </c>
      <c r="F25" s="225"/>
      <c r="G25" s="226">
        <v>2</v>
      </c>
      <c r="H25" s="227"/>
      <c r="I25" s="901">
        <v>1</v>
      </c>
      <c r="J25" s="78">
        <f>COUNTIF(I25:I34,2)</f>
        <v>0</v>
      </c>
    </row>
    <row r="26" spans="1:10" ht="23.4" x14ac:dyDescent="0.3">
      <c r="B26" s="229">
        <f t="shared" ref="B26:B34" si="0">$B25+1</f>
        <v>2</v>
      </c>
      <c r="C26" s="230"/>
      <c r="D26" s="230"/>
      <c r="E26" s="231">
        <v>4</v>
      </c>
      <c r="F26" s="232"/>
      <c r="G26" s="233">
        <v>3</v>
      </c>
      <c r="H26" s="234"/>
      <c r="I26" s="228">
        <v>3</v>
      </c>
      <c r="J26" s="78">
        <f>COUNTIF(I25:I34,3)</f>
        <v>1</v>
      </c>
    </row>
    <row r="27" spans="1:10" ht="23.4" x14ac:dyDescent="0.3">
      <c r="B27" s="235">
        <f t="shared" si="0"/>
        <v>3</v>
      </c>
      <c r="C27" s="223"/>
      <c r="D27" s="223"/>
      <c r="E27" s="224"/>
      <c r="F27" s="225"/>
      <c r="G27" s="226"/>
      <c r="H27" s="227"/>
      <c r="I27" s="901"/>
    </row>
    <row r="28" spans="1:10" ht="23.4" x14ac:dyDescent="0.3">
      <c r="B28" s="229">
        <f t="shared" si="0"/>
        <v>4</v>
      </c>
      <c r="C28" s="230"/>
      <c r="D28" s="230"/>
      <c r="E28" s="231"/>
      <c r="F28" s="232"/>
      <c r="G28" s="233"/>
      <c r="H28" s="234"/>
      <c r="I28" s="901"/>
    </row>
    <row r="29" spans="1:10" ht="23.4" x14ac:dyDescent="0.3">
      <c r="B29" s="235">
        <f t="shared" si="0"/>
        <v>5</v>
      </c>
      <c r="C29" s="223"/>
      <c r="D29" s="223"/>
      <c r="E29" s="224"/>
      <c r="F29" s="225"/>
      <c r="G29" s="226"/>
      <c r="H29" s="227"/>
      <c r="I29" s="901"/>
    </row>
    <row r="30" spans="1:10" ht="23.4" x14ac:dyDescent="0.3">
      <c r="B30" s="229">
        <f t="shared" si="0"/>
        <v>6</v>
      </c>
      <c r="C30" s="230"/>
      <c r="D30" s="230"/>
      <c r="E30" s="231"/>
      <c r="F30" s="232"/>
      <c r="G30" s="233"/>
      <c r="H30" s="234"/>
      <c r="I30" s="901"/>
    </row>
    <row r="31" spans="1:10" ht="23.4" x14ac:dyDescent="0.3">
      <c r="B31" s="235">
        <f t="shared" si="0"/>
        <v>7</v>
      </c>
      <c r="C31" s="223"/>
      <c r="D31" s="223"/>
      <c r="E31" s="224"/>
      <c r="F31" s="225"/>
      <c r="G31" s="226"/>
      <c r="H31" s="227"/>
      <c r="I31" s="901"/>
    </row>
    <row r="32" spans="1:10" ht="23.4" x14ac:dyDescent="0.3">
      <c r="B32" s="229">
        <f t="shared" si="0"/>
        <v>8</v>
      </c>
      <c r="C32" s="230"/>
      <c r="D32" s="230"/>
      <c r="E32" s="231"/>
      <c r="F32" s="232"/>
      <c r="G32" s="233"/>
      <c r="H32" s="234"/>
      <c r="I32" s="901"/>
    </row>
    <row r="33" spans="2:10" ht="23.4" x14ac:dyDescent="0.3">
      <c r="B33" s="235">
        <f t="shared" si="0"/>
        <v>9</v>
      </c>
      <c r="C33" s="223"/>
      <c r="D33" s="223"/>
      <c r="E33" s="224"/>
      <c r="F33" s="225"/>
      <c r="G33" s="226"/>
      <c r="H33" s="227"/>
      <c r="I33" s="901"/>
    </row>
    <row r="34" spans="2:10" ht="23.4" x14ac:dyDescent="0.3">
      <c r="B34" s="229">
        <f t="shared" si="0"/>
        <v>10</v>
      </c>
      <c r="C34" s="230"/>
      <c r="D34" s="230"/>
      <c r="E34" s="231"/>
      <c r="F34" s="232"/>
      <c r="G34" s="233"/>
      <c r="H34" s="234"/>
      <c r="I34" s="228"/>
    </row>
    <row r="35" spans="2:10" x14ac:dyDescent="0.3">
      <c r="B35" s="140"/>
      <c r="C35" s="221"/>
      <c r="D35" s="236" t="str">
        <f ca="1">' '!A288</f>
        <v>Sum</v>
      </c>
      <c r="E35" s="237">
        <f>SUM(E25:E34)</f>
        <v>7</v>
      </c>
      <c r="F35" s="221"/>
      <c r="G35" s="238"/>
      <c r="H35" s="221"/>
      <c r="I35" s="239"/>
    </row>
    <row r="36" spans="2:10" x14ac:dyDescent="0.3">
      <c r="B36" s="140"/>
      <c r="C36" s="221"/>
      <c r="D36" s="221"/>
      <c r="E36" s="221"/>
      <c r="F36" s="240"/>
      <c r="G36" s="221"/>
      <c r="H36" s="221"/>
      <c r="I36" s="239"/>
    </row>
    <row r="37" spans="2:10" x14ac:dyDescent="0.3">
      <c r="B37" s="140"/>
      <c r="C37" s="221"/>
      <c r="D37" s="221"/>
      <c r="E37" s="221"/>
      <c r="F37" s="240"/>
      <c r="G37" s="221"/>
      <c r="H37" s="221"/>
      <c r="I37" s="239"/>
    </row>
    <row r="38" spans="2:10" ht="21" x14ac:dyDescent="0.3">
      <c r="B38" s="241"/>
      <c r="C38" s="242" t="str">
        <f ca="1">' '!A276</f>
        <v>Technical feasibility</v>
      </c>
      <c r="D38" s="243"/>
      <c r="E38" s="243"/>
      <c r="F38" s="243"/>
      <c r="G38" s="243"/>
      <c r="H38" s="243"/>
      <c r="I38" s="244"/>
    </row>
    <row r="39" spans="2:10" ht="41.25" customHeight="1" x14ac:dyDescent="0.3">
      <c r="B39" s="906" t="str">
        <f ca="1">B24</f>
        <v>No.</v>
      </c>
      <c r="C39" s="245" t="str">
        <f ca="1">C24</f>
        <v>Title</v>
      </c>
      <c r="D39" s="245" t="str">
        <f ca="1">D24</f>
        <v>Consequences</v>
      </c>
      <c r="E39" s="246" t="str">
        <f ca="1">' '!A283</f>
        <v>Influence on the project</v>
      </c>
      <c r="F39" s="246" t="str">
        <f ca="1">F24</f>
        <v>Degree of danger</v>
      </c>
      <c r="G39" s="246" t="str">
        <f ca="1">G24</f>
        <v>Ten-dency</v>
      </c>
      <c r="H39" s="247" t="str">
        <f ca="1">H24</f>
        <v>Possible measures</v>
      </c>
      <c r="I39" s="700" t="str">
        <f ca="1">I24</f>
        <v>Status</v>
      </c>
      <c r="J39" s="78">
        <f ca="1">COUNTIF(I39:I49,1)</f>
        <v>1</v>
      </c>
    </row>
    <row r="40" spans="2:10" ht="23.4" x14ac:dyDescent="0.3">
      <c r="B40" s="248">
        <v>1</v>
      </c>
      <c r="C40" s="249"/>
      <c r="D40" s="249"/>
      <c r="E40" s="250">
        <v>3</v>
      </c>
      <c r="F40" s="251"/>
      <c r="G40" s="252"/>
      <c r="H40" s="253"/>
      <c r="I40" s="254">
        <v>1</v>
      </c>
      <c r="J40" s="78">
        <f ca="1">COUNTIF(I39:I49,2)</f>
        <v>0</v>
      </c>
    </row>
    <row r="41" spans="2:10" ht="23.4" x14ac:dyDescent="0.3">
      <c r="B41" s="255">
        <f t="shared" ref="B41:B49" si="1">$B40+1</f>
        <v>2</v>
      </c>
      <c r="C41" s="256"/>
      <c r="D41" s="256"/>
      <c r="E41" s="257"/>
      <c r="F41" s="258"/>
      <c r="G41" s="259"/>
      <c r="H41" s="260"/>
      <c r="I41" s="261"/>
      <c r="J41" s="78">
        <f ca="1">COUNTIF(I39:I51,3)</f>
        <v>0</v>
      </c>
    </row>
    <row r="42" spans="2:10" ht="23.4" x14ac:dyDescent="0.3">
      <c r="B42" s="248">
        <f t="shared" si="1"/>
        <v>3</v>
      </c>
      <c r="C42" s="249"/>
      <c r="D42" s="249"/>
      <c r="E42" s="250"/>
      <c r="F42" s="251"/>
      <c r="G42" s="252"/>
      <c r="H42" s="253"/>
      <c r="I42" s="254"/>
    </row>
    <row r="43" spans="2:10" ht="23.4" x14ac:dyDescent="0.3">
      <c r="B43" s="255">
        <f t="shared" si="1"/>
        <v>4</v>
      </c>
      <c r="C43" s="256"/>
      <c r="D43" s="256"/>
      <c r="E43" s="257"/>
      <c r="F43" s="258"/>
      <c r="G43" s="259"/>
      <c r="H43" s="260"/>
      <c r="I43" s="261"/>
    </row>
    <row r="44" spans="2:10" ht="23.4" x14ac:dyDescent="0.3">
      <c r="B44" s="248">
        <f t="shared" si="1"/>
        <v>5</v>
      </c>
      <c r="C44" s="249"/>
      <c r="D44" s="249"/>
      <c r="E44" s="250"/>
      <c r="F44" s="251"/>
      <c r="G44" s="252"/>
      <c r="H44" s="253"/>
      <c r="I44" s="254"/>
    </row>
    <row r="45" spans="2:10" ht="23.4" x14ac:dyDescent="0.3">
      <c r="B45" s="255">
        <f t="shared" si="1"/>
        <v>6</v>
      </c>
      <c r="C45" s="256"/>
      <c r="D45" s="256"/>
      <c r="E45" s="257"/>
      <c r="F45" s="258"/>
      <c r="G45" s="259"/>
      <c r="H45" s="260"/>
      <c r="I45" s="261"/>
    </row>
    <row r="46" spans="2:10" ht="23.4" x14ac:dyDescent="0.3">
      <c r="B46" s="248">
        <f t="shared" si="1"/>
        <v>7</v>
      </c>
      <c r="C46" s="249"/>
      <c r="D46" s="249"/>
      <c r="E46" s="250"/>
      <c r="F46" s="251"/>
      <c r="G46" s="252"/>
      <c r="H46" s="253"/>
      <c r="I46" s="254"/>
    </row>
    <row r="47" spans="2:10" ht="23.4" x14ac:dyDescent="0.3">
      <c r="B47" s="255">
        <f t="shared" si="1"/>
        <v>8</v>
      </c>
      <c r="C47" s="256"/>
      <c r="D47" s="256"/>
      <c r="E47" s="257"/>
      <c r="F47" s="258"/>
      <c r="G47" s="259"/>
      <c r="H47" s="260"/>
      <c r="I47" s="261"/>
    </row>
    <row r="48" spans="2:10" ht="23.4" x14ac:dyDescent="0.3">
      <c r="B48" s="248">
        <f t="shared" si="1"/>
        <v>9</v>
      </c>
      <c r="C48" s="249"/>
      <c r="D48" s="249"/>
      <c r="E48" s="250"/>
      <c r="F48" s="251"/>
      <c r="G48" s="252"/>
      <c r="H48" s="253"/>
      <c r="I48" s="254"/>
    </row>
    <row r="49" spans="2:10" ht="23.4" x14ac:dyDescent="0.3">
      <c r="B49" s="262">
        <f t="shared" si="1"/>
        <v>10</v>
      </c>
      <c r="C49" s="263"/>
      <c r="D49" s="263"/>
      <c r="E49" s="264"/>
      <c r="F49" s="265"/>
      <c r="G49" s="266"/>
      <c r="H49" s="267"/>
      <c r="I49" s="268"/>
    </row>
    <row r="50" spans="2:10" x14ac:dyDescent="0.3">
      <c r="B50" s="140"/>
      <c r="C50" s="221"/>
      <c r="D50" s="236" t="str">
        <f ca="1">$D$35</f>
        <v>Sum</v>
      </c>
      <c r="E50" s="237">
        <f>SUM(E40:E49)</f>
        <v>3</v>
      </c>
      <c r="F50" s="221"/>
      <c r="G50" s="221"/>
      <c r="H50" s="221"/>
      <c r="I50" s="239"/>
    </row>
    <row r="51" spans="2:10" x14ac:dyDescent="0.3">
      <c r="B51" s="140"/>
      <c r="C51" s="221"/>
      <c r="D51" s="221"/>
      <c r="E51" s="221"/>
      <c r="F51" s="240"/>
      <c r="G51" s="221"/>
      <c r="H51" s="221"/>
      <c r="I51" s="239"/>
    </row>
    <row r="52" spans="2:10" x14ac:dyDescent="0.3">
      <c r="B52" s="140"/>
      <c r="C52" s="221"/>
      <c r="D52" s="221"/>
      <c r="E52" s="221"/>
      <c r="F52" s="240"/>
      <c r="G52" s="221"/>
      <c r="H52" s="221"/>
      <c r="I52" s="239"/>
    </row>
    <row r="53" spans="2:10" ht="21" x14ac:dyDescent="0.3">
      <c r="B53" s="269"/>
      <c r="C53" s="270" t="str">
        <f ca="1">' '!A278</f>
        <v>Legal feasibility</v>
      </c>
      <c r="D53" s="271"/>
      <c r="E53" s="271"/>
      <c r="F53" s="271"/>
      <c r="G53" s="271"/>
      <c r="H53" s="271"/>
      <c r="I53" s="272"/>
    </row>
    <row r="54" spans="2:10" ht="40.5" customHeight="1" x14ac:dyDescent="0.3">
      <c r="B54" s="903" t="str">
        <f t="shared" ref="B54:I54" ca="1" si="2">B24</f>
        <v>No.</v>
      </c>
      <c r="C54" s="273" t="str">
        <f t="shared" ca="1" si="2"/>
        <v>Title</v>
      </c>
      <c r="D54" s="273" t="str">
        <f t="shared" ca="1" si="2"/>
        <v>Consequences</v>
      </c>
      <c r="E54" s="274" t="str">
        <f t="shared" ca="1" si="2"/>
        <v>Influence on the project</v>
      </c>
      <c r="F54" s="274" t="str">
        <f t="shared" ca="1" si="2"/>
        <v>Degree of danger</v>
      </c>
      <c r="G54" s="274" t="str">
        <f t="shared" ca="1" si="2"/>
        <v>Ten-dency</v>
      </c>
      <c r="H54" s="275" t="str">
        <f t="shared" ca="1" si="2"/>
        <v>Possible measures</v>
      </c>
      <c r="I54" s="697" t="str">
        <f t="shared" ca="1" si="2"/>
        <v>Status</v>
      </c>
      <c r="J54" s="78">
        <f ca="1">COUNTIF(I54:I64,1)</f>
        <v>0</v>
      </c>
    </row>
    <row r="55" spans="2:10" ht="23.4" x14ac:dyDescent="0.3">
      <c r="B55" s="276">
        <v>1</v>
      </c>
      <c r="C55" s="277"/>
      <c r="D55" s="277"/>
      <c r="E55" s="278">
        <v>3</v>
      </c>
      <c r="F55" s="279"/>
      <c r="G55" s="280">
        <v>1</v>
      </c>
      <c r="H55" s="281"/>
      <c r="I55" s="282">
        <v>3</v>
      </c>
      <c r="J55" s="78">
        <f ca="1">COUNTIF(I54:I64,2)</f>
        <v>0</v>
      </c>
    </row>
    <row r="56" spans="2:10" ht="23.4" x14ac:dyDescent="0.3">
      <c r="B56" s="283">
        <f t="shared" ref="B56:B64" si="3">$B55+1</f>
        <v>2</v>
      </c>
      <c r="C56" s="284"/>
      <c r="D56" s="284"/>
      <c r="E56" s="285"/>
      <c r="F56" s="286"/>
      <c r="G56" s="287"/>
      <c r="H56" s="288"/>
      <c r="I56" s="289"/>
      <c r="J56" s="78">
        <f ca="1">COUNTIF(I54:I65,3)</f>
        <v>1</v>
      </c>
    </row>
    <row r="57" spans="2:10" ht="23.4" x14ac:dyDescent="0.3">
      <c r="B57" s="276">
        <f t="shared" si="3"/>
        <v>3</v>
      </c>
      <c r="C57" s="277"/>
      <c r="D57" s="277"/>
      <c r="E57" s="278"/>
      <c r="F57" s="279"/>
      <c r="G57" s="280"/>
      <c r="H57" s="281"/>
      <c r="I57" s="282"/>
    </row>
    <row r="58" spans="2:10" ht="23.4" x14ac:dyDescent="0.3">
      <c r="B58" s="283">
        <f t="shared" si="3"/>
        <v>4</v>
      </c>
      <c r="C58" s="284"/>
      <c r="D58" s="284"/>
      <c r="E58" s="285"/>
      <c r="F58" s="286"/>
      <c r="G58" s="287"/>
      <c r="H58" s="288"/>
      <c r="I58" s="289"/>
    </row>
    <row r="59" spans="2:10" ht="23.4" x14ac:dyDescent="0.3">
      <c r="B59" s="276">
        <f t="shared" si="3"/>
        <v>5</v>
      </c>
      <c r="C59" s="277"/>
      <c r="D59" s="277"/>
      <c r="E59" s="278"/>
      <c r="F59" s="279"/>
      <c r="G59" s="280"/>
      <c r="H59" s="281"/>
      <c r="I59" s="282"/>
    </row>
    <row r="60" spans="2:10" ht="23.4" x14ac:dyDescent="0.3">
      <c r="B60" s="283">
        <f t="shared" si="3"/>
        <v>6</v>
      </c>
      <c r="C60" s="284"/>
      <c r="D60" s="284"/>
      <c r="E60" s="285"/>
      <c r="F60" s="286"/>
      <c r="G60" s="287"/>
      <c r="H60" s="288"/>
      <c r="I60" s="289"/>
    </row>
    <row r="61" spans="2:10" ht="23.4" x14ac:dyDescent="0.3">
      <c r="B61" s="276">
        <f t="shared" si="3"/>
        <v>7</v>
      </c>
      <c r="C61" s="277"/>
      <c r="D61" s="277"/>
      <c r="E61" s="278"/>
      <c r="F61" s="279"/>
      <c r="G61" s="280"/>
      <c r="H61" s="281"/>
      <c r="I61" s="282"/>
    </row>
    <row r="62" spans="2:10" ht="23.4" x14ac:dyDescent="0.3">
      <c r="B62" s="283">
        <f t="shared" si="3"/>
        <v>8</v>
      </c>
      <c r="C62" s="284"/>
      <c r="D62" s="284"/>
      <c r="E62" s="285"/>
      <c r="F62" s="286"/>
      <c r="G62" s="287"/>
      <c r="H62" s="288"/>
      <c r="I62" s="289"/>
    </row>
    <row r="63" spans="2:10" ht="23.4" x14ac:dyDescent="0.3">
      <c r="B63" s="276">
        <f t="shared" si="3"/>
        <v>9</v>
      </c>
      <c r="C63" s="277"/>
      <c r="D63" s="277"/>
      <c r="E63" s="278"/>
      <c r="F63" s="279"/>
      <c r="G63" s="280"/>
      <c r="H63" s="281"/>
      <c r="I63" s="282"/>
    </row>
    <row r="64" spans="2:10" ht="23.4" x14ac:dyDescent="0.3">
      <c r="B64" s="290">
        <f t="shared" si="3"/>
        <v>10</v>
      </c>
      <c r="C64" s="291"/>
      <c r="D64" s="291"/>
      <c r="E64" s="292"/>
      <c r="F64" s="293"/>
      <c r="G64" s="294"/>
      <c r="H64" s="295"/>
      <c r="I64" s="296"/>
    </row>
    <row r="65" spans="1:10" x14ac:dyDescent="0.3">
      <c r="B65" s="140"/>
      <c r="C65" s="221"/>
      <c r="D65" s="236" t="str">
        <f ca="1">$D$35</f>
        <v>Sum</v>
      </c>
      <c r="E65" s="237">
        <f>SUM(E55:E64)</f>
        <v>3</v>
      </c>
      <c r="F65" s="221"/>
      <c r="G65" s="221"/>
      <c r="H65" s="221"/>
      <c r="I65" s="239"/>
    </row>
    <row r="66" spans="1:10" x14ac:dyDescent="0.3">
      <c r="B66" s="140"/>
      <c r="C66" s="221"/>
      <c r="D66" s="221"/>
      <c r="E66" s="221"/>
      <c r="F66" s="240"/>
      <c r="G66" s="221"/>
      <c r="H66" s="221"/>
      <c r="I66" s="239"/>
    </row>
    <row r="67" spans="1:10" x14ac:dyDescent="0.3">
      <c r="B67" s="140"/>
      <c r="C67" s="221"/>
      <c r="D67" s="221"/>
      <c r="E67" s="221"/>
      <c r="F67" s="240"/>
      <c r="G67" s="221"/>
      <c r="H67" s="221"/>
      <c r="I67" s="239"/>
    </row>
    <row r="68" spans="1:10" ht="21" x14ac:dyDescent="0.3">
      <c r="B68" s="297"/>
      <c r="C68" s="298" t="str">
        <f ca="1">' '!A275</f>
        <v>Economic feasibility</v>
      </c>
      <c r="D68" s="299"/>
      <c r="E68" s="299"/>
      <c r="F68" s="299"/>
      <c r="G68" s="299"/>
      <c r="H68" s="299"/>
      <c r="I68" s="300"/>
    </row>
    <row r="69" spans="1:10" s="304" customFormat="1" ht="39" customHeight="1" x14ac:dyDescent="0.3">
      <c r="A69" s="78"/>
      <c r="B69" s="904" t="str">
        <f t="shared" ref="B69:I69" ca="1" si="4">B24</f>
        <v>No.</v>
      </c>
      <c r="C69" s="301" t="str">
        <f t="shared" ca="1" si="4"/>
        <v>Title</v>
      </c>
      <c r="D69" s="301" t="str">
        <f t="shared" ca="1" si="4"/>
        <v>Consequences</v>
      </c>
      <c r="E69" s="302" t="str">
        <f t="shared" ca="1" si="4"/>
        <v>Influence on the project</v>
      </c>
      <c r="F69" s="302" t="str">
        <f t="shared" ca="1" si="4"/>
        <v>Degree of danger</v>
      </c>
      <c r="G69" s="302" t="str">
        <f t="shared" ca="1" si="4"/>
        <v>Ten-dency</v>
      </c>
      <c r="H69" s="303" t="str">
        <f t="shared" ca="1" si="4"/>
        <v>Possible measures</v>
      </c>
      <c r="I69" s="698" t="str">
        <f t="shared" ca="1" si="4"/>
        <v>Status</v>
      </c>
      <c r="J69" s="78">
        <f ca="1">COUNTIF(I69:I79,1)</f>
        <v>0</v>
      </c>
    </row>
    <row r="70" spans="1:10" ht="23.4" x14ac:dyDescent="0.3">
      <c r="B70" s="305">
        <v>1</v>
      </c>
      <c r="C70" s="306"/>
      <c r="D70" s="306"/>
      <c r="E70" s="307">
        <v>1</v>
      </c>
      <c r="F70" s="308"/>
      <c r="G70" s="309">
        <v>1</v>
      </c>
      <c r="H70" s="310"/>
      <c r="I70" s="311">
        <v>3</v>
      </c>
      <c r="J70" s="78">
        <f ca="1">COUNTIF(I69:I79,2)</f>
        <v>0</v>
      </c>
    </row>
    <row r="71" spans="1:10" ht="23.4" x14ac:dyDescent="0.3">
      <c r="B71" s="312">
        <f t="shared" ref="B71:B79" si="5">$B70+1</f>
        <v>2</v>
      </c>
      <c r="C71" s="313"/>
      <c r="D71" s="313"/>
      <c r="E71" s="314"/>
      <c r="F71" s="315"/>
      <c r="G71" s="316"/>
      <c r="H71" s="317"/>
      <c r="I71" s="318"/>
      <c r="J71" s="78">
        <f ca="1">COUNTIF(I69:I80,3)</f>
        <v>1</v>
      </c>
    </row>
    <row r="72" spans="1:10" ht="23.4" x14ac:dyDescent="0.3">
      <c r="B72" s="305">
        <f t="shared" si="5"/>
        <v>3</v>
      </c>
      <c r="C72" s="306"/>
      <c r="D72" s="306"/>
      <c r="E72" s="307"/>
      <c r="F72" s="308"/>
      <c r="G72" s="309"/>
      <c r="H72" s="310"/>
      <c r="I72" s="311"/>
    </row>
    <row r="73" spans="1:10" ht="23.4" x14ac:dyDescent="0.3">
      <c r="B73" s="312">
        <f t="shared" si="5"/>
        <v>4</v>
      </c>
      <c r="C73" s="313"/>
      <c r="D73" s="313"/>
      <c r="E73" s="314"/>
      <c r="F73" s="315"/>
      <c r="G73" s="316"/>
      <c r="H73" s="317"/>
      <c r="I73" s="318"/>
    </row>
    <row r="74" spans="1:10" ht="23.4" x14ac:dyDescent="0.3">
      <c r="B74" s="305">
        <f t="shared" si="5"/>
        <v>5</v>
      </c>
      <c r="C74" s="306"/>
      <c r="D74" s="306"/>
      <c r="E74" s="307"/>
      <c r="F74" s="308"/>
      <c r="G74" s="309"/>
      <c r="H74" s="310"/>
      <c r="I74" s="311"/>
    </row>
    <row r="75" spans="1:10" ht="23.4" x14ac:dyDescent="0.3">
      <c r="B75" s="312">
        <f t="shared" si="5"/>
        <v>6</v>
      </c>
      <c r="C75" s="313"/>
      <c r="D75" s="313"/>
      <c r="E75" s="314"/>
      <c r="F75" s="315"/>
      <c r="G75" s="316"/>
      <c r="H75" s="317"/>
      <c r="I75" s="318"/>
    </row>
    <row r="76" spans="1:10" ht="23.4" x14ac:dyDescent="0.3">
      <c r="B76" s="305">
        <f t="shared" si="5"/>
        <v>7</v>
      </c>
      <c r="C76" s="306"/>
      <c r="D76" s="306"/>
      <c r="E76" s="307"/>
      <c r="F76" s="308"/>
      <c r="G76" s="309"/>
      <c r="H76" s="310"/>
      <c r="I76" s="311"/>
    </row>
    <row r="77" spans="1:10" ht="23.4" x14ac:dyDescent="0.3">
      <c r="B77" s="312">
        <f t="shared" si="5"/>
        <v>8</v>
      </c>
      <c r="C77" s="313"/>
      <c r="D77" s="313"/>
      <c r="E77" s="314"/>
      <c r="F77" s="315"/>
      <c r="G77" s="316"/>
      <c r="H77" s="317"/>
      <c r="I77" s="318"/>
    </row>
    <row r="78" spans="1:10" ht="23.4" x14ac:dyDescent="0.3">
      <c r="B78" s="305">
        <f t="shared" si="5"/>
        <v>9</v>
      </c>
      <c r="C78" s="306"/>
      <c r="D78" s="306"/>
      <c r="E78" s="307"/>
      <c r="F78" s="308"/>
      <c r="G78" s="309"/>
      <c r="H78" s="310"/>
      <c r="I78" s="311"/>
    </row>
    <row r="79" spans="1:10" ht="23.4" x14ac:dyDescent="0.3">
      <c r="B79" s="319">
        <f t="shared" si="5"/>
        <v>10</v>
      </c>
      <c r="C79" s="320"/>
      <c r="D79" s="320"/>
      <c r="E79" s="321"/>
      <c r="F79" s="322"/>
      <c r="G79" s="323"/>
      <c r="H79" s="324"/>
      <c r="I79" s="325"/>
    </row>
    <row r="80" spans="1:10" x14ac:dyDescent="0.3">
      <c r="B80" s="140"/>
      <c r="C80" s="221"/>
      <c r="D80" s="236" t="str">
        <f ca="1">$D$35</f>
        <v>Sum</v>
      </c>
      <c r="E80" s="237">
        <f>SUM(E70:E79)</f>
        <v>1</v>
      </c>
      <c r="F80" s="221"/>
      <c r="G80" s="221"/>
      <c r="H80" s="221"/>
      <c r="I80" s="239"/>
    </row>
    <row r="81" spans="1:10" x14ac:dyDescent="0.3">
      <c r="B81" s="140"/>
      <c r="C81" s="221"/>
      <c r="D81" s="221"/>
      <c r="E81" s="221"/>
      <c r="F81" s="240"/>
      <c r="G81" s="221"/>
      <c r="H81" s="221"/>
      <c r="I81" s="239"/>
    </row>
    <row r="82" spans="1:10" x14ac:dyDescent="0.3">
      <c r="B82" s="140"/>
      <c r="C82" s="221"/>
      <c r="D82" s="221"/>
      <c r="E82" s="221"/>
      <c r="F82" s="240"/>
      <c r="G82" s="221"/>
      <c r="H82" s="221"/>
      <c r="I82" s="239"/>
    </row>
    <row r="83" spans="1:10" ht="21" x14ac:dyDescent="0.3">
      <c r="B83" s="326"/>
      <c r="C83" s="327" t="str">
        <f ca="1">' '!A277</f>
        <v>Resources and time</v>
      </c>
      <c r="D83" s="328"/>
      <c r="E83" s="328"/>
      <c r="F83" s="328"/>
      <c r="G83" s="328"/>
      <c r="H83" s="328"/>
      <c r="I83" s="329"/>
    </row>
    <row r="84" spans="1:10" s="304" customFormat="1" ht="41.25" customHeight="1" x14ac:dyDescent="0.3">
      <c r="A84" s="78"/>
      <c r="B84" s="905" t="str">
        <f t="shared" ref="B84:I84" ca="1" si="6">B24</f>
        <v>No.</v>
      </c>
      <c r="C84" s="330" t="str">
        <f t="shared" ca="1" si="6"/>
        <v>Title</v>
      </c>
      <c r="D84" s="330" t="str">
        <f t="shared" ca="1" si="6"/>
        <v>Consequences</v>
      </c>
      <c r="E84" s="331" t="str">
        <f t="shared" ca="1" si="6"/>
        <v>Influence on the project</v>
      </c>
      <c r="F84" s="331" t="str">
        <f t="shared" ca="1" si="6"/>
        <v>Degree of danger</v>
      </c>
      <c r="G84" s="331" t="str">
        <f t="shared" ca="1" si="6"/>
        <v>Ten-dency</v>
      </c>
      <c r="H84" s="332" t="str">
        <f t="shared" ca="1" si="6"/>
        <v>Possible measures</v>
      </c>
      <c r="I84" s="699" t="str">
        <f t="shared" ca="1" si="6"/>
        <v>Status</v>
      </c>
      <c r="J84" s="78">
        <f ca="1">COUNTIF(I84:I94,1)</f>
        <v>0</v>
      </c>
    </row>
    <row r="85" spans="1:10" ht="23.4" x14ac:dyDescent="0.3">
      <c r="B85" s="333">
        <v>1</v>
      </c>
      <c r="C85" s="334"/>
      <c r="D85" s="334"/>
      <c r="E85" s="335">
        <v>4</v>
      </c>
      <c r="F85" s="336"/>
      <c r="G85" s="337">
        <v>2</v>
      </c>
      <c r="H85" s="338"/>
      <c r="I85" s="339"/>
      <c r="J85" s="78">
        <f ca="1">COUNTIF(I84:I94,2)</f>
        <v>0</v>
      </c>
    </row>
    <row r="86" spans="1:10" ht="23.4" x14ac:dyDescent="0.3">
      <c r="B86" s="340">
        <f t="shared" ref="B86:B94" si="7">$B85+1</f>
        <v>2</v>
      </c>
      <c r="C86" s="341"/>
      <c r="D86" s="341"/>
      <c r="E86" s="342"/>
      <c r="F86" s="343"/>
      <c r="G86" s="344"/>
      <c r="H86" s="345"/>
      <c r="I86" s="346"/>
      <c r="J86" s="78">
        <f ca="1">COUNTIF(I84:I95,3)</f>
        <v>0</v>
      </c>
    </row>
    <row r="87" spans="1:10" ht="23.4" x14ac:dyDescent="0.3">
      <c r="B87" s="333">
        <f t="shared" si="7"/>
        <v>3</v>
      </c>
      <c r="C87" s="334"/>
      <c r="D87" s="334"/>
      <c r="E87" s="335"/>
      <c r="F87" s="336"/>
      <c r="G87" s="337"/>
      <c r="H87" s="338"/>
      <c r="I87" s="339"/>
    </row>
    <row r="88" spans="1:10" ht="23.4" x14ac:dyDescent="0.3">
      <c r="B88" s="340">
        <f t="shared" si="7"/>
        <v>4</v>
      </c>
      <c r="C88" s="341"/>
      <c r="D88" s="341"/>
      <c r="E88" s="342"/>
      <c r="F88" s="343"/>
      <c r="G88" s="344"/>
      <c r="H88" s="345"/>
      <c r="I88" s="346"/>
    </row>
    <row r="89" spans="1:10" ht="23.4" x14ac:dyDescent="0.3">
      <c r="B89" s="333">
        <f t="shared" si="7"/>
        <v>5</v>
      </c>
      <c r="C89" s="334"/>
      <c r="D89" s="334"/>
      <c r="E89" s="335"/>
      <c r="F89" s="336"/>
      <c r="G89" s="337"/>
      <c r="H89" s="338"/>
      <c r="I89" s="339"/>
    </row>
    <row r="90" spans="1:10" ht="23.4" x14ac:dyDescent="0.3">
      <c r="B90" s="340">
        <f t="shared" si="7"/>
        <v>6</v>
      </c>
      <c r="C90" s="341"/>
      <c r="D90" s="341"/>
      <c r="E90" s="342"/>
      <c r="F90" s="343"/>
      <c r="G90" s="344"/>
      <c r="H90" s="345"/>
      <c r="I90" s="346"/>
    </row>
    <row r="91" spans="1:10" ht="23.4" x14ac:dyDescent="0.3">
      <c r="B91" s="333">
        <f t="shared" si="7"/>
        <v>7</v>
      </c>
      <c r="C91" s="334"/>
      <c r="D91" s="334"/>
      <c r="E91" s="335"/>
      <c r="F91" s="336"/>
      <c r="G91" s="337"/>
      <c r="H91" s="338"/>
      <c r="I91" s="339"/>
    </row>
    <row r="92" spans="1:10" ht="23.4" x14ac:dyDescent="0.3">
      <c r="B92" s="340">
        <f t="shared" si="7"/>
        <v>8</v>
      </c>
      <c r="C92" s="341"/>
      <c r="D92" s="341"/>
      <c r="E92" s="342"/>
      <c r="F92" s="343"/>
      <c r="G92" s="344"/>
      <c r="H92" s="345"/>
      <c r="I92" s="346"/>
    </row>
    <row r="93" spans="1:10" ht="23.4" x14ac:dyDescent="0.3">
      <c r="B93" s="333">
        <f t="shared" si="7"/>
        <v>9</v>
      </c>
      <c r="C93" s="334"/>
      <c r="D93" s="334"/>
      <c r="E93" s="335"/>
      <c r="F93" s="336"/>
      <c r="G93" s="337"/>
      <c r="H93" s="338"/>
      <c r="I93" s="339"/>
    </row>
    <row r="94" spans="1:10" ht="23.4" x14ac:dyDescent="0.3">
      <c r="B94" s="347">
        <f t="shared" si="7"/>
        <v>10</v>
      </c>
      <c r="C94" s="348"/>
      <c r="D94" s="348"/>
      <c r="E94" s="349"/>
      <c r="F94" s="350"/>
      <c r="G94" s="351"/>
      <c r="H94" s="352"/>
      <c r="I94" s="353"/>
    </row>
    <row r="95" spans="1:10" x14ac:dyDescent="0.3">
      <c r="B95" s="140" t="s">
        <v>1137</v>
      </c>
      <c r="C95" s="221"/>
      <c r="D95" s="236" t="str">
        <f ca="1">$D$35</f>
        <v>Sum</v>
      </c>
      <c r="E95" s="237">
        <f>SUM(E85:E94)</f>
        <v>4</v>
      </c>
      <c r="F95" s="221"/>
      <c r="G95" s="221"/>
      <c r="H95" s="221"/>
      <c r="I95" s="239"/>
    </row>
  </sheetData>
  <sheetProtection sheet="1" objects="1" scenarios="1" formatCells="0" formatColumns="0" formatRows="0" insertHyperlinks="0" selectLockedCells="1" sort="0" autoFilter="0"/>
  <conditionalFormatting sqref="F25:F34">
    <cfRule type="iconSet" priority="19">
      <iconSet iconSet="3ArrowsGray" showValue="0" reverse="1">
        <cfvo type="percent" val="0"/>
        <cfvo type="num" val="2"/>
        <cfvo type="num" val="3"/>
      </iconSet>
    </cfRule>
  </conditionalFormatting>
  <conditionalFormatting sqref="H25:H34">
    <cfRule type="iconSet" priority="18">
      <iconSet iconSet="3Symbols2" showValue="0" reverse="1">
        <cfvo type="percent" val="0"/>
        <cfvo type="num" val="2"/>
        <cfvo type="num" val="3"/>
      </iconSet>
    </cfRule>
  </conditionalFormatting>
  <conditionalFormatting sqref="E25:E34">
    <cfRule type="iconSet" priority="17">
      <iconSet iconSet="5Rating">
        <cfvo type="percent" val="0"/>
        <cfvo type="num" val="1"/>
        <cfvo type="num" val="2"/>
        <cfvo type="num" val="3"/>
        <cfvo type="num" val="4"/>
      </iconSet>
    </cfRule>
  </conditionalFormatting>
  <conditionalFormatting sqref="F40:F49">
    <cfRule type="iconSet" priority="16">
      <iconSet iconSet="3ArrowsGray" showValue="0" reverse="1">
        <cfvo type="percent" val="0"/>
        <cfvo type="num" val="2"/>
        <cfvo type="num" val="3"/>
      </iconSet>
    </cfRule>
  </conditionalFormatting>
  <conditionalFormatting sqref="H40:H49">
    <cfRule type="iconSet" priority="14">
      <iconSet iconSet="3Symbols2" showValue="0" reverse="1">
        <cfvo type="percent" val="0"/>
        <cfvo type="num" val="2"/>
        <cfvo type="num" val="3"/>
      </iconSet>
    </cfRule>
  </conditionalFormatting>
  <conditionalFormatting sqref="E40:E49">
    <cfRule type="iconSet" priority="15">
      <iconSet iconSet="5Rating">
        <cfvo type="percent" val="0"/>
        <cfvo type="num" val="1"/>
        <cfvo type="num" val="2"/>
        <cfvo type="num" val="3"/>
        <cfvo type="num" val="4"/>
      </iconSet>
    </cfRule>
  </conditionalFormatting>
  <conditionalFormatting sqref="F55:F64">
    <cfRule type="iconSet" priority="13">
      <iconSet iconSet="3ArrowsGray" showValue="0" reverse="1">
        <cfvo type="percent" val="0"/>
        <cfvo type="num" val="2"/>
        <cfvo type="num" val="3"/>
      </iconSet>
    </cfRule>
  </conditionalFormatting>
  <conditionalFormatting sqref="H55:H64">
    <cfRule type="iconSet" priority="11">
      <iconSet iconSet="3Symbols2" showValue="0" reverse="1">
        <cfvo type="percent" val="0"/>
        <cfvo type="num" val="2"/>
        <cfvo type="num" val="3"/>
      </iconSet>
    </cfRule>
  </conditionalFormatting>
  <conditionalFormatting sqref="E55:E64">
    <cfRule type="iconSet" priority="12">
      <iconSet iconSet="5Rating">
        <cfvo type="percent" val="0"/>
        <cfvo type="num" val="1"/>
        <cfvo type="num" val="2"/>
        <cfvo type="num" val="3"/>
        <cfvo type="num" val="4"/>
      </iconSet>
    </cfRule>
  </conditionalFormatting>
  <conditionalFormatting sqref="F70:F79">
    <cfRule type="iconSet" priority="10">
      <iconSet iconSet="3ArrowsGray" showValue="0" reverse="1">
        <cfvo type="percent" val="0"/>
        <cfvo type="num" val="2"/>
        <cfvo type="num" val="3"/>
      </iconSet>
    </cfRule>
  </conditionalFormatting>
  <conditionalFormatting sqref="H70:H79">
    <cfRule type="iconSet" priority="8">
      <iconSet iconSet="3Symbols2" showValue="0" reverse="1">
        <cfvo type="percent" val="0"/>
        <cfvo type="num" val="2"/>
        <cfvo type="num" val="3"/>
      </iconSet>
    </cfRule>
  </conditionalFormatting>
  <conditionalFormatting sqref="E70:E79">
    <cfRule type="iconSet" priority="9">
      <iconSet iconSet="5Rating">
        <cfvo type="percent" val="0"/>
        <cfvo type="num" val="1"/>
        <cfvo type="num" val="2"/>
        <cfvo type="num" val="3"/>
        <cfvo type="num" val="4"/>
      </iconSet>
    </cfRule>
  </conditionalFormatting>
  <conditionalFormatting sqref="F85:F94">
    <cfRule type="iconSet" priority="7">
      <iconSet iconSet="3ArrowsGray" showValue="0" reverse="1">
        <cfvo type="percent" val="0"/>
        <cfvo type="num" val="2"/>
        <cfvo type="num" val="3"/>
      </iconSet>
    </cfRule>
  </conditionalFormatting>
  <conditionalFormatting sqref="H85:H94">
    <cfRule type="iconSet" priority="5">
      <iconSet iconSet="3Symbols2" showValue="0" reverse="1">
        <cfvo type="percent" val="0"/>
        <cfvo type="num" val="2"/>
        <cfvo type="num" val="3"/>
      </iconSet>
    </cfRule>
  </conditionalFormatting>
  <conditionalFormatting sqref="E85:E94">
    <cfRule type="iconSet" priority="6">
      <iconSet iconSet="5Rating">
        <cfvo type="percent" val="0"/>
        <cfvo type="num" val="1"/>
        <cfvo type="num" val="2"/>
        <cfvo type="num" val="3"/>
        <cfvo type="num" val="4"/>
      </iconSet>
    </cfRule>
  </conditionalFormatting>
  <conditionalFormatting sqref="G25:G34 G40:G49 G55:G64 G70:G79 G85:G94">
    <cfRule type="iconSet" priority="4">
      <iconSet iconSet="3ArrowsGray" showValue="0">
        <cfvo type="percent" val="0"/>
        <cfvo type="num" val="2"/>
        <cfvo type="num" val="3"/>
      </iconSet>
    </cfRule>
  </conditionalFormatting>
  <conditionalFormatting sqref="B25:I34">
    <cfRule type="expression" dxfId="23" priority="19835">
      <formula>MOD(ROW(A1),2)=0</formula>
    </cfRule>
    <cfRule type="expression" dxfId="22" priority="19836">
      <formula>MOD(ROW(A3),2)=0</formula>
    </cfRule>
  </conditionalFormatting>
  <dataValidations count="5">
    <dataValidation type="list" allowBlank="1" showInputMessage="1" showErrorMessage="1" sqref="F25:F34 F40:F49 F55:F64 F70:F79 F85:F94" xr:uid="{00000000-0002-0000-1900-000000000000}">
      <formula1>"0,1,2,3,4"</formula1>
    </dataValidation>
    <dataValidation type="list" allowBlank="1" showInputMessage="1" showErrorMessage="1" sqref="F50" xr:uid="{00000000-0002-0000-1900-000001000000}">
      <formula1>"0,1,2,3"</formula1>
    </dataValidation>
    <dataValidation type="list" showInputMessage="1" showErrorMessage="1" sqref="F39 I70:I79 I54:I64 G70:G79 G25:G34 I85:I94 G39:G50 E54:F54 I39:I50 G85:G94 G54:G64 I25:I34" xr:uid="{00000000-0002-0000-1900-000002000000}">
      <formula1>"1,2,3"</formula1>
    </dataValidation>
    <dataValidation type="list" errorStyle="warning" showInputMessage="1" showErrorMessage="1" sqref="E39" xr:uid="{00000000-0002-0000-1900-000003000000}">
      <formula1>"1,2,3"</formula1>
    </dataValidation>
    <dataValidation type="list" showInputMessage="1" showErrorMessage="1" sqref="E25:E34 E40:E49 E55:E64 E70:E79 E85:E94" xr:uid="{00000000-0002-0000-1900-000004000000}">
      <formula1>"1,2,3,4"</formula1>
    </dataValidation>
  </dataValidations>
  <pageMargins left="0.19685039370078741" right="0.19685039370078741" top="0.31496062992125984" bottom="0.43307086614173229" header="0" footer="0.19685039370078741"/>
  <pageSetup paperSize="8" scale="90" fitToWidth="2" fitToHeight="2" orientation="portrait" r:id="rId1"/>
  <headerFooter scaleWithDoc="0">
    <oddFooter>&amp;L&amp;8&amp;K01+049(c) s. imboden&amp;C&amp;8&amp;K01+049printed &amp;D&amp;R&amp;8&amp;K03+000&amp;P/&amp;N</oddFooter>
  </headerFooter>
  <rowBreaks count="1" manualBreakCount="1">
    <brk id="51"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E9FF18C7-E885-4E41-BCB2-F9B1FB238B10}">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I40:I49 I54:I64 I69:I79 I85:I94 I25:I34</xm:sqref>
        </x14:conditionalFormatting>
      </x14:conditionalFormatting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Tabelle6">
    <tabColor theme="6" tint="0.59999389629810485"/>
  </sheetPr>
  <dimension ref="B1:BC40"/>
  <sheetViews>
    <sheetView showGridLines="0" zoomScaleNormal="100" workbookViewId="0">
      <selection activeCell="B3" sqref="B3:X3"/>
    </sheetView>
  </sheetViews>
  <sheetFormatPr baseColWidth="10" defaultColWidth="9.109375" defaultRowHeight="14.4" x14ac:dyDescent="0.3"/>
  <cols>
    <col min="1" max="1" width="7.44140625" style="75" customWidth="1"/>
    <col min="2" max="8" width="3.44140625" style="75" customWidth="1"/>
    <col min="9" max="9" width="3.109375" style="75" customWidth="1"/>
    <col min="10" max="16" width="3.44140625" style="75" customWidth="1"/>
    <col min="17" max="17" width="3.109375" style="75" customWidth="1"/>
    <col min="18" max="24" width="3.44140625" style="75" customWidth="1"/>
    <col min="25" max="25" width="3" style="75" hidden="1" customWidth="1"/>
    <col min="26" max="26" width="6.88671875" style="75" hidden="1" customWidth="1"/>
    <col min="27" max="27" width="7.88671875" style="75" hidden="1" customWidth="1"/>
    <col min="28" max="28" width="15.5546875" style="75" hidden="1" customWidth="1"/>
    <col min="29" max="29" width="0" style="75" hidden="1" customWidth="1"/>
    <col min="30" max="32" width="9.109375" style="75"/>
    <col min="33" max="55" width="9.88671875" style="136" hidden="1" customWidth="1"/>
    <col min="56" max="16384" width="9.109375" style="75"/>
  </cols>
  <sheetData>
    <row r="1" spans="2:55" ht="34.5" customHeight="1" x14ac:dyDescent="0.55000000000000004">
      <c r="B1" s="830" t="str">
        <f ca="1">' '!A297</f>
        <v>Calendar</v>
      </c>
      <c r="C1" s="176"/>
      <c r="D1" s="176"/>
      <c r="E1" s="176"/>
      <c r="F1" s="176"/>
      <c r="G1" s="176"/>
      <c r="H1" s="176"/>
      <c r="I1" s="176"/>
      <c r="J1" s="177"/>
      <c r="K1" s="177"/>
      <c r="L1" s="177"/>
      <c r="M1" s="177"/>
      <c r="N1" s="177"/>
      <c r="O1" s="177"/>
      <c r="P1" s="177"/>
      <c r="Q1" s="177"/>
      <c r="R1" s="177"/>
      <c r="S1" s="177"/>
      <c r="T1" s="177"/>
      <c r="U1" s="177"/>
      <c r="V1" s="176"/>
      <c r="W1" s="176"/>
      <c r="X1" s="178"/>
      <c r="AG1" s="179"/>
      <c r="AH1" s="180"/>
      <c r="AI1" s="180"/>
      <c r="AJ1" s="180"/>
      <c r="AK1" s="180"/>
      <c r="AL1" s="180"/>
      <c r="AM1" s="180"/>
      <c r="AN1" s="180"/>
      <c r="AO1" s="181"/>
      <c r="AP1" s="181"/>
      <c r="AQ1" s="181"/>
      <c r="AR1" s="181"/>
      <c r="AS1" s="181"/>
      <c r="AT1" s="181"/>
      <c r="AU1" s="181"/>
      <c r="AV1" s="181"/>
      <c r="AW1" s="181"/>
      <c r="AX1" s="181"/>
      <c r="AY1" s="181"/>
      <c r="AZ1" s="181"/>
      <c r="BA1" s="180"/>
      <c r="BB1" s="180"/>
      <c r="BC1" s="182"/>
    </row>
    <row r="2" spans="2:55" ht="7.5" customHeight="1" x14ac:dyDescent="0.3">
      <c r="B2" s="1248"/>
      <c r="C2" s="1248"/>
      <c r="D2" s="1248"/>
      <c r="E2" s="1248"/>
      <c r="F2" s="1248"/>
      <c r="G2" s="1248"/>
      <c r="H2" s="1248"/>
      <c r="I2" s="183"/>
      <c r="J2" s="183"/>
      <c r="K2" s="183"/>
      <c r="L2" s="183"/>
      <c r="N2" s="183"/>
      <c r="O2" s="183"/>
      <c r="R2" s="184"/>
      <c r="T2" s="184"/>
      <c r="U2" s="184"/>
      <c r="V2" s="184"/>
      <c r="W2" s="184"/>
      <c r="X2" s="184"/>
      <c r="Y2" s="183"/>
      <c r="Z2" s="183"/>
      <c r="AA2" s="183"/>
      <c r="AG2" s="1244"/>
      <c r="AH2" s="1244"/>
      <c r="AI2" s="1244"/>
      <c r="AJ2" s="1244"/>
      <c r="AK2" s="1244"/>
      <c r="AL2" s="1244"/>
      <c r="AM2" s="1244"/>
      <c r="AN2" s="185"/>
      <c r="AO2" s="185"/>
      <c r="AP2" s="185"/>
      <c r="AQ2" s="185"/>
      <c r="AS2" s="185"/>
      <c r="AT2" s="185"/>
      <c r="AW2" s="186"/>
      <c r="AY2" s="186"/>
      <c r="AZ2" s="186"/>
      <c r="BA2" s="186"/>
      <c r="BB2" s="186"/>
      <c r="BC2" s="186"/>
    </row>
    <row r="3" spans="2:55" ht="17.25" customHeight="1" x14ac:dyDescent="0.3">
      <c r="B3" s="1249">
        <f ca="1">YEAR(TODAY())</f>
        <v>2026</v>
      </c>
      <c r="C3" s="1249"/>
      <c r="D3" s="1249"/>
      <c r="E3" s="1249"/>
      <c r="F3" s="1249"/>
      <c r="G3" s="1249"/>
      <c r="H3" s="1249"/>
      <c r="I3" s="1249"/>
      <c r="J3" s="1249"/>
      <c r="K3" s="1249"/>
      <c r="L3" s="1249"/>
      <c r="M3" s="1249"/>
      <c r="N3" s="1249"/>
      <c r="O3" s="1249"/>
      <c r="P3" s="1249"/>
      <c r="Q3" s="1249"/>
      <c r="R3" s="1249"/>
      <c r="S3" s="1249"/>
      <c r="T3" s="1249"/>
      <c r="U3" s="1249"/>
      <c r="V3" s="1249"/>
      <c r="W3" s="1249"/>
      <c r="X3" s="1249"/>
      <c r="AG3" s="1243"/>
      <c r="AH3" s="1243"/>
      <c r="AI3" s="1243"/>
      <c r="AJ3" s="1243"/>
      <c r="AK3" s="1243"/>
      <c r="AL3" s="1243"/>
      <c r="AM3" s="1243"/>
      <c r="AN3" s="1243"/>
      <c r="AO3" s="1243"/>
      <c r="AP3" s="1243"/>
      <c r="AQ3" s="1243"/>
      <c r="AR3" s="1243"/>
      <c r="AS3" s="1243"/>
      <c r="AT3" s="1243"/>
      <c r="AU3" s="1243"/>
      <c r="AV3" s="1243"/>
      <c r="AW3" s="1243"/>
      <c r="AX3" s="1243"/>
      <c r="AY3" s="1243"/>
      <c r="AZ3" s="1243"/>
      <c r="BA3" s="1243"/>
      <c r="BB3" s="1243"/>
      <c r="BC3" s="1243"/>
    </row>
    <row r="4" spans="2:55" ht="6" customHeight="1" x14ac:dyDescent="0.3">
      <c r="Y4" s="187" t="s">
        <v>711</v>
      </c>
      <c r="AA4" s="188">
        <f ca="1">B3</f>
        <v>2026</v>
      </c>
    </row>
    <row r="5" spans="2:55" ht="15.6" x14ac:dyDescent="0.3">
      <c r="B5" s="1245">
        <f ca="1">DATE($AA$4,$AA$5,1)</f>
        <v>46023</v>
      </c>
      <c r="C5" s="1246"/>
      <c r="D5" s="1246"/>
      <c r="E5" s="1246"/>
      <c r="F5" s="1246"/>
      <c r="G5" s="1246"/>
      <c r="H5" s="1247"/>
      <c r="J5" s="1245">
        <f ca="1">DATE(YEAR(B5+35),MONTH(B5+35),1)</f>
        <v>46054</v>
      </c>
      <c r="K5" s="1246"/>
      <c r="L5" s="1246"/>
      <c r="M5" s="1246"/>
      <c r="N5" s="1246"/>
      <c r="O5" s="1246"/>
      <c r="P5" s="1247"/>
      <c r="R5" s="1245">
        <f ca="1">DATE(YEAR(J5+35),MONTH(J5+35),1)</f>
        <v>46082</v>
      </c>
      <c r="S5" s="1246"/>
      <c r="T5" s="1246"/>
      <c r="U5" s="1246"/>
      <c r="V5" s="1246"/>
      <c r="W5" s="1246"/>
      <c r="X5" s="1247"/>
      <c r="Y5" s="189" t="s">
        <v>704</v>
      </c>
      <c r="AA5" s="190">
        <v>1</v>
      </c>
      <c r="AB5" s="190"/>
      <c r="AC5" s="190"/>
      <c r="AG5" s="1240"/>
      <c r="AH5" s="1241"/>
      <c r="AI5" s="1241"/>
      <c r="AJ5" s="1241"/>
      <c r="AK5" s="1241"/>
      <c r="AL5" s="1241"/>
      <c r="AM5" s="1242"/>
      <c r="AO5" s="1240"/>
      <c r="AP5" s="1241"/>
      <c r="AQ5" s="1241"/>
      <c r="AR5" s="1241"/>
      <c r="AS5" s="1241"/>
      <c r="AT5" s="1241"/>
      <c r="AU5" s="1242"/>
      <c r="AW5" s="1240"/>
      <c r="AX5" s="1241"/>
      <c r="AY5" s="1241"/>
      <c r="AZ5" s="1241"/>
      <c r="BA5" s="1241"/>
      <c r="BB5" s="1241"/>
      <c r="BC5" s="1242"/>
    </row>
    <row r="6" spans="2:55" ht="15.6" x14ac:dyDescent="0.3">
      <c r="B6" s="191" t="str">
        <f ca="1">' '!A299</f>
        <v>Mo</v>
      </c>
      <c r="C6" s="191" t="str">
        <f ca="1">' '!A300</f>
        <v>Tu</v>
      </c>
      <c r="D6" s="191" t="str">
        <f ca="1">' '!A301</f>
        <v>We</v>
      </c>
      <c r="E6" s="191" t="str">
        <f ca="1">' '!A302</f>
        <v>Th</v>
      </c>
      <c r="F6" s="191" t="str">
        <f ca="1">' '!A303</f>
        <v>Fr</v>
      </c>
      <c r="G6" s="191" t="str">
        <f ca="1">' '!A304</f>
        <v>Sa</v>
      </c>
      <c r="H6" s="191" t="str">
        <f ca="1">' '!A298</f>
        <v>Su</v>
      </c>
      <c r="J6" s="191" t="str">
        <f ca="1">$B$6</f>
        <v>Mo</v>
      </c>
      <c r="K6" s="192" t="str">
        <f ca="1">$C$6</f>
        <v>Tu</v>
      </c>
      <c r="L6" s="192" t="str">
        <f ca="1">$D$6</f>
        <v>We</v>
      </c>
      <c r="M6" s="192" t="str">
        <f ca="1">$E$6</f>
        <v>Th</v>
      </c>
      <c r="N6" s="192" t="str">
        <f ca="1">$F$6</f>
        <v>Fr</v>
      </c>
      <c r="O6" s="192" t="str">
        <f ca="1">$G$6</f>
        <v>Sa</v>
      </c>
      <c r="P6" s="193" t="str">
        <f ca="1">$H$6</f>
        <v>Su</v>
      </c>
      <c r="R6" s="191" t="str">
        <f ca="1">$B$6</f>
        <v>Mo</v>
      </c>
      <c r="S6" s="192" t="str">
        <f ca="1">$C$6</f>
        <v>Tu</v>
      </c>
      <c r="T6" s="192" t="str">
        <f ca="1">$D$6</f>
        <v>We</v>
      </c>
      <c r="U6" s="192" t="str">
        <f ca="1">$E$6</f>
        <v>Th</v>
      </c>
      <c r="V6" s="192" t="str">
        <f ca="1">$F$6</f>
        <v>Fr</v>
      </c>
      <c r="W6" s="192" t="str">
        <f ca="1">$G$6</f>
        <v>Sa</v>
      </c>
      <c r="X6" s="193" t="str">
        <f ca="1">$H$6</f>
        <v>Su</v>
      </c>
      <c r="Y6" s="194" t="s">
        <v>705</v>
      </c>
      <c r="AA6" s="190">
        <v>2</v>
      </c>
      <c r="AB6" s="195" t="s">
        <v>706</v>
      </c>
      <c r="AC6" s="190"/>
      <c r="AG6" s="196"/>
      <c r="AH6" s="196"/>
      <c r="AI6" s="196"/>
      <c r="AJ6" s="196"/>
      <c r="AK6" s="196"/>
      <c r="AL6" s="196"/>
      <c r="AM6" s="196"/>
      <c r="AO6" s="196"/>
      <c r="AP6" s="197"/>
      <c r="AQ6" s="197"/>
      <c r="AR6" s="197"/>
      <c r="AS6" s="197"/>
      <c r="AT6" s="197"/>
      <c r="AU6" s="198"/>
      <c r="AW6" s="196"/>
      <c r="AX6" s="197"/>
      <c r="AY6" s="197"/>
      <c r="AZ6" s="197"/>
      <c r="BA6" s="197"/>
      <c r="BB6" s="197"/>
      <c r="BC6" s="198"/>
    </row>
    <row r="7" spans="2:55" x14ac:dyDescent="0.3">
      <c r="B7" s="199" t="str">
        <f t="shared" ref="B7:H12" ca="1" si="0">IF(MONTH($B$5)&lt;&gt;MONTH($B$5-(WEEKDAY($B$5,1)-($AA$6-1))-IF((WEEKDAY($B$5,1)-($AA$6-1))&lt;=0,7,0)+(ROW(B7)-ROW($B$7))*7+(COLUMN(B7)-COLUMN($B$7)+1)),"",$B$5-(WEEKDAY($B$5,1)-($AA$6-1))-IF((WEEKDAY($B$5,1)-($AA$6-1))&lt;=0,7,0)+(ROW(B7)-ROW($B$7))*7+(COLUMN(B7)-COLUMN($B$7)+1))</f>
        <v/>
      </c>
      <c r="C7" s="199" t="str">
        <f t="shared" ca="1" si="0"/>
        <v/>
      </c>
      <c r="D7" s="199" t="str">
        <f t="shared" ca="1" si="0"/>
        <v/>
      </c>
      <c r="E7" s="199">
        <f t="shared" ca="1" si="0"/>
        <v>46023</v>
      </c>
      <c r="F7" s="199">
        <f t="shared" ca="1" si="0"/>
        <v>46024</v>
      </c>
      <c r="G7" s="199">
        <f t="shared" ca="1" si="0"/>
        <v>46025</v>
      </c>
      <c r="H7" s="199">
        <f t="shared" ca="1" si="0"/>
        <v>46026</v>
      </c>
      <c r="J7" s="199" t="str">
        <f t="shared" ref="J7:P12" ca="1" si="1">IF(MONTH($J$5)&lt;&gt;MONTH($J$5-(WEEKDAY($J$5,1)-($AA$6-1))-IF((WEEKDAY($J$5,1)-($AA$6-1))&lt;=0,7,0)+(ROW(J7)-ROW($J$7))*7+(COLUMN(J7)-COLUMN($J$7)+1)),"",$J$5-(WEEKDAY($J$5,1)-($AA$6-1))-IF((WEEKDAY($J$5,1)-($AA$6-1))&lt;=0,7,0)+(ROW(J7)-ROW($J$7))*7+(COLUMN(J7)-COLUMN($J$7)+1))</f>
        <v/>
      </c>
      <c r="K7" s="199" t="str">
        <f t="shared" ca="1" si="1"/>
        <v/>
      </c>
      <c r="L7" s="199" t="str">
        <f t="shared" ca="1" si="1"/>
        <v/>
      </c>
      <c r="M7" s="199" t="str">
        <f t="shared" ca="1" si="1"/>
        <v/>
      </c>
      <c r="N7" s="199" t="str">
        <f t="shared" ca="1" si="1"/>
        <v/>
      </c>
      <c r="O7" s="199" t="str">
        <f t="shared" ca="1" si="1"/>
        <v/>
      </c>
      <c r="P7" s="199">
        <f t="shared" ca="1" si="1"/>
        <v>46054</v>
      </c>
      <c r="R7" s="199" t="str">
        <f t="shared" ref="R7:X12" ca="1" si="2">IF(MONTH($R$5)&lt;&gt;MONTH($R$5-(WEEKDAY($R$5,1)-($AA$6-1))-IF((WEEKDAY($R$5,1)-($AA$6-1))&lt;=0,7,0)+(ROW(R7)-ROW($R$7))*7+(COLUMN(R7)-COLUMN($R$7)+1)),"",$R$5-(WEEKDAY($R$5,1)-($AA$6-1))-IF((WEEKDAY($R$5,1)-($AA$6-1))&lt;=0,7,0)+(ROW(R7)-ROW($R$7))*7+(COLUMN(R7)-COLUMN($R$7)+1))</f>
        <v/>
      </c>
      <c r="S7" s="199" t="str">
        <f t="shared" ca="1" si="2"/>
        <v/>
      </c>
      <c r="T7" s="199" t="str">
        <f t="shared" ca="1" si="2"/>
        <v/>
      </c>
      <c r="U7" s="199" t="str">
        <f t="shared" ca="1" si="2"/>
        <v/>
      </c>
      <c r="V7" s="199" t="str">
        <f t="shared" ca="1" si="2"/>
        <v/>
      </c>
      <c r="W7" s="199" t="str">
        <f t="shared" ca="1" si="2"/>
        <v/>
      </c>
      <c r="X7" s="199">
        <f t="shared" ca="1" si="2"/>
        <v>46082</v>
      </c>
      <c r="AG7" s="200" t="str">
        <f t="shared" ref="AG7:AG12" ca="1" si="3">B7</f>
        <v/>
      </c>
      <c r="AH7" s="200" t="str">
        <f t="shared" ref="AH7:BC7" ca="1" si="4">C7</f>
        <v/>
      </c>
      <c r="AI7" s="200" t="str">
        <f t="shared" ca="1" si="4"/>
        <v/>
      </c>
      <c r="AJ7" s="200">
        <f t="shared" ca="1" si="4"/>
        <v>46023</v>
      </c>
      <c r="AK7" s="200">
        <f t="shared" ca="1" si="4"/>
        <v>46024</v>
      </c>
      <c r="AL7" s="200">
        <f t="shared" ca="1" si="4"/>
        <v>46025</v>
      </c>
      <c r="AM7" s="200">
        <f t="shared" ca="1" si="4"/>
        <v>46026</v>
      </c>
      <c r="AN7" s="200"/>
      <c r="AO7" s="200" t="str">
        <f t="shared" ca="1" si="4"/>
        <v/>
      </c>
      <c r="AP7" s="200" t="str">
        <f t="shared" ca="1" si="4"/>
        <v/>
      </c>
      <c r="AQ7" s="200" t="str">
        <f t="shared" ca="1" si="4"/>
        <v/>
      </c>
      <c r="AR7" s="200" t="str">
        <f t="shared" ca="1" si="4"/>
        <v/>
      </c>
      <c r="AS7" s="200" t="str">
        <f t="shared" ca="1" si="4"/>
        <v/>
      </c>
      <c r="AT7" s="200" t="str">
        <f t="shared" ca="1" si="4"/>
        <v/>
      </c>
      <c r="AU7" s="200">
        <f t="shared" ca="1" si="4"/>
        <v>46054</v>
      </c>
      <c r="AV7" s="200"/>
      <c r="AW7" s="200" t="str">
        <f t="shared" ca="1" si="4"/>
        <v/>
      </c>
      <c r="AX7" s="200" t="str">
        <f t="shared" ca="1" si="4"/>
        <v/>
      </c>
      <c r="AY7" s="200" t="str">
        <f t="shared" ca="1" si="4"/>
        <v/>
      </c>
      <c r="AZ7" s="200" t="str">
        <f t="shared" ca="1" si="4"/>
        <v/>
      </c>
      <c r="BA7" s="200" t="str">
        <f t="shared" ca="1" si="4"/>
        <v/>
      </c>
      <c r="BB7" s="200" t="str">
        <f t="shared" ca="1" si="4"/>
        <v/>
      </c>
      <c r="BC7" s="200">
        <f t="shared" ca="1" si="4"/>
        <v>46082</v>
      </c>
    </row>
    <row r="8" spans="2:55" x14ac:dyDescent="0.3">
      <c r="B8" s="199">
        <f t="shared" ca="1" si="0"/>
        <v>46027</v>
      </c>
      <c r="C8" s="199">
        <f t="shared" ca="1" si="0"/>
        <v>46028</v>
      </c>
      <c r="D8" s="199">
        <f t="shared" ca="1" si="0"/>
        <v>46029</v>
      </c>
      <c r="E8" s="199">
        <f t="shared" ca="1" si="0"/>
        <v>46030</v>
      </c>
      <c r="F8" s="199">
        <f t="shared" ca="1" si="0"/>
        <v>46031</v>
      </c>
      <c r="G8" s="199">
        <f t="shared" ca="1" si="0"/>
        <v>46032</v>
      </c>
      <c r="H8" s="199">
        <f t="shared" ca="1" si="0"/>
        <v>46033</v>
      </c>
      <c r="J8" s="199">
        <f t="shared" ca="1" si="1"/>
        <v>46055</v>
      </c>
      <c r="K8" s="199">
        <f t="shared" ca="1" si="1"/>
        <v>46056</v>
      </c>
      <c r="L8" s="199">
        <f t="shared" ca="1" si="1"/>
        <v>46057</v>
      </c>
      <c r="M8" s="199">
        <f t="shared" ca="1" si="1"/>
        <v>46058</v>
      </c>
      <c r="N8" s="199">
        <f t="shared" ca="1" si="1"/>
        <v>46059</v>
      </c>
      <c r="O8" s="199">
        <f t="shared" ca="1" si="1"/>
        <v>46060</v>
      </c>
      <c r="P8" s="199">
        <f t="shared" ca="1" si="1"/>
        <v>46061</v>
      </c>
      <c r="R8" s="199">
        <f t="shared" ca="1" si="2"/>
        <v>46083</v>
      </c>
      <c r="S8" s="199">
        <f t="shared" ca="1" si="2"/>
        <v>46084</v>
      </c>
      <c r="T8" s="199">
        <f t="shared" ca="1" si="2"/>
        <v>46085</v>
      </c>
      <c r="U8" s="199">
        <f t="shared" ca="1" si="2"/>
        <v>46086</v>
      </c>
      <c r="V8" s="199">
        <f t="shared" ca="1" si="2"/>
        <v>46087</v>
      </c>
      <c r="W8" s="199">
        <f t="shared" ca="1" si="2"/>
        <v>46088</v>
      </c>
      <c r="X8" s="199">
        <f t="shared" ca="1" si="2"/>
        <v>46089</v>
      </c>
      <c r="AG8" s="200">
        <f t="shared" ca="1" si="3"/>
        <v>46027</v>
      </c>
      <c r="AH8" s="200">
        <f t="shared" ref="AH8:AM12" ca="1" si="5">C8</f>
        <v>46028</v>
      </c>
      <c r="AI8" s="200">
        <f t="shared" ca="1" si="5"/>
        <v>46029</v>
      </c>
      <c r="AJ8" s="200">
        <f t="shared" ca="1" si="5"/>
        <v>46030</v>
      </c>
      <c r="AK8" s="200">
        <f t="shared" ca="1" si="5"/>
        <v>46031</v>
      </c>
      <c r="AL8" s="200">
        <f t="shared" ca="1" si="5"/>
        <v>46032</v>
      </c>
      <c r="AM8" s="200">
        <f t="shared" ca="1" si="5"/>
        <v>46033</v>
      </c>
      <c r="AN8" s="200"/>
      <c r="AO8" s="200">
        <f t="shared" ref="AO8:AU12" ca="1" si="6">J8</f>
        <v>46055</v>
      </c>
      <c r="AP8" s="200">
        <f t="shared" ca="1" si="6"/>
        <v>46056</v>
      </c>
      <c r="AQ8" s="200">
        <f t="shared" ca="1" si="6"/>
        <v>46057</v>
      </c>
      <c r="AR8" s="200">
        <f t="shared" ca="1" si="6"/>
        <v>46058</v>
      </c>
      <c r="AS8" s="200">
        <f t="shared" ca="1" si="6"/>
        <v>46059</v>
      </c>
      <c r="AT8" s="200">
        <f t="shared" ca="1" si="6"/>
        <v>46060</v>
      </c>
      <c r="AU8" s="200">
        <f t="shared" ca="1" si="6"/>
        <v>46061</v>
      </c>
      <c r="AV8" s="200"/>
      <c r="AW8" s="200">
        <f t="shared" ref="AW8:BC12" ca="1" si="7">R8</f>
        <v>46083</v>
      </c>
      <c r="AX8" s="200">
        <f t="shared" ca="1" si="7"/>
        <v>46084</v>
      </c>
      <c r="AY8" s="200">
        <f t="shared" ca="1" si="7"/>
        <v>46085</v>
      </c>
      <c r="AZ8" s="200">
        <f t="shared" ca="1" si="7"/>
        <v>46086</v>
      </c>
      <c r="BA8" s="200">
        <f t="shared" ca="1" si="7"/>
        <v>46087</v>
      </c>
      <c r="BB8" s="200">
        <f t="shared" ca="1" si="7"/>
        <v>46088</v>
      </c>
      <c r="BC8" s="200">
        <f t="shared" ca="1" si="7"/>
        <v>46089</v>
      </c>
    </row>
    <row r="9" spans="2:55" x14ac:dyDescent="0.3">
      <c r="B9" s="199">
        <f t="shared" ca="1" si="0"/>
        <v>46034</v>
      </c>
      <c r="C9" s="199">
        <f t="shared" ca="1" si="0"/>
        <v>46035</v>
      </c>
      <c r="D9" s="199">
        <f t="shared" ca="1" si="0"/>
        <v>46036</v>
      </c>
      <c r="E9" s="199">
        <f t="shared" ca="1" si="0"/>
        <v>46037</v>
      </c>
      <c r="F9" s="199">
        <f t="shared" ca="1" si="0"/>
        <v>46038</v>
      </c>
      <c r="G9" s="199">
        <f t="shared" ca="1" si="0"/>
        <v>46039</v>
      </c>
      <c r="H9" s="199">
        <f t="shared" ca="1" si="0"/>
        <v>46040</v>
      </c>
      <c r="J9" s="199">
        <f t="shared" ca="1" si="1"/>
        <v>46062</v>
      </c>
      <c r="K9" s="199">
        <f t="shared" ca="1" si="1"/>
        <v>46063</v>
      </c>
      <c r="L9" s="199">
        <f t="shared" ca="1" si="1"/>
        <v>46064</v>
      </c>
      <c r="M9" s="199">
        <f t="shared" ca="1" si="1"/>
        <v>46065</v>
      </c>
      <c r="N9" s="199">
        <f t="shared" ca="1" si="1"/>
        <v>46066</v>
      </c>
      <c r="O9" s="199">
        <f t="shared" ca="1" si="1"/>
        <v>46067</v>
      </c>
      <c r="P9" s="199">
        <f t="shared" ca="1" si="1"/>
        <v>46068</v>
      </c>
      <c r="R9" s="199">
        <f t="shared" ca="1" si="2"/>
        <v>46090</v>
      </c>
      <c r="S9" s="199">
        <f t="shared" ca="1" si="2"/>
        <v>46091</v>
      </c>
      <c r="T9" s="199">
        <f t="shared" ca="1" si="2"/>
        <v>46092</v>
      </c>
      <c r="U9" s="199">
        <f t="shared" ca="1" si="2"/>
        <v>46093</v>
      </c>
      <c r="V9" s="199">
        <f t="shared" ca="1" si="2"/>
        <v>46094</v>
      </c>
      <c r="W9" s="199">
        <f t="shared" ca="1" si="2"/>
        <v>46095</v>
      </c>
      <c r="X9" s="199">
        <f t="shared" ca="1" si="2"/>
        <v>46096</v>
      </c>
      <c r="AG9" s="200">
        <f t="shared" ca="1" si="3"/>
        <v>46034</v>
      </c>
      <c r="AH9" s="200">
        <f t="shared" ca="1" si="5"/>
        <v>46035</v>
      </c>
      <c r="AI9" s="200">
        <f t="shared" ca="1" si="5"/>
        <v>46036</v>
      </c>
      <c r="AJ9" s="200">
        <f t="shared" ca="1" si="5"/>
        <v>46037</v>
      </c>
      <c r="AK9" s="200">
        <f t="shared" ca="1" si="5"/>
        <v>46038</v>
      </c>
      <c r="AL9" s="200">
        <f t="shared" ca="1" si="5"/>
        <v>46039</v>
      </c>
      <c r="AM9" s="200">
        <f t="shared" ca="1" si="5"/>
        <v>46040</v>
      </c>
      <c r="AN9" s="200"/>
      <c r="AO9" s="200">
        <f t="shared" ca="1" si="6"/>
        <v>46062</v>
      </c>
      <c r="AP9" s="200">
        <f t="shared" ca="1" si="6"/>
        <v>46063</v>
      </c>
      <c r="AQ9" s="200">
        <f t="shared" ca="1" si="6"/>
        <v>46064</v>
      </c>
      <c r="AR9" s="200">
        <f t="shared" ca="1" si="6"/>
        <v>46065</v>
      </c>
      <c r="AS9" s="200">
        <f t="shared" ca="1" si="6"/>
        <v>46066</v>
      </c>
      <c r="AT9" s="200">
        <f t="shared" ca="1" si="6"/>
        <v>46067</v>
      </c>
      <c r="AU9" s="200">
        <f t="shared" ca="1" si="6"/>
        <v>46068</v>
      </c>
      <c r="AV9" s="200"/>
      <c r="AW9" s="200">
        <f t="shared" ca="1" si="7"/>
        <v>46090</v>
      </c>
      <c r="AX9" s="200">
        <f t="shared" ca="1" si="7"/>
        <v>46091</v>
      </c>
      <c r="AY9" s="200">
        <f t="shared" ca="1" si="7"/>
        <v>46092</v>
      </c>
      <c r="AZ9" s="200">
        <f t="shared" ca="1" si="7"/>
        <v>46093</v>
      </c>
      <c r="BA9" s="200">
        <f t="shared" ca="1" si="7"/>
        <v>46094</v>
      </c>
      <c r="BB9" s="200">
        <f t="shared" ca="1" si="7"/>
        <v>46095</v>
      </c>
      <c r="BC9" s="200">
        <f t="shared" ca="1" si="7"/>
        <v>46096</v>
      </c>
    </row>
    <row r="10" spans="2:55" x14ac:dyDescent="0.3">
      <c r="B10" s="199">
        <f t="shared" ca="1" si="0"/>
        <v>46041</v>
      </c>
      <c r="C10" s="199">
        <f t="shared" ca="1" si="0"/>
        <v>46042</v>
      </c>
      <c r="D10" s="199">
        <f t="shared" ca="1" si="0"/>
        <v>46043</v>
      </c>
      <c r="E10" s="199">
        <f t="shared" ca="1" si="0"/>
        <v>46044</v>
      </c>
      <c r="F10" s="199">
        <f t="shared" ca="1" si="0"/>
        <v>46045</v>
      </c>
      <c r="G10" s="199">
        <f t="shared" ca="1" si="0"/>
        <v>46046</v>
      </c>
      <c r="H10" s="199">
        <f t="shared" ca="1" si="0"/>
        <v>46047</v>
      </c>
      <c r="J10" s="199">
        <f t="shared" ca="1" si="1"/>
        <v>46069</v>
      </c>
      <c r="K10" s="199">
        <f t="shared" ca="1" si="1"/>
        <v>46070</v>
      </c>
      <c r="L10" s="199">
        <f t="shared" ca="1" si="1"/>
        <v>46071</v>
      </c>
      <c r="M10" s="199">
        <f t="shared" ca="1" si="1"/>
        <v>46072</v>
      </c>
      <c r="N10" s="199">
        <f t="shared" ca="1" si="1"/>
        <v>46073</v>
      </c>
      <c r="O10" s="199">
        <f t="shared" ca="1" si="1"/>
        <v>46074</v>
      </c>
      <c r="P10" s="199">
        <f t="shared" ca="1" si="1"/>
        <v>46075</v>
      </c>
      <c r="R10" s="199">
        <f t="shared" ca="1" si="2"/>
        <v>46097</v>
      </c>
      <c r="S10" s="199">
        <f t="shared" ca="1" si="2"/>
        <v>46098</v>
      </c>
      <c r="T10" s="199">
        <f t="shared" ca="1" si="2"/>
        <v>46099</v>
      </c>
      <c r="U10" s="199">
        <f t="shared" ca="1" si="2"/>
        <v>46100</v>
      </c>
      <c r="V10" s="199">
        <f t="shared" ca="1" si="2"/>
        <v>46101</v>
      </c>
      <c r="W10" s="199">
        <f t="shared" ca="1" si="2"/>
        <v>46102</v>
      </c>
      <c r="X10" s="199">
        <f t="shared" ca="1" si="2"/>
        <v>46103</v>
      </c>
      <c r="AG10" s="200">
        <f t="shared" ca="1" si="3"/>
        <v>46041</v>
      </c>
      <c r="AH10" s="200">
        <f t="shared" ca="1" si="5"/>
        <v>46042</v>
      </c>
      <c r="AI10" s="200">
        <f t="shared" ca="1" si="5"/>
        <v>46043</v>
      </c>
      <c r="AJ10" s="200">
        <f t="shared" ca="1" si="5"/>
        <v>46044</v>
      </c>
      <c r="AK10" s="200">
        <f t="shared" ca="1" si="5"/>
        <v>46045</v>
      </c>
      <c r="AL10" s="200">
        <f t="shared" ca="1" si="5"/>
        <v>46046</v>
      </c>
      <c r="AM10" s="200">
        <f t="shared" ca="1" si="5"/>
        <v>46047</v>
      </c>
      <c r="AN10" s="200"/>
      <c r="AO10" s="200">
        <f t="shared" ca="1" si="6"/>
        <v>46069</v>
      </c>
      <c r="AP10" s="200">
        <f t="shared" ca="1" si="6"/>
        <v>46070</v>
      </c>
      <c r="AQ10" s="200">
        <f t="shared" ca="1" si="6"/>
        <v>46071</v>
      </c>
      <c r="AR10" s="200">
        <f t="shared" ca="1" si="6"/>
        <v>46072</v>
      </c>
      <c r="AS10" s="200">
        <f t="shared" ca="1" si="6"/>
        <v>46073</v>
      </c>
      <c r="AT10" s="200">
        <f t="shared" ca="1" si="6"/>
        <v>46074</v>
      </c>
      <c r="AU10" s="200">
        <f t="shared" ca="1" si="6"/>
        <v>46075</v>
      </c>
      <c r="AV10" s="200"/>
      <c r="AW10" s="200">
        <f t="shared" ca="1" si="7"/>
        <v>46097</v>
      </c>
      <c r="AX10" s="200">
        <f t="shared" ca="1" si="7"/>
        <v>46098</v>
      </c>
      <c r="AY10" s="200">
        <f t="shared" ca="1" si="7"/>
        <v>46099</v>
      </c>
      <c r="AZ10" s="200">
        <f t="shared" ca="1" si="7"/>
        <v>46100</v>
      </c>
      <c r="BA10" s="200">
        <f t="shared" ca="1" si="7"/>
        <v>46101</v>
      </c>
      <c r="BB10" s="200">
        <f t="shared" ca="1" si="7"/>
        <v>46102</v>
      </c>
      <c r="BC10" s="200">
        <f t="shared" ca="1" si="7"/>
        <v>46103</v>
      </c>
    </row>
    <row r="11" spans="2:55" x14ac:dyDescent="0.3">
      <c r="B11" s="199">
        <f t="shared" ca="1" si="0"/>
        <v>46048</v>
      </c>
      <c r="C11" s="199">
        <f t="shared" ca="1" si="0"/>
        <v>46049</v>
      </c>
      <c r="D11" s="199">
        <f t="shared" ca="1" si="0"/>
        <v>46050</v>
      </c>
      <c r="E11" s="199">
        <f t="shared" ca="1" si="0"/>
        <v>46051</v>
      </c>
      <c r="F11" s="199">
        <f t="shared" ca="1" si="0"/>
        <v>46052</v>
      </c>
      <c r="G11" s="199">
        <f t="shared" ca="1" si="0"/>
        <v>46053</v>
      </c>
      <c r="H11" s="199" t="str">
        <f t="shared" ca="1" si="0"/>
        <v/>
      </c>
      <c r="J11" s="199">
        <f t="shared" ca="1" si="1"/>
        <v>46076</v>
      </c>
      <c r="K11" s="199">
        <f t="shared" ca="1" si="1"/>
        <v>46077</v>
      </c>
      <c r="L11" s="199">
        <f t="shared" ca="1" si="1"/>
        <v>46078</v>
      </c>
      <c r="M11" s="199">
        <f t="shared" ca="1" si="1"/>
        <v>46079</v>
      </c>
      <c r="N11" s="199">
        <f t="shared" ca="1" si="1"/>
        <v>46080</v>
      </c>
      <c r="O11" s="199">
        <f t="shared" ca="1" si="1"/>
        <v>46081</v>
      </c>
      <c r="P11" s="199" t="str">
        <f t="shared" ca="1" si="1"/>
        <v/>
      </c>
      <c r="R11" s="199">
        <f t="shared" ca="1" si="2"/>
        <v>46104</v>
      </c>
      <c r="S11" s="199">
        <f t="shared" ca="1" si="2"/>
        <v>46105</v>
      </c>
      <c r="T11" s="199">
        <f t="shared" ca="1" si="2"/>
        <v>46106</v>
      </c>
      <c r="U11" s="199">
        <f t="shared" ca="1" si="2"/>
        <v>46107</v>
      </c>
      <c r="V11" s="199">
        <f t="shared" ca="1" si="2"/>
        <v>46108</v>
      </c>
      <c r="W11" s="199">
        <f t="shared" ca="1" si="2"/>
        <v>46109</v>
      </c>
      <c r="X11" s="199">
        <f t="shared" ca="1" si="2"/>
        <v>46110</v>
      </c>
      <c r="AG11" s="200">
        <f t="shared" ca="1" si="3"/>
        <v>46048</v>
      </c>
      <c r="AH11" s="200">
        <f t="shared" ca="1" si="5"/>
        <v>46049</v>
      </c>
      <c r="AI11" s="200">
        <f t="shared" ca="1" si="5"/>
        <v>46050</v>
      </c>
      <c r="AJ11" s="200">
        <f t="shared" ca="1" si="5"/>
        <v>46051</v>
      </c>
      <c r="AK11" s="200">
        <f t="shared" ca="1" si="5"/>
        <v>46052</v>
      </c>
      <c r="AL11" s="200">
        <f t="shared" ca="1" si="5"/>
        <v>46053</v>
      </c>
      <c r="AM11" s="200" t="str">
        <f t="shared" ca="1" si="5"/>
        <v/>
      </c>
      <c r="AN11" s="200"/>
      <c r="AO11" s="200">
        <f t="shared" ca="1" si="6"/>
        <v>46076</v>
      </c>
      <c r="AP11" s="200">
        <f t="shared" ca="1" si="6"/>
        <v>46077</v>
      </c>
      <c r="AQ11" s="200">
        <f t="shared" ca="1" si="6"/>
        <v>46078</v>
      </c>
      <c r="AR11" s="200">
        <f t="shared" ca="1" si="6"/>
        <v>46079</v>
      </c>
      <c r="AS11" s="200">
        <f t="shared" ca="1" si="6"/>
        <v>46080</v>
      </c>
      <c r="AT11" s="200">
        <f t="shared" ca="1" si="6"/>
        <v>46081</v>
      </c>
      <c r="AU11" s="200" t="str">
        <f t="shared" ca="1" si="6"/>
        <v/>
      </c>
      <c r="AV11" s="200"/>
      <c r="AW11" s="200">
        <f t="shared" ca="1" si="7"/>
        <v>46104</v>
      </c>
      <c r="AX11" s="200">
        <f t="shared" ca="1" si="7"/>
        <v>46105</v>
      </c>
      <c r="AY11" s="200">
        <f t="shared" ca="1" si="7"/>
        <v>46106</v>
      </c>
      <c r="AZ11" s="200">
        <f t="shared" ca="1" si="7"/>
        <v>46107</v>
      </c>
      <c r="BA11" s="200">
        <f t="shared" ca="1" si="7"/>
        <v>46108</v>
      </c>
      <c r="BB11" s="200">
        <f t="shared" ca="1" si="7"/>
        <v>46109</v>
      </c>
      <c r="BC11" s="200">
        <f t="shared" ca="1" si="7"/>
        <v>46110</v>
      </c>
    </row>
    <row r="12" spans="2:55" x14ac:dyDescent="0.3">
      <c r="B12" s="199" t="str">
        <f t="shared" ca="1" si="0"/>
        <v/>
      </c>
      <c r="C12" s="199" t="str">
        <f t="shared" ca="1" si="0"/>
        <v/>
      </c>
      <c r="D12" s="199" t="str">
        <f t="shared" ca="1" si="0"/>
        <v/>
      </c>
      <c r="E12" s="199" t="str">
        <f t="shared" ca="1" si="0"/>
        <v/>
      </c>
      <c r="F12" s="199" t="str">
        <f t="shared" ca="1" si="0"/>
        <v/>
      </c>
      <c r="G12" s="199" t="str">
        <f t="shared" ca="1" si="0"/>
        <v/>
      </c>
      <c r="H12" s="199" t="str">
        <f t="shared" ca="1" si="0"/>
        <v/>
      </c>
      <c r="J12" s="199" t="str">
        <f t="shared" ca="1" si="1"/>
        <v/>
      </c>
      <c r="K12" s="199" t="str">
        <f t="shared" ca="1" si="1"/>
        <v/>
      </c>
      <c r="L12" s="199" t="str">
        <f t="shared" ca="1" si="1"/>
        <v/>
      </c>
      <c r="M12" s="199" t="str">
        <f t="shared" ca="1" si="1"/>
        <v/>
      </c>
      <c r="N12" s="199" t="str">
        <f t="shared" ca="1" si="1"/>
        <v/>
      </c>
      <c r="O12" s="199" t="str">
        <f t="shared" ca="1" si="1"/>
        <v/>
      </c>
      <c r="P12" s="199" t="str">
        <f t="shared" ca="1" si="1"/>
        <v/>
      </c>
      <c r="R12" s="199">
        <f t="shared" ca="1" si="2"/>
        <v>46111</v>
      </c>
      <c r="S12" s="199">
        <f t="shared" ca="1" si="2"/>
        <v>46112</v>
      </c>
      <c r="T12" s="199" t="str">
        <f t="shared" ca="1" si="2"/>
        <v/>
      </c>
      <c r="U12" s="199" t="str">
        <f t="shared" ca="1" si="2"/>
        <v/>
      </c>
      <c r="V12" s="199" t="str">
        <f t="shared" ca="1" si="2"/>
        <v/>
      </c>
      <c r="W12" s="199" t="str">
        <f t="shared" ca="1" si="2"/>
        <v/>
      </c>
      <c r="X12" s="199" t="str">
        <f t="shared" ca="1" si="2"/>
        <v/>
      </c>
      <c r="AG12" s="200" t="str">
        <f t="shared" ca="1" si="3"/>
        <v/>
      </c>
      <c r="AH12" s="200" t="str">
        <f t="shared" ca="1" si="5"/>
        <v/>
      </c>
      <c r="AI12" s="200" t="str">
        <f t="shared" ca="1" si="5"/>
        <v/>
      </c>
      <c r="AJ12" s="200" t="str">
        <f t="shared" ca="1" si="5"/>
        <v/>
      </c>
      <c r="AK12" s="200" t="str">
        <f t="shared" ca="1" si="5"/>
        <v/>
      </c>
      <c r="AL12" s="200" t="str">
        <f t="shared" ca="1" si="5"/>
        <v/>
      </c>
      <c r="AM12" s="200" t="str">
        <f t="shared" ca="1" si="5"/>
        <v/>
      </c>
      <c r="AN12" s="200"/>
      <c r="AO12" s="200" t="str">
        <f t="shared" ca="1" si="6"/>
        <v/>
      </c>
      <c r="AP12" s="200" t="str">
        <f t="shared" ca="1" si="6"/>
        <v/>
      </c>
      <c r="AQ12" s="200" t="str">
        <f t="shared" ca="1" si="6"/>
        <v/>
      </c>
      <c r="AR12" s="200" t="str">
        <f t="shared" ca="1" si="6"/>
        <v/>
      </c>
      <c r="AS12" s="200" t="str">
        <f t="shared" ca="1" si="6"/>
        <v/>
      </c>
      <c r="AT12" s="200" t="str">
        <f t="shared" ca="1" si="6"/>
        <v/>
      </c>
      <c r="AU12" s="200" t="str">
        <f t="shared" ca="1" si="6"/>
        <v/>
      </c>
      <c r="AV12" s="200"/>
      <c r="AW12" s="200">
        <f t="shared" ca="1" si="7"/>
        <v>46111</v>
      </c>
      <c r="AX12" s="200">
        <f t="shared" ca="1" si="7"/>
        <v>46112</v>
      </c>
      <c r="AY12" s="200" t="str">
        <f t="shared" ca="1" si="7"/>
        <v/>
      </c>
      <c r="AZ12" s="200" t="str">
        <f t="shared" ca="1" si="7"/>
        <v/>
      </c>
      <c r="BA12" s="200" t="str">
        <f t="shared" ca="1" si="7"/>
        <v/>
      </c>
      <c r="BB12" s="200" t="str">
        <f t="shared" ca="1" si="7"/>
        <v/>
      </c>
      <c r="BC12" s="200" t="str">
        <f t="shared" ca="1" si="7"/>
        <v/>
      </c>
    </row>
    <row r="13" spans="2:55" ht="8.1" customHeight="1" x14ac:dyDescent="0.3"/>
    <row r="14" spans="2:55" ht="15.6" x14ac:dyDescent="0.3">
      <c r="B14" s="1245">
        <f ca="1">DATE(YEAR(R5+35),MONTH(R5+35),1)</f>
        <v>46113</v>
      </c>
      <c r="C14" s="1246"/>
      <c r="D14" s="1246"/>
      <c r="E14" s="1246"/>
      <c r="F14" s="1246"/>
      <c r="G14" s="1246"/>
      <c r="H14" s="1247"/>
      <c r="J14" s="1245">
        <f ca="1">DATE(YEAR(B14+35),MONTH(B14+35),1)</f>
        <v>46143</v>
      </c>
      <c r="K14" s="1246"/>
      <c r="L14" s="1246"/>
      <c r="M14" s="1246"/>
      <c r="N14" s="1246"/>
      <c r="O14" s="1246"/>
      <c r="P14" s="1247"/>
      <c r="R14" s="1245">
        <f ca="1">DATE(YEAR(J14+35),MONTH(J14+35),1)</f>
        <v>46174</v>
      </c>
      <c r="S14" s="1246"/>
      <c r="T14" s="1246"/>
      <c r="U14" s="1246"/>
      <c r="V14" s="1246"/>
      <c r="W14" s="1246"/>
      <c r="X14" s="1247"/>
      <c r="AG14" s="1240"/>
      <c r="AH14" s="1241"/>
      <c r="AI14" s="1241"/>
      <c r="AJ14" s="1241"/>
      <c r="AK14" s="1241"/>
      <c r="AL14" s="1241"/>
      <c r="AM14" s="1242"/>
      <c r="AO14" s="1240"/>
      <c r="AP14" s="1241"/>
      <c r="AQ14" s="1241"/>
      <c r="AR14" s="1241"/>
      <c r="AS14" s="1241"/>
      <c r="AT14" s="1241"/>
      <c r="AU14" s="1242"/>
      <c r="AW14" s="1240"/>
      <c r="AX14" s="1241"/>
      <c r="AY14" s="1241"/>
      <c r="AZ14" s="1241"/>
      <c r="BA14" s="1241"/>
      <c r="BB14" s="1241"/>
      <c r="BC14" s="1242"/>
    </row>
    <row r="15" spans="2:55" x14ac:dyDescent="0.3">
      <c r="B15" s="191" t="str">
        <f ca="1">$B$6</f>
        <v>Mo</v>
      </c>
      <c r="C15" s="192" t="str">
        <f ca="1">$C$6</f>
        <v>Tu</v>
      </c>
      <c r="D15" s="192" t="str">
        <f ca="1">$D$6</f>
        <v>We</v>
      </c>
      <c r="E15" s="192" t="str">
        <f ca="1">$E$6</f>
        <v>Th</v>
      </c>
      <c r="F15" s="192" t="str">
        <f ca="1">$F$6</f>
        <v>Fr</v>
      </c>
      <c r="G15" s="192" t="str">
        <f ca="1">$G$6</f>
        <v>Sa</v>
      </c>
      <c r="H15" s="193" t="str">
        <f ca="1">$H$6</f>
        <v>Su</v>
      </c>
      <c r="J15" s="191" t="str">
        <f ca="1">$B$6</f>
        <v>Mo</v>
      </c>
      <c r="K15" s="192" t="str">
        <f ca="1">$C$6</f>
        <v>Tu</v>
      </c>
      <c r="L15" s="192" t="str">
        <f ca="1">$D$6</f>
        <v>We</v>
      </c>
      <c r="M15" s="192" t="str">
        <f ca="1">$E$6</f>
        <v>Th</v>
      </c>
      <c r="N15" s="192" t="str">
        <f ca="1">$F$6</f>
        <v>Fr</v>
      </c>
      <c r="O15" s="192" t="str">
        <f ca="1">$G$6</f>
        <v>Sa</v>
      </c>
      <c r="P15" s="193" t="str">
        <f ca="1">$H$6</f>
        <v>Su</v>
      </c>
      <c r="R15" s="191" t="str">
        <f ca="1">$B$6</f>
        <v>Mo</v>
      </c>
      <c r="S15" s="192" t="str">
        <f ca="1">$C$6</f>
        <v>Tu</v>
      </c>
      <c r="T15" s="192" t="str">
        <f ca="1">$D$6</f>
        <v>We</v>
      </c>
      <c r="U15" s="192" t="str">
        <f ca="1">$E$6</f>
        <v>Th</v>
      </c>
      <c r="V15" s="192" t="str">
        <f ca="1">$F$6</f>
        <v>Fr</v>
      </c>
      <c r="W15" s="192" t="str">
        <f ca="1">$G$6</f>
        <v>Sa</v>
      </c>
      <c r="X15" s="193" t="str">
        <f ca="1">$H$6</f>
        <v>Su</v>
      </c>
      <c r="AG15" s="196"/>
      <c r="AH15" s="197"/>
      <c r="AI15" s="197"/>
      <c r="AJ15" s="197"/>
      <c r="AK15" s="197"/>
      <c r="AL15" s="197"/>
      <c r="AM15" s="198"/>
      <c r="AO15" s="196"/>
      <c r="AP15" s="197"/>
      <c r="AQ15" s="197"/>
      <c r="AR15" s="197"/>
      <c r="AS15" s="197"/>
      <c r="AT15" s="197"/>
      <c r="AU15" s="198"/>
      <c r="AW15" s="196"/>
      <c r="AX15" s="197"/>
      <c r="AY15" s="197"/>
      <c r="AZ15" s="197"/>
      <c r="BA15" s="197"/>
      <c r="BB15" s="197"/>
      <c r="BC15" s="198"/>
    </row>
    <row r="16" spans="2:55" x14ac:dyDescent="0.3">
      <c r="B16" s="199" t="str">
        <f t="shared" ref="B16:H21" ca="1" si="8">IF(MONTH($B$14)&lt;&gt;MONTH($B$14-(WEEKDAY($B$14,1)-($AA$6-1))-IF((WEEKDAY($B$14,1)-($AA$6-1))&lt;=0,7,0)+(ROW(B16)-ROW($B$16))*7+(COLUMN(B16)-COLUMN($B$16)+1)),"",$B$14-(WEEKDAY($B$14,1)-($AA$6-1))-IF((WEEKDAY($B$14,1)-($AA$6-1))&lt;=0,7,0)+(ROW(B16)-ROW($B$16))*7+(COLUMN(B16)-COLUMN($B$16)+1))</f>
        <v/>
      </c>
      <c r="C16" s="199" t="str">
        <f t="shared" ca="1" si="8"/>
        <v/>
      </c>
      <c r="D16" s="199">
        <f t="shared" ca="1" si="8"/>
        <v>46113</v>
      </c>
      <c r="E16" s="199">
        <f t="shared" ca="1" si="8"/>
        <v>46114</v>
      </c>
      <c r="F16" s="199">
        <f t="shared" ca="1" si="8"/>
        <v>46115</v>
      </c>
      <c r="G16" s="199">
        <f t="shared" ca="1" si="8"/>
        <v>46116</v>
      </c>
      <c r="H16" s="199">
        <f t="shared" ca="1" si="8"/>
        <v>46117</v>
      </c>
      <c r="J16" s="199" t="str">
        <f t="shared" ref="J16:P21" ca="1" si="9">IF(MONTH($J$14)&lt;&gt;MONTH($J$14-(WEEKDAY($J$14,1)-($AA$6-1))-IF((WEEKDAY($J$14,1)-($AA$6-1))&lt;=0,7,0)+(ROW(J16)-ROW($J$16))*7+(COLUMN(J16)-COLUMN($J$16)+1)),"",$J$14-(WEEKDAY($J$14,1)-($AA$6-1))-IF((WEEKDAY($J$14,1)-($AA$6-1))&lt;=0,7,0)+(ROW(J16)-ROW($J$16))*7+(COLUMN(J16)-COLUMN($J$16)+1))</f>
        <v/>
      </c>
      <c r="K16" s="199" t="str">
        <f t="shared" ca="1" si="9"/>
        <v/>
      </c>
      <c r="L16" s="199" t="str">
        <f t="shared" ca="1" si="9"/>
        <v/>
      </c>
      <c r="M16" s="199" t="str">
        <f t="shared" ca="1" si="9"/>
        <v/>
      </c>
      <c r="N16" s="199">
        <f t="shared" ca="1" si="9"/>
        <v>46143</v>
      </c>
      <c r="O16" s="199">
        <f t="shared" ca="1" si="9"/>
        <v>46144</v>
      </c>
      <c r="P16" s="199">
        <f t="shared" ca="1" si="9"/>
        <v>46145</v>
      </c>
      <c r="R16" s="199">
        <f t="shared" ref="R16:X21" ca="1" si="10">IF(MONTH($R$14)&lt;&gt;MONTH($R$14-(WEEKDAY($R$14,1)-($AA$6-1))-IF((WEEKDAY($R$14,1)-($AA$6-1))&lt;=0,7,0)+(ROW(R16)-ROW($R$16))*7+(COLUMN(R16)-COLUMN($R$16)+1)),"",$R$14-(WEEKDAY($R$14,1)-($AA$6-1))-IF((WEEKDAY($R$14,1)-($AA$6-1))&lt;=0,7,0)+(ROW(R16)-ROW($R$16))*7+(COLUMN(R16)-COLUMN($R$16)+1))</f>
        <v>46174</v>
      </c>
      <c r="S16" s="199">
        <f t="shared" ca="1" si="10"/>
        <v>46175</v>
      </c>
      <c r="T16" s="199">
        <f t="shared" ca="1" si="10"/>
        <v>46176</v>
      </c>
      <c r="U16" s="199">
        <f t="shared" ca="1" si="10"/>
        <v>46177</v>
      </c>
      <c r="V16" s="199">
        <f t="shared" ca="1" si="10"/>
        <v>46178</v>
      </c>
      <c r="W16" s="199">
        <f t="shared" ca="1" si="10"/>
        <v>46179</v>
      </c>
      <c r="X16" s="199">
        <f t="shared" ca="1" si="10"/>
        <v>46180</v>
      </c>
      <c r="AG16" s="200" t="str">
        <f t="shared" ref="AG16:AG21" ca="1" si="11">B16</f>
        <v/>
      </c>
      <c r="AH16" s="200" t="str">
        <f t="shared" ref="AH16:AH21" ca="1" si="12">C16</f>
        <v/>
      </c>
      <c r="AI16" s="200">
        <f t="shared" ref="AI16:AI21" ca="1" si="13">D16</f>
        <v>46113</v>
      </c>
      <c r="AJ16" s="200">
        <f t="shared" ref="AJ16:AJ21" ca="1" si="14">E16</f>
        <v>46114</v>
      </c>
      <c r="AK16" s="200">
        <f t="shared" ref="AK16:AK21" ca="1" si="15">F16</f>
        <v>46115</v>
      </c>
      <c r="AL16" s="200">
        <f t="shared" ref="AL16:AL21" ca="1" si="16">G16</f>
        <v>46116</v>
      </c>
      <c r="AM16" s="200">
        <f t="shared" ref="AM16:AM21" ca="1" si="17">H16</f>
        <v>46117</v>
      </c>
      <c r="AN16" s="200"/>
      <c r="AO16" s="200" t="str">
        <f t="shared" ref="AO16:AO21" ca="1" si="18">J16</f>
        <v/>
      </c>
      <c r="AP16" s="200" t="str">
        <f t="shared" ref="AP16:AP21" ca="1" si="19">K16</f>
        <v/>
      </c>
      <c r="AQ16" s="200" t="str">
        <f t="shared" ref="AQ16:AQ21" ca="1" si="20">L16</f>
        <v/>
      </c>
      <c r="AR16" s="200" t="str">
        <f t="shared" ref="AR16:AR21" ca="1" si="21">M16</f>
        <v/>
      </c>
      <c r="AS16" s="200">
        <f t="shared" ref="AS16:AS21" ca="1" si="22">N16</f>
        <v>46143</v>
      </c>
      <c r="AT16" s="200">
        <f t="shared" ref="AT16:AT21" ca="1" si="23">O16</f>
        <v>46144</v>
      </c>
      <c r="AU16" s="200">
        <f t="shared" ref="AU16:AU21" ca="1" si="24">P16</f>
        <v>46145</v>
      </c>
      <c r="AV16" s="200"/>
      <c r="AW16" s="200">
        <f t="shared" ref="AW16:AW21" ca="1" si="25">R16</f>
        <v>46174</v>
      </c>
      <c r="AX16" s="200">
        <f t="shared" ref="AX16:AX21" ca="1" si="26">S16</f>
        <v>46175</v>
      </c>
      <c r="AY16" s="200">
        <f t="shared" ref="AY16:AY21" ca="1" si="27">T16</f>
        <v>46176</v>
      </c>
      <c r="AZ16" s="200">
        <f t="shared" ref="AZ16:AZ21" ca="1" si="28">U16</f>
        <v>46177</v>
      </c>
      <c r="BA16" s="200">
        <f t="shared" ref="BA16:BA21" ca="1" si="29">V16</f>
        <v>46178</v>
      </c>
      <c r="BB16" s="200">
        <f t="shared" ref="BB16:BB21" ca="1" si="30">W16</f>
        <v>46179</v>
      </c>
      <c r="BC16" s="200">
        <f t="shared" ref="BC16:BC21" ca="1" si="31">X16</f>
        <v>46180</v>
      </c>
    </row>
    <row r="17" spans="2:55" x14ac:dyDescent="0.3">
      <c r="B17" s="199">
        <f t="shared" ca="1" si="8"/>
        <v>46118</v>
      </c>
      <c r="C17" s="199">
        <f t="shared" ca="1" si="8"/>
        <v>46119</v>
      </c>
      <c r="D17" s="199">
        <f t="shared" ca="1" si="8"/>
        <v>46120</v>
      </c>
      <c r="E17" s="199">
        <f t="shared" ca="1" si="8"/>
        <v>46121</v>
      </c>
      <c r="F17" s="199">
        <f t="shared" ca="1" si="8"/>
        <v>46122</v>
      </c>
      <c r="G17" s="199">
        <f t="shared" ca="1" si="8"/>
        <v>46123</v>
      </c>
      <c r="H17" s="199">
        <f t="shared" ca="1" si="8"/>
        <v>46124</v>
      </c>
      <c r="J17" s="199">
        <f t="shared" ca="1" si="9"/>
        <v>46146</v>
      </c>
      <c r="K17" s="199">
        <f t="shared" ca="1" si="9"/>
        <v>46147</v>
      </c>
      <c r="L17" s="199">
        <f t="shared" ca="1" si="9"/>
        <v>46148</v>
      </c>
      <c r="M17" s="199">
        <f t="shared" ca="1" si="9"/>
        <v>46149</v>
      </c>
      <c r="N17" s="199">
        <f t="shared" ca="1" si="9"/>
        <v>46150</v>
      </c>
      <c r="O17" s="199">
        <f t="shared" ca="1" si="9"/>
        <v>46151</v>
      </c>
      <c r="P17" s="199">
        <f t="shared" ca="1" si="9"/>
        <v>46152</v>
      </c>
      <c r="R17" s="199">
        <f t="shared" ca="1" si="10"/>
        <v>46181</v>
      </c>
      <c r="S17" s="199">
        <f t="shared" ca="1" si="10"/>
        <v>46182</v>
      </c>
      <c r="T17" s="199">
        <f t="shared" ca="1" si="10"/>
        <v>46183</v>
      </c>
      <c r="U17" s="199">
        <f t="shared" ca="1" si="10"/>
        <v>46184</v>
      </c>
      <c r="V17" s="199">
        <f t="shared" ca="1" si="10"/>
        <v>46185</v>
      </c>
      <c r="W17" s="199">
        <f t="shared" ca="1" si="10"/>
        <v>46186</v>
      </c>
      <c r="X17" s="199">
        <f t="shared" ca="1" si="10"/>
        <v>46187</v>
      </c>
      <c r="AG17" s="200">
        <f t="shared" ca="1" si="11"/>
        <v>46118</v>
      </c>
      <c r="AH17" s="200">
        <f t="shared" ca="1" si="12"/>
        <v>46119</v>
      </c>
      <c r="AI17" s="200">
        <f t="shared" ca="1" si="13"/>
        <v>46120</v>
      </c>
      <c r="AJ17" s="200">
        <f t="shared" ca="1" si="14"/>
        <v>46121</v>
      </c>
      <c r="AK17" s="200">
        <f t="shared" ca="1" si="15"/>
        <v>46122</v>
      </c>
      <c r="AL17" s="200">
        <f t="shared" ca="1" si="16"/>
        <v>46123</v>
      </c>
      <c r="AM17" s="200">
        <f t="shared" ca="1" si="17"/>
        <v>46124</v>
      </c>
      <c r="AN17" s="200"/>
      <c r="AO17" s="200">
        <f t="shared" ca="1" si="18"/>
        <v>46146</v>
      </c>
      <c r="AP17" s="200">
        <f t="shared" ca="1" si="19"/>
        <v>46147</v>
      </c>
      <c r="AQ17" s="200">
        <f t="shared" ca="1" si="20"/>
        <v>46148</v>
      </c>
      <c r="AR17" s="200">
        <f t="shared" ca="1" si="21"/>
        <v>46149</v>
      </c>
      <c r="AS17" s="200">
        <f t="shared" ca="1" si="22"/>
        <v>46150</v>
      </c>
      <c r="AT17" s="200">
        <f t="shared" ca="1" si="23"/>
        <v>46151</v>
      </c>
      <c r="AU17" s="200">
        <f t="shared" ca="1" si="24"/>
        <v>46152</v>
      </c>
      <c r="AV17" s="200"/>
      <c r="AW17" s="200">
        <f t="shared" ca="1" si="25"/>
        <v>46181</v>
      </c>
      <c r="AX17" s="200">
        <f t="shared" ca="1" si="26"/>
        <v>46182</v>
      </c>
      <c r="AY17" s="200">
        <f t="shared" ca="1" si="27"/>
        <v>46183</v>
      </c>
      <c r="AZ17" s="200">
        <f t="shared" ca="1" si="28"/>
        <v>46184</v>
      </c>
      <c r="BA17" s="200">
        <f t="shared" ca="1" si="29"/>
        <v>46185</v>
      </c>
      <c r="BB17" s="200">
        <f t="shared" ca="1" si="30"/>
        <v>46186</v>
      </c>
      <c r="BC17" s="200">
        <f t="shared" ca="1" si="31"/>
        <v>46187</v>
      </c>
    </row>
    <row r="18" spans="2:55" x14ac:dyDescent="0.3">
      <c r="B18" s="199">
        <f t="shared" ca="1" si="8"/>
        <v>46125</v>
      </c>
      <c r="C18" s="199">
        <f t="shared" ca="1" si="8"/>
        <v>46126</v>
      </c>
      <c r="D18" s="199">
        <f t="shared" ca="1" si="8"/>
        <v>46127</v>
      </c>
      <c r="E18" s="199">
        <f t="shared" ca="1" si="8"/>
        <v>46128</v>
      </c>
      <c r="F18" s="199">
        <f t="shared" ca="1" si="8"/>
        <v>46129</v>
      </c>
      <c r="G18" s="199">
        <f t="shared" ca="1" si="8"/>
        <v>46130</v>
      </c>
      <c r="H18" s="199">
        <f t="shared" ca="1" si="8"/>
        <v>46131</v>
      </c>
      <c r="J18" s="199">
        <f t="shared" ca="1" si="9"/>
        <v>46153</v>
      </c>
      <c r="K18" s="199">
        <f t="shared" ca="1" si="9"/>
        <v>46154</v>
      </c>
      <c r="L18" s="199">
        <f t="shared" ca="1" si="9"/>
        <v>46155</v>
      </c>
      <c r="M18" s="199">
        <f t="shared" ca="1" si="9"/>
        <v>46156</v>
      </c>
      <c r="N18" s="199">
        <f t="shared" ca="1" si="9"/>
        <v>46157</v>
      </c>
      <c r="O18" s="199">
        <f t="shared" ca="1" si="9"/>
        <v>46158</v>
      </c>
      <c r="P18" s="199">
        <f t="shared" ca="1" si="9"/>
        <v>46159</v>
      </c>
      <c r="R18" s="199">
        <f t="shared" ca="1" si="10"/>
        <v>46188</v>
      </c>
      <c r="S18" s="199">
        <f t="shared" ca="1" si="10"/>
        <v>46189</v>
      </c>
      <c r="T18" s="199">
        <f t="shared" ca="1" si="10"/>
        <v>46190</v>
      </c>
      <c r="U18" s="199">
        <f t="shared" ca="1" si="10"/>
        <v>46191</v>
      </c>
      <c r="V18" s="199">
        <f t="shared" ca="1" si="10"/>
        <v>46192</v>
      </c>
      <c r="W18" s="199">
        <f t="shared" ca="1" si="10"/>
        <v>46193</v>
      </c>
      <c r="X18" s="199">
        <f t="shared" ca="1" si="10"/>
        <v>46194</v>
      </c>
      <c r="AG18" s="200">
        <f t="shared" ca="1" si="11"/>
        <v>46125</v>
      </c>
      <c r="AH18" s="200">
        <f t="shared" ca="1" si="12"/>
        <v>46126</v>
      </c>
      <c r="AI18" s="200">
        <f t="shared" ca="1" si="13"/>
        <v>46127</v>
      </c>
      <c r="AJ18" s="200">
        <f t="shared" ca="1" si="14"/>
        <v>46128</v>
      </c>
      <c r="AK18" s="200">
        <f t="shared" ca="1" si="15"/>
        <v>46129</v>
      </c>
      <c r="AL18" s="200">
        <f t="shared" ca="1" si="16"/>
        <v>46130</v>
      </c>
      <c r="AM18" s="200">
        <f t="shared" ca="1" si="17"/>
        <v>46131</v>
      </c>
      <c r="AN18" s="200"/>
      <c r="AO18" s="200">
        <f t="shared" ca="1" si="18"/>
        <v>46153</v>
      </c>
      <c r="AP18" s="200">
        <f t="shared" ca="1" si="19"/>
        <v>46154</v>
      </c>
      <c r="AQ18" s="200">
        <f t="shared" ca="1" si="20"/>
        <v>46155</v>
      </c>
      <c r="AR18" s="200">
        <f t="shared" ca="1" si="21"/>
        <v>46156</v>
      </c>
      <c r="AS18" s="200">
        <f t="shared" ca="1" si="22"/>
        <v>46157</v>
      </c>
      <c r="AT18" s="200">
        <f t="shared" ca="1" si="23"/>
        <v>46158</v>
      </c>
      <c r="AU18" s="200">
        <f t="shared" ca="1" si="24"/>
        <v>46159</v>
      </c>
      <c r="AV18" s="200"/>
      <c r="AW18" s="200">
        <f t="shared" ca="1" si="25"/>
        <v>46188</v>
      </c>
      <c r="AX18" s="200">
        <f t="shared" ca="1" si="26"/>
        <v>46189</v>
      </c>
      <c r="AY18" s="200">
        <f t="shared" ca="1" si="27"/>
        <v>46190</v>
      </c>
      <c r="AZ18" s="200">
        <f t="shared" ca="1" si="28"/>
        <v>46191</v>
      </c>
      <c r="BA18" s="200">
        <f t="shared" ca="1" si="29"/>
        <v>46192</v>
      </c>
      <c r="BB18" s="200">
        <f t="shared" ca="1" si="30"/>
        <v>46193</v>
      </c>
      <c r="BC18" s="200">
        <f t="shared" ca="1" si="31"/>
        <v>46194</v>
      </c>
    </row>
    <row r="19" spans="2:55" x14ac:dyDescent="0.3">
      <c r="B19" s="199">
        <f t="shared" ca="1" si="8"/>
        <v>46132</v>
      </c>
      <c r="C19" s="199">
        <f t="shared" ca="1" si="8"/>
        <v>46133</v>
      </c>
      <c r="D19" s="199">
        <f t="shared" ca="1" si="8"/>
        <v>46134</v>
      </c>
      <c r="E19" s="199">
        <f t="shared" ca="1" si="8"/>
        <v>46135</v>
      </c>
      <c r="F19" s="199">
        <f t="shared" ca="1" si="8"/>
        <v>46136</v>
      </c>
      <c r="G19" s="199">
        <f t="shared" ca="1" si="8"/>
        <v>46137</v>
      </c>
      <c r="H19" s="199">
        <f t="shared" ca="1" si="8"/>
        <v>46138</v>
      </c>
      <c r="J19" s="199">
        <f t="shared" ca="1" si="9"/>
        <v>46160</v>
      </c>
      <c r="K19" s="199">
        <f t="shared" ca="1" si="9"/>
        <v>46161</v>
      </c>
      <c r="L19" s="199">
        <f t="shared" ca="1" si="9"/>
        <v>46162</v>
      </c>
      <c r="M19" s="199">
        <f t="shared" ca="1" si="9"/>
        <v>46163</v>
      </c>
      <c r="N19" s="199">
        <f t="shared" ca="1" si="9"/>
        <v>46164</v>
      </c>
      <c r="O19" s="199">
        <f t="shared" ca="1" si="9"/>
        <v>46165</v>
      </c>
      <c r="P19" s="199">
        <f t="shared" ca="1" si="9"/>
        <v>46166</v>
      </c>
      <c r="R19" s="199">
        <f t="shared" ca="1" si="10"/>
        <v>46195</v>
      </c>
      <c r="S19" s="199">
        <f t="shared" ca="1" si="10"/>
        <v>46196</v>
      </c>
      <c r="T19" s="199">
        <f t="shared" ca="1" si="10"/>
        <v>46197</v>
      </c>
      <c r="U19" s="199">
        <f t="shared" ca="1" si="10"/>
        <v>46198</v>
      </c>
      <c r="V19" s="199">
        <f t="shared" ca="1" si="10"/>
        <v>46199</v>
      </c>
      <c r="W19" s="199">
        <f t="shared" ca="1" si="10"/>
        <v>46200</v>
      </c>
      <c r="X19" s="199">
        <f t="shared" ca="1" si="10"/>
        <v>46201</v>
      </c>
      <c r="AG19" s="200">
        <f t="shared" ca="1" si="11"/>
        <v>46132</v>
      </c>
      <c r="AH19" s="200">
        <f t="shared" ca="1" si="12"/>
        <v>46133</v>
      </c>
      <c r="AI19" s="200">
        <f t="shared" ca="1" si="13"/>
        <v>46134</v>
      </c>
      <c r="AJ19" s="200">
        <f t="shared" ca="1" si="14"/>
        <v>46135</v>
      </c>
      <c r="AK19" s="200">
        <f t="shared" ca="1" si="15"/>
        <v>46136</v>
      </c>
      <c r="AL19" s="200">
        <f t="shared" ca="1" si="16"/>
        <v>46137</v>
      </c>
      <c r="AM19" s="200">
        <f t="shared" ca="1" si="17"/>
        <v>46138</v>
      </c>
      <c r="AN19" s="200"/>
      <c r="AO19" s="200">
        <f t="shared" ca="1" si="18"/>
        <v>46160</v>
      </c>
      <c r="AP19" s="200">
        <f t="shared" ca="1" si="19"/>
        <v>46161</v>
      </c>
      <c r="AQ19" s="200">
        <f t="shared" ca="1" si="20"/>
        <v>46162</v>
      </c>
      <c r="AR19" s="200">
        <f t="shared" ca="1" si="21"/>
        <v>46163</v>
      </c>
      <c r="AS19" s="200">
        <f t="shared" ca="1" si="22"/>
        <v>46164</v>
      </c>
      <c r="AT19" s="200">
        <f t="shared" ca="1" si="23"/>
        <v>46165</v>
      </c>
      <c r="AU19" s="200">
        <f t="shared" ca="1" si="24"/>
        <v>46166</v>
      </c>
      <c r="AV19" s="200"/>
      <c r="AW19" s="200">
        <f t="shared" ca="1" si="25"/>
        <v>46195</v>
      </c>
      <c r="AX19" s="200">
        <f t="shared" ca="1" si="26"/>
        <v>46196</v>
      </c>
      <c r="AY19" s="200">
        <f t="shared" ca="1" si="27"/>
        <v>46197</v>
      </c>
      <c r="AZ19" s="200">
        <f t="shared" ca="1" si="28"/>
        <v>46198</v>
      </c>
      <c r="BA19" s="200">
        <f t="shared" ca="1" si="29"/>
        <v>46199</v>
      </c>
      <c r="BB19" s="200">
        <f t="shared" ca="1" si="30"/>
        <v>46200</v>
      </c>
      <c r="BC19" s="200">
        <f t="shared" ca="1" si="31"/>
        <v>46201</v>
      </c>
    </row>
    <row r="20" spans="2:55" x14ac:dyDescent="0.3">
      <c r="B20" s="199">
        <f t="shared" ca="1" si="8"/>
        <v>46139</v>
      </c>
      <c r="C20" s="199">
        <f t="shared" ca="1" si="8"/>
        <v>46140</v>
      </c>
      <c r="D20" s="199">
        <f t="shared" ca="1" si="8"/>
        <v>46141</v>
      </c>
      <c r="E20" s="199">
        <f t="shared" ca="1" si="8"/>
        <v>46142</v>
      </c>
      <c r="F20" s="199" t="str">
        <f t="shared" ca="1" si="8"/>
        <v/>
      </c>
      <c r="G20" s="199" t="str">
        <f t="shared" ca="1" si="8"/>
        <v/>
      </c>
      <c r="H20" s="199" t="str">
        <f t="shared" ca="1" si="8"/>
        <v/>
      </c>
      <c r="J20" s="199">
        <f t="shared" ca="1" si="9"/>
        <v>46167</v>
      </c>
      <c r="K20" s="199">
        <f t="shared" ca="1" si="9"/>
        <v>46168</v>
      </c>
      <c r="L20" s="199">
        <f t="shared" ca="1" si="9"/>
        <v>46169</v>
      </c>
      <c r="M20" s="199">
        <f t="shared" ca="1" si="9"/>
        <v>46170</v>
      </c>
      <c r="N20" s="199">
        <f t="shared" ca="1" si="9"/>
        <v>46171</v>
      </c>
      <c r="O20" s="199">
        <f t="shared" ca="1" si="9"/>
        <v>46172</v>
      </c>
      <c r="P20" s="199">
        <f t="shared" ca="1" si="9"/>
        <v>46173</v>
      </c>
      <c r="R20" s="199">
        <f t="shared" ca="1" si="10"/>
        <v>46202</v>
      </c>
      <c r="S20" s="199">
        <f t="shared" ca="1" si="10"/>
        <v>46203</v>
      </c>
      <c r="T20" s="199" t="str">
        <f t="shared" ca="1" si="10"/>
        <v/>
      </c>
      <c r="U20" s="199" t="str">
        <f t="shared" ca="1" si="10"/>
        <v/>
      </c>
      <c r="V20" s="199" t="str">
        <f t="shared" ca="1" si="10"/>
        <v/>
      </c>
      <c r="W20" s="199" t="str">
        <f t="shared" ca="1" si="10"/>
        <v/>
      </c>
      <c r="X20" s="199" t="str">
        <f t="shared" ca="1" si="10"/>
        <v/>
      </c>
      <c r="AG20" s="200">
        <f t="shared" ca="1" si="11"/>
        <v>46139</v>
      </c>
      <c r="AH20" s="200">
        <f t="shared" ca="1" si="12"/>
        <v>46140</v>
      </c>
      <c r="AI20" s="200">
        <f t="shared" ca="1" si="13"/>
        <v>46141</v>
      </c>
      <c r="AJ20" s="200">
        <f t="shared" ca="1" si="14"/>
        <v>46142</v>
      </c>
      <c r="AK20" s="200" t="str">
        <f t="shared" ca="1" si="15"/>
        <v/>
      </c>
      <c r="AL20" s="200" t="str">
        <f t="shared" ca="1" si="16"/>
        <v/>
      </c>
      <c r="AM20" s="200" t="str">
        <f t="shared" ca="1" si="17"/>
        <v/>
      </c>
      <c r="AN20" s="200"/>
      <c r="AO20" s="200">
        <f t="shared" ca="1" si="18"/>
        <v>46167</v>
      </c>
      <c r="AP20" s="200">
        <f t="shared" ca="1" si="19"/>
        <v>46168</v>
      </c>
      <c r="AQ20" s="200">
        <f t="shared" ca="1" si="20"/>
        <v>46169</v>
      </c>
      <c r="AR20" s="200">
        <f t="shared" ca="1" si="21"/>
        <v>46170</v>
      </c>
      <c r="AS20" s="200">
        <f t="shared" ca="1" si="22"/>
        <v>46171</v>
      </c>
      <c r="AT20" s="200">
        <f t="shared" ca="1" si="23"/>
        <v>46172</v>
      </c>
      <c r="AU20" s="200">
        <f t="shared" ca="1" si="24"/>
        <v>46173</v>
      </c>
      <c r="AV20" s="200"/>
      <c r="AW20" s="200">
        <f t="shared" ca="1" si="25"/>
        <v>46202</v>
      </c>
      <c r="AX20" s="200">
        <f t="shared" ca="1" si="26"/>
        <v>46203</v>
      </c>
      <c r="AY20" s="200" t="str">
        <f t="shared" ca="1" si="27"/>
        <v/>
      </c>
      <c r="AZ20" s="200" t="str">
        <f t="shared" ca="1" si="28"/>
        <v/>
      </c>
      <c r="BA20" s="200" t="str">
        <f t="shared" ca="1" si="29"/>
        <v/>
      </c>
      <c r="BB20" s="200" t="str">
        <f t="shared" ca="1" si="30"/>
        <v/>
      </c>
      <c r="BC20" s="200" t="str">
        <f t="shared" ca="1" si="31"/>
        <v/>
      </c>
    </row>
    <row r="21" spans="2:55" x14ac:dyDescent="0.3">
      <c r="B21" s="199" t="str">
        <f t="shared" ca="1" si="8"/>
        <v/>
      </c>
      <c r="C21" s="199" t="str">
        <f t="shared" ca="1" si="8"/>
        <v/>
      </c>
      <c r="D21" s="199" t="str">
        <f t="shared" ca="1" si="8"/>
        <v/>
      </c>
      <c r="E21" s="199" t="str">
        <f t="shared" ca="1" si="8"/>
        <v/>
      </c>
      <c r="F21" s="199" t="str">
        <f t="shared" ca="1" si="8"/>
        <v/>
      </c>
      <c r="G21" s="199" t="str">
        <f t="shared" ca="1" si="8"/>
        <v/>
      </c>
      <c r="H21" s="199" t="str">
        <f t="shared" ca="1" si="8"/>
        <v/>
      </c>
      <c r="J21" s="199" t="str">
        <f t="shared" ca="1" si="9"/>
        <v/>
      </c>
      <c r="K21" s="199" t="str">
        <f t="shared" ca="1" si="9"/>
        <v/>
      </c>
      <c r="L21" s="199" t="str">
        <f t="shared" ca="1" si="9"/>
        <v/>
      </c>
      <c r="M21" s="199" t="str">
        <f t="shared" ca="1" si="9"/>
        <v/>
      </c>
      <c r="N21" s="199" t="str">
        <f t="shared" ca="1" si="9"/>
        <v/>
      </c>
      <c r="O21" s="199" t="str">
        <f t="shared" ca="1" si="9"/>
        <v/>
      </c>
      <c r="P21" s="199" t="str">
        <f t="shared" ca="1" si="9"/>
        <v/>
      </c>
      <c r="R21" s="199" t="str">
        <f t="shared" ca="1" si="10"/>
        <v/>
      </c>
      <c r="S21" s="199" t="str">
        <f t="shared" ca="1" si="10"/>
        <v/>
      </c>
      <c r="T21" s="199" t="str">
        <f t="shared" ca="1" si="10"/>
        <v/>
      </c>
      <c r="U21" s="199" t="str">
        <f t="shared" ca="1" si="10"/>
        <v/>
      </c>
      <c r="V21" s="199" t="str">
        <f t="shared" ca="1" si="10"/>
        <v/>
      </c>
      <c r="W21" s="199" t="str">
        <f t="shared" ca="1" si="10"/>
        <v/>
      </c>
      <c r="X21" s="199" t="str">
        <f t="shared" ca="1" si="10"/>
        <v/>
      </c>
      <c r="AG21" s="200" t="str">
        <f t="shared" ca="1" si="11"/>
        <v/>
      </c>
      <c r="AH21" s="200" t="str">
        <f t="shared" ca="1" si="12"/>
        <v/>
      </c>
      <c r="AI21" s="200" t="str">
        <f t="shared" ca="1" si="13"/>
        <v/>
      </c>
      <c r="AJ21" s="200" t="str">
        <f t="shared" ca="1" si="14"/>
        <v/>
      </c>
      <c r="AK21" s="200" t="str">
        <f t="shared" ca="1" si="15"/>
        <v/>
      </c>
      <c r="AL21" s="200" t="str">
        <f t="shared" ca="1" si="16"/>
        <v/>
      </c>
      <c r="AM21" s="200" t="str">
        <f t="shared" ca="1" si="17"/>
        <v/>
      </c>
      <c r="AN21" s="200"/>
      <c r="AO21" s="200" t="str">
        <f t="shared" ca="1" si="18"/>
        <v/>
      </c>
      <c r="AP21" s="200" t="str">
        <f t="shared" ca="1" si="19"/>
        <v/>
      </c>
      <c r="AQ21" s="200" t="str">
        <f t="shared" ca="1" si="20"/>
        <v/>
      </c>
      <c r="AR21" s="200" t="str">
        <f t="shared" ca="1" si="21"/>
        <v/>
      </c>
      <c r="AS21" s="200" t="str">
        <f t="shared" ca="1" si="22"/>
        <v/>
      </c>
      <c r="AT21" s="200" t="str">
        <f t="shared" ca="1" si="23"/>
        <v/>
      </c>
      <c r="AU21" s="200" t="str">
        <f t="shared" ca="1" si="24"/>
        <v/>
      </c>
      <c r="AV21" s="200"/>
      <c r="AW21" s="200" t="str">
        <f t="shared" ca="1" si="25"/>
        <v/>
      </c>
      <c r="AX21" s="200" t="str">
        <f t="shared" ca="1" si="26"/>
        <v/>
      </c>
      <c r="AY21" s="200" t="str">
        <f t="shared" ca="1" si="27"/>
        <v/>
      </c>
      <c r="AZ21" s="200" t="str">
        <f t="shared" ca="1" si="28"/>
        <v/>
      </c>
      <c r="BA21" s="200" t="str">
        <f t="shared" ca="1" si="29"/>
        <v/>
      </c>
      <c r="BB21" s="200" t="str">
        <f t="shared" ca="1" si="30"/>
        <v/>
      </c>
      <c r="BC21" s="200" t="str">
        <f t="shared" ca="1" si="31"/>
        <v/>
      </c>
    </row>
    <row r="22" spans="2:55" ht="8.1" customHeight="1" x14ac:dyDescent="0.3"/>
    <row r="23" spans="2:55" ht="15.6" x14ac:dyDescent="0.3">
      <c r="B23" s="1245">
        <f ca="1">DATE(YEAR(R14+35),MONTH(R14+35),1)</f>
        <v>46204</v>
      </c>
      <c r="C23" s="1246"/>
      <c r="D23" s="1246"/>
      <c r="E23" s="1246"/>
      <c r="F23" s="1246"/>
      <c r="G23" s="1246"/>
      <c r="H23" s="1247"/>
      <c r="J23" s="1245">
        <f ca="1">DATE(YEAR(B23+35),MONTH(B23+35),1)</f>
        <v>46235</v>
      </c>
      <c r="K23" s="1246"/>
      <c r="L23" s="1246"/>
      <c r="M23" s="1246"/>
      <c r="N23" s="1246"/>
      <c r="O23" s="1246"/>
      <c r="P23" s="1247"/>
      <c r="R23" s="1245">
        <f ca="1">DATE(YEAR(J23+35),MONTH(J23+35),1)</f>
        <v>46266</v>
      </c>
      <c r="S23" s="1246"/>
      <c r="T23" s="1246"/>
      <c r="U23" s="1246"/>
      <c r="V23" s="1246"/>
      <c r="W23" s="1246"/>
      <c r="X23" s="1247"/>
      <c r="AG23" s="1240"/>
      <c r="AH23" s="1241"/>
      <c r="AI23" s="1241"/>
      <c r="AJ23" s="1241"/>
      <c r="AK23" s="1241"/>
      <c r="AL23" s="1241"/>
      <c r="AM23" s="1242"/>
      <c r="AO23" s="1240"/>
      <c r="AP23" s="1241"/>
      <c r="AQ23" s="1241"/>
      <c r="AR23" s="1241"/>
      <c r="AS23" s="1241"/>
      <c r="AT23" s="1241"/>
      <c r="AU23" s="1242"/>
      <c r="AW23" s="1240"/>
      <c r="AX23" s="1241"/>
      <c r="AY23" s="1241"/>
      <c r="AZ23" s="1241"/>
      <c r="BA23" s="1241"/>
      <c r="BB23" s="1241"/>
      <c r="BC23" s="1242"/>
    </row>
    <row r="24" spans="2:55" x14ac:dyDescent="0.3">
      <c r="B24" s="191" t="str">
        <f ca="1">$B$6</f>
        <v>Mo</v>
      </c>
      <c r="C24" s="192" t="str">
        <f ca="1">$C$6</f>
        <v>Tu</v>
      </c>
      <c r="D24" s="192" t="str">
        <f ca="1">$D$6</f>
        <v>We</v>
      </c>
      <c r="E24" s="192" t="str">
        <f ca="1">$E$6</f>
        <v>Th</v>
      </c>
      <c r="F24" s="192" t="str">
        <f ca="1">$F$6</f>
        <v>Fr</v>
      </c>
      <c r="G24" s="192" t="str">
        <f ca="1">$G$6</f>
        <v>Sa</v>
      </c>
      <c r="H24" s="193" t="str">
        <f ca="1">$H$6</f>
        <v>Su</v>
      </c>
      <c r="J24" s="191" t="str">
        <f ca="1">$B$6</f>
        <v>Mo</v>
      </c>
      <c r="K24" s="192" t="str">
        <f ca="1">$C$6</f>
        <v>Tu</v>
      </c>
      <c r="L24" s="192" t="str">
        <f ca="1">$D$6</f>
        <v>We</v>
      </c>
      <c r="M24" s="192" t="str">
        <f ca="1">$E$6</f>
        <v>Th</v>
      </c>
      <c r="N24" s="192" t="str">
        <f ca="1">$F$6</f>
        <v>Fr</v>
      </c>
      <c r="O24" s="192" t="str">
        <f ca="1">$G$6</f>
        <v>Sa</v>
      </c>
      <c r="P24" s="193" t="str">
        <f ca="1">$H$6</f>
        <v>Su</v>
      </c>
      <c r="R24" s="191" t="str">
        <f ca="1">$B$6</f>
        <v>Mo</v>
      </c>
      <c r="S24" s="192" t="str">
        <f ca="1">$C$6</f>
        <v>Tu</v>
      </c>
      <c r="T24" s="192" t="str">
        <f ca="1">$D$6</f>
        <v>We</v>
      </c>
      <c r="U24" s="192" t="str">
        <f ca="1">$E$6</f>
        <v>Th</v>
      </c>
      <c r="V24" s="192" t="str">
        <f ca="1">$F$6</f>
        <v>Fr</v>
      </c>
      <c r="W24" s="192" t="str">
        <f ca="1">$G$6</f>
        <v>Sa</v>
      </c>
      <c r="X24" s="193" t="str">
        <f ca="1">$H$6</f>
        <v>Su</v>
      </c>
      <c r="AG24" s="196"/>
      <c r="AH24" s="197"/>
      <c r="AI24" s="197"/>
      <c r="AJ24" s="197"/>
      <c r="AK24" s="197"/>
      <c r="AL24" s="197"/>
      <c r="AM24" s="198"/>
      <c r="AO24" s="196"/>
      <c r="AP24" s="197"/>
      <c r="AQ24" s="197"/>
      <c r="AR24" s="197"/>
      <c r="AS24" s="197"/>
      <c r="AT24" s="197"/>
      <c r="AU24" s="198"/>
      <c r="AW24" s="196"/>
      <c r="AX24" s="197"/>
      <c r="AY24" s="197"/>
      <c r="AZ24" s="197"/>
      <c r="BA24" s="197"/>
      <c r="BB24" s="197"/>
      <c r="BC24" s="198"/>
    </row>
    <row r="25" spans="2:55" x14ac:dyDescent="0.3">
      <c r="B25" s="199" t="str">
        <f t="shared" ref="B25:H30" ca="1" si="32">IF(MONTH($B$23)&lt;&gt;MONTH($B$23-(WEEKDAY($B$23,1)-($AA$6-1))-IF((WEEKDAY($B$23,1)-($AA$6-1))&lt;=0,7,0)+(ROW(B25)-ROW($B$25))*7+(COLUMN(B25)-COLUMN($B$25)+1)),"",$B$23-(WEEKDAY($B$23,1)-($AA$6-1))-IF((WEEKDAY($B$23,1)-($AA$6-1))&lt;=0,7,0)+(ROW(B25)-ROW($B$25))*7+(COLUMN(B25)-COLUMN($B$25)+1))</f>
        <v/>
      </c>
      <c r="C25" s="199" t="str">
        <f t="shared" ca="1" si="32"/>
        <v/>
      </c>
      <c r="D25" s="199">
        <f t="shared" ca="1" si="32"/>
        <v>46204</v>
      </c>
      <c r="E25" s="199">
        <f t="shared" ca="1" si="32"/>
        <v>46205</v>
      </c>
      <c r="F25" s="199">
        <f t="shared" ca="1" si="32"/>
        <v>46206</v>
      </c>
      <c r="G25" s="199">
        <f t="shared" ca="1" si="32"/>
        <v>46207</v>
      </c>
      <c r="H25" s="199">
        <f t="shared" ca="1" si="32"/>
        <v>46208</v>
      </c>
      <c r="J25" s="199" t="str">
        <f t="shared" ref="J25:P30" ca="1" si="33">IF(MONTH($J$23)&lt;&gt;MONTH($J$23-(WEEKDAY($J$23,1)-($AA$6-1))-IF((WEEKDAY($J$23,1)-($AA$6-1))&lt;=0,7,0)+(ROW(J25)-ROW($J$25))*7+(COLUMN(J25)-COLUMN($J$25)+1)),"",$J$23-(WEEKDAY($J$23,1)-($AA$6-1))-IF((WEEKDAY($J$23,1)-($AA$6-1))&lt;=0,7,0)+(ROW(J25)-ROW($J$25))*7+(COLUMN(J25)-COLUMN($J$25)+1))</f>
        <v/>
      </c>
      <c r="K25" s="199" t="str">
        <f t="shared" ca="1" si="33"/>
        <v/>
      </c>
      <c r="L25" s="199" t="str">
        <f t="shared" ca="1" si="33"/>
        <v/>
      </c>
      <c r="M25" s="199" t="str">
        <f t="shared" ca="1" si="33"/>
        <v/>
      </c>
      <c r="N25" s="199" t="str">
        <f t="shared" ca="1" si="33"/>
        <v/>
      </c>
      <c r="O25" s="199">
        <f t="shared" ca="1" si="33"/>
        <v>46235</v>
      </c>
      <c r="P25" s="199">
        <f t="shared" ca="1" si="33"/>
        <v>46236</v>
      </c>
      <c r="R25" s="199" t="str">
        <f t="shared" ref="R25:X30" ca="1" si="34">IF(MONTH($R$23)&lt;&gt;MONTH($R$23-(WEEKDAY($R$23,1)-($AA$6-1))-IF((WEEKDAY($R$23,1)-($AA$6-1))&lt;=0,7,0)+(ROW(R25)-ROW($R$25))*7+(COLUMN(R25)-COLUMN($R$25)+1)),"",$R$23-(WEEKDAY($R$23,1)-($AA$6-1))-IF((WEEKDAY($R$23,1)-($AA$6-1))&lt;=0,7,0)+(ROW(R25)-ROW($R$25))*7+(COLUMN(R25)-COLUMN($R$25)+1))</f>
        <v/>
      </c>
      <c r="S25" s="199">
        <f t="shared" ca="1" si="34"/>
        <v>46266</v>
      </c>
      <c r="T25" s="199">
        <f t="shared" ca="1" si="34"/>
        <v>46267</v>
      </c>
      <c r="U25" s="199">
        <f t="shared" ca="1" si="34"/>
        <v>46268</v>
      </c>
      <c r="V25" s="199">
        <f t="shared" ca="1" si="34"/>
        <v>46269</v>
      </c>
      <c r="W25" s="199">
        <f t="shared" ca="1" si="34"/>
        <v>46270</v>
      </c>
      <c r="X25" s="199">
        <f t="shared" ca="1" si="34"/>
        <v>46271</v>
      </c>
      <c r="AG25" s="200" t="str">
        <f t="shared" ref="AG25:AG30" ca="1" si="35">B25</f>
        <v/>
      </c>
      <c r="AH25" s="200" t="str">
        <f t="shared" ref="AH25:AH30" ca="1" si="36">C25</f>
        <v/>
      </c>
      <c r="AI25" s="200">
        <f t="shared" ref="AI25:AI30" ca="1" si="37">D25</f>
        <v>46204</v>
      </c>
      <c r="AJ25" s="200">
        <f t="shared" ref="AJ25:AJ30" ca="1" si="38">E25</f>
        <v>46205</v>
      </c>
      <c r="AK25" s="200">
        <f t="shared" ref="AK25:AK30" ca="1" si="39">F25</f>
        <v>46206</v>
      </c>
      <c r="AL25" s="200">
        <f t="shared" ref="AL25:AL30" ca="1" si="40">G25</f>
        <v>46207</v>
      </c>
      <c r="AM25" s="200">
        <f t="shared" ref="AM25:AM30" ca="1" si="41">H25</f>
        <v>46208</v>
      </c>
      <c r="AN25" s="200"/>
      <c r="AO25" s="200" t="str">
        <f t="shared" ref="AO25:AO30" ca="1" si="42">J25</f>
        <v/>
      </c>
      <c r="AP25" s="200" t="str">
        <f t="shared" ref="AP25:AP30" ca="1" si="43">K25</f>
        <v/>
      </c>
      <c r="AQ25" s="200" t="str">
        <f t="shared" ref="AQ25:AQ30" ca="1" si="44">L25</f>
        <v/>
      </c>
      <c r="AR25" s="200" t="str">
        <f t="shared" ref="AR25:AR30" ca="1" si="45">M25</f>
        <v/>
      </c>
      <c r="AS25" s="200" t="str">
        <f t="shared" ref="AS25:AS30" ca="1" si="46">N25</f>
        <v/>
      </c>
      <c r="AT25" s="200">
        <f t="shared" ref="AT25:AT30" ca="1" si="47">O25</f>
        <v>46235</v>
      </c>
      <c r="AU25" s="200">
        <f t="shared" ref="AU25:AU30" ca="1" si="48">P25</f>
        <v>46236</v>
      </c>
      <c r="AV25" s="200"/>
      <c r="AW25" s="200" t="str">
        <f t="shared" ref="AW25:AW30" ca="1" si="49">R25</f>
        <v/>
      </c>
      <c r="AX25" s="200">
        <f t="shared" ref="AX25:AX30" ca="1" si="50">S25</f>
        <v>46266</v>
      </c>
      <c r="AY25" s="200">
        <f t="shared" ref="AY25:AY30" ca="1" si="51">T25</f>
        <v>46267</v>
      </c>
      <c r="AZ25" s="200">
        <f t="shared" ref="AZ25:AZ30" ca="1" si="52">U25</f>
        <v>46268</v>
      </c>
      <c r="BA25" s="200">
        <f t="shared" ref="BA25:BA30" ca="1" si="53">V25</f>
        <v>46269</v>
      </c>
      <c r="BB25" s="200">
        <f t="shared" ref="BB25:BB30" ca="1" si="54">W25</f>
        <v>46270</v>
      </c>
      <c r="BC25" s="200">
        <f t="shared" ref="BC25:BC30" ca="1" si="55">X25</f>
        <v>46271</v>
      </c>
    </row>
    <row r="26" spans="2:55" x14ac:dyDescent="0.3">
      <c r="B26" s="199">
        <f t="shared" ca="1" si="32"/>
        <v>46209</v>
      </c>
      <c r="C26" s="199">
        <f t="shared" ca="1" si="32"/>
        <v>46210</v>
      </c>
      <c r="D26" s="199">
        <f t="shared" ca="1" si="32"/>
        <v>46211</v>
      </c>
      <c r="E26" s="199">
        <f t="shared" ca="1" si="32"/>
        <v>46212</v>
      </c>
      <c r="F26" s="199">
        <f t="shared" ca="1" si="32"/>
        <v>46213</v>
      </c>
      <c r="G26" s="199">
        <f t="shared" ca="1" si="32"/>
        <v>46214</v>
      </c>
      <c r="H26" s="199">
        <f t="shared" ca="1" si="32"/>
        <v>46215</v>
      </c>
      <c r="J26" s="199">
        <f t="shared" ca="1" si="33"/>
        <v>46237</v>
      </c>
      <c r="K26" s="199">
        <f t="shared" ca="1" si="33"/>
        <v>46238</v>
      </c>
      <c r="L26" s="199">
        <f t="shared" ca="1" si="33"/>
        <v>46239</v>
      </c>
      <c r="M26" s="199">
        <f t="shared" ca="1" si="33"/>
        <v>46240</v>
      </c>
      <c r="N26" s="199">
        <f t="shared" ca="1" si="33"/>
        <v>46241</v>
      </c>
      <c r="O26" s="199">
        <f t="shared" ca="1" si="33"/>
        <v>46242</v>
      </c>
      <c r="P26" s="199">
        <f t="shared" ca="1" si="33"/>
        <v>46243</v>
      </c>
      <c r="R26" s="199">
        <f t="shared" ca="1" si="34"/>
        <v>46272</v>
      </c>
      <c r="S26" s="199">
        <f t="shared" ca="1" si="34"/>
        <v>46273</v>
      </c>
      <c r="T26" s="199">
        <f t="shared" ca="1" si="34"/>
        <v>46274</v>
      </c>
      <c r="U26" s="199">
        <f t="shared" ca="1" si="34"/>
        <v>46275</v>
      </c>
      <c r="V26" s="199">
        <f t="shared" ca="1" si="34"/>
        <v>46276</v>
      </c>
      <c r="W26" s="199">
        <f t="shared" ca="1" si="34"/>
        <v>46277</v>
      </c>
      <c r="X26" s="199">
        <f t="shared" ca="1" si="34"/>
        <v>46278</v>
      </c>
      <c r="AG26" s="200">
        <f t="shared" ca="1" si="35"/>
        <v>46209</v>
      </c>
      <c r="AH26" s="200">
        <f t="shared" ca="1" si="36"/>
        <v>46210</v>
      </c>
      <c r="AI26" s="200">
        <f t="shared" ca="1" si="37"/>
        <v>46211</v>
      </c>
      <c r="AJ26" s="200">
        <f t="shared" ca="1" si="38"/>
        <v>46212</v>
      </c>
      <c r="AK26" s="200">
        <f t="shared" ca="1" si="39"/>
        <v>46213</v>
      </c>
      <c r="AL26" s="200">
        <f t="shared" ca="1" si="40"/>
        <v>46214</v>
      </c>
      <c r="AM26" s="200">
        <f t="shared" ca="1" si="41"/>
        <v>46215</v>
      </c>
      <c r="AN26" s="200"/>
      <c r="AO26" s="200">
        <f t="shared" ca="1" si="42"/>
        <v>46237</v>
      </c>
      <c r="AP26" s="200">
        <f t="shared" ca="1" si="43"/>
        <v>46238</v>
      </c>
      <c r="AQ26" s="200">
        <f t="shared" ca="1" si="44"/>
        <v>46239</v>
      </c>
      <c r="AR26" s="200">
        <f t="shared" ca="1" si="45"/>
        <v>46240</v>
      </c>
      <c r="AS26" s="200">
        <f t="shared" ca="1" si="46"/>
        <v>46241</v>
      </c>
      <c r="AT26" s="200">
        <f t="shared" ca="1" si="47"/>
        <v>46242</v>
      </c>
      <c r="AU26" s="200">
        <f t="shared" ca="1" si="48"/>
        <v>46243</v>
      </c>
      <c r="AV26" s="200"/>
      <c r="AW26" s="200">
        <f t="shared" ca="1" si="49"/>
        <v>46272</v>
      </c>
      <c r="AX26" s="200">
        <f t="shared" ca="1" si="50"/>
        <v>46273</v>
      </c>
      <c r="AY26" s="200">
        <f t="shared" ca="1" si="51"/>
        <v>46274</v>
      </c>
      <c r="AZ26" s="200">
        <f t="shared" ca="1" si="52"/>
        <v>46275</v>
      </c>
      <c r="BA26" s="200">
        <f t="shared" ca="1" si="53"/>
        <v>46276</v>
      </c>
      <c r="BB26" s="200">
        <f t="shared" ca="1" si="54"/>
        <v>46277</v>
      </c>
      <c r="BC26" s="200">
        <f t="shared" ca="1" si="55"/>
        <v>46278</v>
      </c>
    </row>
    <row r="27" spans="2:55" x14ac:dyDescent="0.3">
      <c r="B27" s="199">
        <f t="shared" ca="1" si="32"/>
        <v>46216</v>
      </c>
      <c r="C27" s="199">
        <f t="shared" ca="1" si="32"/>
        <v>46217</v>
      </c>
      <c r="D27" s="199">
        <f t="shared" ca="1" si="32"/>
        <v>46218</v>
      </c>
      <c r="E27" s="199">
        <f t="shared" ca="1" si="32"/>
        <v>46219</v>
      </c>
      <c r="F27" s="199">
        <f t="shared" ca="1" si="32"/>
        <v>46220</v>
      </c>
      <c r="G27" s="199">
        <f t="shared" ca="1" si="32"/>
        <v>46221</v>
      </c>
      <c r="H27" s="199">
        <f t="shared" ca="1" si="32"/>
        <v>46222</v>
      </c>
      <c r="J27" s="199">
        <f t="shared" ca="1" si="33"/>
        <v>46244</v>
      </c>
      <c r="K27" s="199">
        <f t="shared" ca="1" si="33"/>
        <v>46245</v>
      </c>
      <c r="L27" s="199">
        <f t="shared" ca="1" si="33"/>
        <v>46246</v>
      </c>
      <c r="M27" s="199">
        <f t="shared" ca="1" si="33"/>
        <v>46247</v>
      </c>
      <c r="N27" s="199">
        <f t="shared" ca="1" si="33"/>
        <v>46248</v>
      </c>
      <c r="O27" s="199">
        <f t="shared" ca="1" si="33"/>
        <v>46249</v>
      </c>
      <c r="P27" s="199">
        <f t="shared" ca="1" si="33"/>
        <v>46250</v>
      </c>
      <c r="R27" s="199">
        <f t="shared" ca="1" si="34"/>
        <v>46279</v>
      </c>
      <c r="S27" s="199">
        <f t="shared" ca="1" si="34"/>
        <v>46280</v>
      </c>
      <c r="T27" s="199">
        <f t="shared" ca="1" si="34"/>
        <v>46281</v>
      </c>
      <c r="U27" s="199">
        <f t="shared" ca="1" si="34"/>
        <v>46282</v>
      </c>
      <c r="V27" s="199">
        <f t="shared" ca="1" si="34"/>
        <v>46283</v>
      </c>
      <c r="W27" s="199">
        <f t="shared" ca="1" si="34"/>
        <v>46284</v>
      </c>
      <c r="X27" s="199">
        <f t="shared" ca="1" si="34"/>
        <v>46285</v>
      </c>
      <c r="AG27" s="200">
        <f t="shared" ca="1" si="35"/>
        <v>46216</v>
      </c>
      <c r="AH27" s="200">
        <f t="shared" ca="1" si="36"/>
        <v>46217</v>
      </c>
      <c r="AI27" s="200">
        <f t="shared" ca="1" si="37"/>
        <v>46218</v>
      </c>
      <c r="AJ27" s="200">
        <f t="shared" ca="1" si="38"/>
        <v>46219</v>
      </c>
      <c r="AK27" s="200">
        <f t="shared" ca="1" si="39"/>
        <v>46220</v>
      </c>
      <c r="AL27" s="200">
        <f t="shared" ca="1" si="40"/>
        <v>46221</v>
      </c>
      <c r="AM27" s="200">
        <f t="shared" ca="1" si="41"/>
        <v>46222</v>
      </c>
      <c r="AN27" s="200"/>
      <c r="AO27" s="200">
        <f t="shared" ca="1" si="42"/>
        <v>46244</v>
      </c>
      <c r="AP27" s="200">
        <f t="shared" ca="1" si="43"/>
        <v>46245</v>
      </c>
      <c r="AQ27" s="200">
        <f t="shared" ca="1" si="44"/>
        <v>46246</v>
      </c>
      <c r="AR27" s="200">
        <f t="shared" ca="1" si="45"/>
        <v>46247</v>
      </c>
      <c r="AS27" s="200">
        <f t="shared" ca="1" si="46"/>
        <v>46248</v>
      </c>
      <c r="AT27" s="200">
        <f t="shared" ca="1" si="47"/>
        <v>46249</v>
      </c>
      <c r="AU27" s="200">
        <f t="shared" ca="1" si="48"/>
        <v>46250</v>
      </c>
      <c r="AV27" s="200"/>
      <c r="AW27" s="200">
        <f t="shared" ca="1" si="49"/>
        <v>46279</v>
      </c>
      <c r="AX27" s="200">
        <f t="shared" ca="1" si="50"/>
        <v>46280</v>
      </c>
      <c r="AY27" s="200">
        <f t="shared" ca="1" si="51"/>
        <v>46281</v>
      </c>
      <c r="AZ27" s="200">
        <f t="shared" ca="1" si="52"/>
        <v>46282</v>
      </c>
      <c r="BA27" s="200">
        <f t="shared" ca="1" si="53"/>
        <v>46283</v>
      </c>
      <c r="BB27" s="200">
        <f t="shared" ca="1" si="54"/>
        <v>46284</v>
      </c>
      <c r="BC27" s="200">
        <f t="shared" ca="1" si="55"/>
        <v>46285</v>
      </c>
    </row>
    <row r="28" spans="2:55" x14ac:dyDescent="0.3">
      <c r="B28" s="199">
        <f t="shared" ca="1" si="32"/>
        <v>46223</v>
      </c>
      <c r="C28" s="199">
        <f t="shared" ca="1" si="32"/>
        <v>46224</v>
      </c>
      <c r="D28" s="199">
        <f t="shared" ca="1" si="32"/>
        <v>46225</v>
      </c>
      <c r="E28" s="199">
        <f t="shared" ca="1" si="32"/>
        <v>46226</v>
      </c>
      <c r="F28" s="199">
        <f t="shared" ca="1" si="32"/>
        <v>46227</v>
      </c>
      <c r="G28" s="199">
        <f t="shared" ca="1" si="32"/>
        <v>46228</v>
      </c>
      <c r="H28" s="199">
        <f t="shared" ca="1" si="32"/>
        <v>46229</v>
      </c>
      <c r="J28" s="199">
        <f t="shared" ca="1" si="33"/>
        <v>46251</v>
      </c>
      <c r="K28" s="199">
        <f t="shared" ca="1" si="33"/>
        <v>46252</v>
      </c>
      <c r="L28" s="199">
        <f t="shared" ca="1" si="33"/>
        <v>46253</v>
      </c>
      <c r="M28" s="199">
        <f t="shared" ca="1" si="33"/>
        <v>46254</v>
      </c>
      <c r="N28" s="199">
        <f t="shared" ca="1" si="33"/>
        <v>46255</v>
      </c>
      <c r="O28" s="199">
        <f t="shared" ca="1" si="33"/>
        <v>46256</v>
      </c>
      <c r="P28" s="199">
        <f t="shared" ca="1" si="33"/>
        <v>46257</v>
      </c>
      <c r="R28" s="199">
        <f t="shared" ca="1" si="34"/>
        <v>46286</v>
      </c>
      <c r="S28" s="199">
        <f t="shared" ca="1" si="34"/>
        <v>46287</v>
      </c>
      <c r="T28" s="199">
        <f t="shared" ca="1" si="34"/>
        <v>46288</v>
      </c>
      <c r="U28" s="199">
        <f t="shared" ca="1" si="34"/>
        <v>46289</v>
      </c>
      <c r="V28" s="199">
        <f t="shared" ca="1" si="34"/>
        <v>46290</v>
      </c>
      <c r="W28" s="199">
        <f t="shared" ca="1" si="34"/>
        <v>46291</v>
      </c>
      <c r="X28" s="199">
        <f t="shared" ca="1" si="34"/>
        <v>46292</v>
      </c>
      <c r="AG28" s="200">
        <f t="shared" ca="1" si="35"/>
        <v>46223</v>
      </c>
      <c r="AH28" s="200">
        <f t="shared" ca="1" si="36"/>
        <v>46224</v>
      </c>
      <c r="AI28" s="200">
        <f t="shared" ca="1" si="37"/>
        <v>46225</v>
      </c>
      <c r="AJ28" s="200">
        <f t="shared" ca="1" si="38"/>
        <v>46226</v>
      </c>
      <c r="AK28" s="200">
        <f t="shared" ca="1" si="39"/>
        <v>46227</v>
      </c>
      <c r="AL28" s="200">
        <f t="shared" ca="1" si="40"/>
        <v>46228</v>
      </c>
      <c r="AM28" s="200">
        <f t="shared" ca="1" si="41"/>
        <v>46229</v>
      </c>
      <c r="AN28" s="200"/>
      <c r="AO28" s="200">
        <f t="shared" ca="1" si="42"/>
        <v>46251</v>
      </c>
      <c r="AP28" s="200">
        <f t="shared" ca="1" si="43"/>
        <v>46252</v>
      </c>
      <c r="AQ28" s="200">
        <f t="shared" ca="1" si="44"/>
        <v>46253</v>
      </c>
      <c r="AR28" s="200">
        <f t="shared" ca="1" si="45"/>
        <v>46254</v>
      </c>
      <c r="AS28" s="200">
        <f t="shared" ca="1" si="46"/>
        <v>46255</v>
      </c>
      <c r="AT28" s="200">
        <f t="shared" ca="1" si="47"/>
        <v>46256</v>
      </c>
      <c r="AU28" s="200">
        <f t="shared" ca="1" si="48"/>
        <v>46257</v>
      </c>
      <c r="AV28" s="200"/>
      <c r="AW28" s="200">
        <f t="shared" ca="1" si="49"/>
        <v>46286</v>
      </c>
      <c r="AX28" s="200">
        <f t="shared" ca="1" si="50"/>
        <v>46287</v>
      </c>
      <c r="AY28" s="200">
        <f t="shared" ca="1" si="51"/>
        <v>46288</v>
      </c>
      <c r="AZ28" s="200">
        <f t="shared" ca="1" si="52"/>
        <v>46289</v>
      </c>
      <c r="BA28" s="200">
        <f t="shared" ca="1" si="53"/>
        <v>46290</v>
      </c>
      <c r="BB28" s="200">
        <f t="shared" ca="1" si="54"/>
        <v>46291</v>
      </c>
      <c r="BC28" s="200">
        <f t="shared" ca="1" si="55"/>
        <v>46292</v>
      </c>
    </row>
    <row r="29" spans="2:55" x14ac:dyDescent="0.3">
      <c r="B29" s="199">
        <f t="shared" ca="1" si="32"/>
        <v>46230</v>
      </c>
      <c r="C29" s="199">
        <f t="shared" ca="1" si="32"/>
        <v>46231</v>
      </c>
      <c r="D29" s="199">
        <f t="shared" ca="1" si="32"/>
        <v>46232</v>
      </c>
      <c r="E29" s="199">
        <f t="shared" ca="1" si="32"/>
        <v>46233</v>
      </c>
      <c r="F29" s="199">
        <f t="shared" ca="1" si="32"/>
        <v>46234</v>
      </c>
      <c r="G29" s="199" t="str">
        <f t="shared" ca="1" si="32"/>
        <v/>
      </c>
      <c r="H29" s="199" t="str">
        <f t="shared" ca="1" si="32"/>
        <v/>
      </c>
      <c r="J29" s="199">
        <f t="shared" ca="1" si="33"/>
        <v>46258</v>
      </c>
      <c r="K29" s="199">
        <f t="shared" ca="1" si="33"/>
        <v>46259</v>
      </c>
      <c r="L29" s="199">
        <f t="shared" ca="1" si="33"/>
        <v>46260</v>
      </c>
      <c r="M29" s="199">
        <f t="shared" ca="1" si="33"/>
        <v>46261</v>
      </c>
      <c r="N29" s="199">
        <f t="shared" ca="1" si="33"/>
        <v>46262</v>
      </c>
      <c r="O29" s="199">
        <f t="shared" ca="1" si="33"/>
        <v>46263</v>
      </c>
      <c r="P29" s="199">
        <f t="shared" ca="1" si="33"/>
        <v>46264</v>
      </c>
      <c r="R29" s="199">
        <f t="shared" ca="1" si="34"/>
        <v>46293</v>
      </c>
      <c r="S29" s="199">
        <f t="shared" ca="1" si="34"/>
        <v>46294</v>
      </c>
      <c r="T29" s="199">
        <f t="shared" ca="1" si="34"/>
        <v>46295</v>
      </c>
      <c r="U29" s="199" t="str">
        <f t="shared" ca="1" si="34"/>
        <v/>
      </c>
      <c r="V29" s="199" t="str">
        <f t="shared" ca="1" si="34"/>
        <v/>
      </c>
      <c r="W29" s="199" t="str">
        <f t="shared" ca="1" si="34"/>
        <v/>
      </c>
      <c r="X29" s="199" t="str">
        <f t="shared" ca="1" si="34"/>
        <v/>
      </c>
      <c r="AG29" s="200">
        <f t="shared" ca="1" si="35"/>
        <v>46230</v>
      </c>
      <c r="AH29" s="200">
        <f t="shared" ca="1" si="36"/>
        <v>46231</v>
      </c>
      <c r="AI29" s="200">
        <f t="shared" ca="1" si="37"/>
        <v>46232</v>
      </c>
      <c r="AJ29" s="200">
        <f t="shared" ca="1" si="38"/>
        <v>46233</v>
      </c>
      <c r="AK29" s="200">
        <f t="shared" ca="1" si="39"/>
        <v>46234</v>
      </c>
      <c r="AL29" s="200" t="str">
        <f t="shared" ca="1" si="40"/>
        <v/>
      </c>
      <c r="AM29" s="200" t="str">
        <f t="shared" ca="1" si="41"/>
        <v/>
      </c>
      <c r="AN29" s="200"/>
      <c r="AO29" s="200">
        <f t="shared" ca="1" si="42"/>
        <v>46258</v>
      </c>
      <c r="AP29" s="200">
        <f t="shared" ca="1" si="43"/>
        <v>46259</v>
      </c>
      <c r="AQ29" s="200">
        <f t="shared" ca="1" si="44"/>
        <v>46260</v>
      </c>
      <c r="AR29" s="200">
        <f t="shared" ca="1" si="45"/>
        <v>46261</v>
      </c>
      <c r="AS29" s="200">
        <f t="shared" ca="1" si="46"/>
        <v>46262</v>
      </c>
      <c r="AT29" s="200">
        <f t="shared" ca="1" si="47"/>
        <v>46263</v>
      </c>
      <c r="AU29" s="200">
        <f t="shared" ca="1" si="48"/>
        <v>46264</v>
      </c>
      <c r="AV29" s="200"/>
      <c r="AW29" s="200">
        <f t="shared" ca="1" si="49"/>
        <v>46293</v>
      </c>
      <c r="AX29" s="200">
        <f t="shared" ca="1" si="50"/>
        <v>46294</v>
      </c>
      <c r="AY29" s="200">
        <f t="shared" ca="1" si="51"/>
        <v>46295</v>
      </c>
      <c r="AZ29" s="200" t="str">
        <f t="shared" ca="1" si="52"/>
        <v/>
      </c>
      <c r="BA29" s="200" t="str">
        <f t="shared" ca="1" si="53"/>
        <v/>
      </c>
      <c r="BB29" s="200" t="str">
        <f t="shared" ca="1" si="54"/>
        <v/>
      </c>
      <c r="BC29" s="200" t="str">
        <f t="shared" ca="1" si="55"/>
        <v/>
      </c>
    </row>
    <row r="30" spans="2:55" x14ac:dyDescent="0.3">
      <c r="B30" s="199" t="str">
        <f t="shared" ca="1" si="32"/>
        <v/>
      </c>
      <c r="C30" s="199" t="str">
        <f t="shared" ca="1" si="32"/>
        <v/>
      </c>
      <c r="D30" s="199" t="str">
        <f t="shared" ca="1" si="32"/>
        <v/>
      </c>
      <c r="E30" s="199" t="str">
        <f t="shared" ca="1" si="32"/>
        <v/>
      </c>
      <c r="F30" s="199" t="str">
        <f t="shared" ca="1" si="32"/>
        <v/>
      </c>
      <c r="G30" s="199" t="str">
        <f t="shared" ca="1" si="32"/>
        <v/>
      </c>
      <c r="H30" s="199" t="str">
        <f t="shared" ca="1" si="32"/>
        <v/>
      </c>
      <c r="J30" s="199">
        <f t="shared" ca="1" si="33"/>
        <v>46265</v>
      </c>
      <c r="K30" s="199" t="str">
        <f t="shared" ca="1" si="33"/>
        <v/>
      </c>
      <c r="L30" s="199" t="str">
        <f t="shared" ca="1" si="33"/>
        <v/>
      </c>
      <c r="M30" s="199" t="str">
        <f t="shared" ca="1" si="33"/>
        <v/>
      </c>
      <c r="N30" s="199" t="str">
        <f t="shared" ca="1" si="33"/>
        <v/>
      </c>
      <c r="O30" s="199" t="str">
        <f t="shared" ca="1" si="33"/>
        <v/>
      </c>
      <c r="P30" s="199" t="str">
        <f t="shared" ca="1" si="33"/>
        <v/>
      </c>
      <c r="R30" s="199" t="str">
        <f t="shared" ca="1" si="34"/>
        <v/>
      </c>
      <c r="S30" s="199" t="str">
        <f t="shared" ca="1" si="34"/>
        <v/>
      </c>
      <c r="T30" s="199" t="str">
        <f t="shared" ca="1" si="34"/>
        <v/>
      </c>
      <c r="U30" s="199" t="str">
        <f t="shared" ca="1" si="34"/>
        <v/>
      </c>
      <c r="V30" s="199" t="str">
        <f t="shared" ca="1" si="34"/>
        <v/>
      </c>
      <c r="W30" s="199" t="str">
        <f t="shared" ca="1" si="34"/>
        <v/>
      </c>
      <c r="X30" s="199" t="str">
        <f t="shared" ca="1" si="34"/>
        <v/>
      </c>
      <c r="AG30" s="200" t="str">
        <f t="shared" ca="1" si="35"/>
        <v/>
      </c>
      <c r="AH30" s="200" t="str">
        <f t="shared" ca="1" si="36"/>
        <v/>
      </c>
      <c r="AI30" s="200" t="str">
        <f t="shared" ca="1" si="37"/>
        <v/>
      </c>
      <c r="AJ30" s="200" t="str">
        <f t="shared" ca="1" si="38"/>
        <v/>
      </c>
      <c r="AK30" s="200" t="str">
        <f t="shared" ca="1" si="39"/>
        <v/>
      </c>
      <c r="AL30" s="200" t="str">
        <f t="shared" ca="1" si="40"/>
        <v/>
      </c>
      <c r="AM30" s="200" t="str">
        <f t="shared" ca="1" si="41"/>
        <v/>
      </c>
      <c r="AN30" s="200"/>
      <c r="AO30" s="200">
        <f t="shared" ca="1" si="42"/>
        <v>46265</v>
      </c>
      <c r="AP30" s="200" t="str">
        <f t="shared" ca="1" si="43"/>
        <v/>
      </c>
      <c r="AQ30" s="200" t="str">
        <f t="shared" ca="1" si="44"/>
        <v/>
      </c>
      <c r="AR30" s="200" t="str">
        <f t="shared" ca="1" si="45"/>
        <v/>
      </c>
      <c r="AS30" s="200" t="str">
        <f t="shared" ca="1" si="46"/>
        <v/>
      </c>
      <c r="AT30" s="200" t="str">
        <f t="shared" ca="1" si="47"/>
        <v/>
      </c>
      <c r="AU30" s="200" t="str">
        <f t="shared" ca="1" si="48"/>
        <v/>
      </c>
      <c r="AV30" s="200"/>
      <c r="AW30" s="200" t="str">
        <f t="shared" ca="1" si="49"/>
        <v/>
      </c>
      <c r="AX30" s="200" t="str">
        <f t="shared" ca="1" si="50"/>
        <v/>
      </c>
      <c r="AY30" s="200" t="str">
        <f t="shared" ca="1" si="51"/>
        <v/>
      </c>
      <c r="AZ30" s="200" t="str">
        <f t="shared" ca="1" si="52"/>
        <v/>
      </c>
      <c r="BA30" s="200" t="str">
        <f t="shared" ca="1" si="53"/>
        <v/>
      </c>
      <c r="BB30" s="200" t="str">
        <f t="shared" ca="1" si="54"/>
        <v/>
      </c>
      <c r="BC30" s="200" t="str">
        <f t="shared" ca="1" si="55"/>
        <v/>
      </c>
    </row>
    <row r="31" spans="2:55" ht="8.1" customHeight="1" x14ac:dyDescent="0.3"/>
    <row r="32" spans="2:55" ht="15.6" x14ac:dyDescent="0.3">
      <c r="B32" s="1245">
        <f ca="1">DATE(YEAR(R23+35),MONTH(R23+35),1)</f>
        <v>46296</v>
      </c>
      <c r="C32" s="1246"/>
      <c r="D32" s="1246"/>
      <c r="E32" s="1246"/>
      <c r="F32" s="1246"/>
      <c r="G32" s="1246"/>
      <c r="H32" s="1247"/>
      <c r="J32" s="1245">
        <f ca="1">DATE(YEAR(B32+35),MONTH(B32+35),1)</f>
        <v>46327</v>
      </c>
      <c r="K32" s="1246"/>
      <c r="L32" s="1246"/>
      <c r="M32" s="1246"/>
      <c r="N32" s="1246"/>
      <c r="O32" s="1246"/>
      <c r="P32" s="1247"/>
      <c r="R32" s="1245">
        <f ca="1">DATE(YEAR(J32+35),MONTH(J32+35),1)</f>
        <v>46357</v>
      </c>
      <c r="S32" s="1246"/>
      <c r="T32" s="1246"/>
      <c r="U32" s="1246"/>
      <c r="V32" s="1246"/>
      <c r="W32" s="1246"/>
      <c r="X32" s="1247"/>
      <c r="AG32" s="1240"/>
      <c r="AH32" s="1241"/>
      <c r="AI32" s="1241"/>
      <c r="AJ32" s="1241"/>
      <c r="AK32" s="1241"/>
      <c r="AL32" s="1241"/>
      <c r="AM32" s="1242"/>
      <c r="AO32" s="1240"/>
      <c r="AP32" s="1241"/>
      <c r="AQ32" s="1241"/>
      <c r="AR32" s="1241"/>
      <c r="AS32" s="1241"/>
      <c r="AT32" s="1241"/>
      <c r="AU32" s="1242"/>
      <c r="AW32" s="1240"/>
      <c r="AX32" s="1241"/>
      <c r="AY32" s="1241"/>
      <c r="AZ32" s="1241"/>
      <c r="BA32" s="1241"/>
      <c r="BB32" s="1241"/>
      <c r="BC32" s="1242"/>
    </row>
    <row r="33" spans="2:55" x14ac:dyDescent="0.3">
      <c r="B33" s="191" t="str">
        <f ca="1">$B$6</f>
        <v>Mo</v>
      </c>
      <c r="C33" s="192" t="str">
        <f ca="1">$C$6</f>
        <v>Tu</v>
      </c>
      <c r="D33" s="192" t="str">
        <f ca="1">$D$6</f>
        <v>We</v>
      </c>
      <c r="E33" s="192" t="str">
        <f ca="1">$E$6</f>
        <v>Th</v>
      </c>
      <c r="F33" s="192" t="str">
        <f ca="1">$F$6</f>
        <v>Fr</v>
      </c>
      <c r="G33" s="192" t="str">
        <f ca="1">$G$6</f>
        <v>Sa</v>
      </c>
      <c r="H33" s="193" t="str">
        <f ca="1">$H$6</f>
        <v>Su</v>
      </c>
      <c r="J33" s="191" t="str">
        <f ca="1">$B$6</f>
        <v>Mo</v>
      </c>
      <c r="K33" s="192" t="str">
        <f ca="1">$C$6</f>
        <v>Tu</v>
      </c>
      <c r="L33" s="192" t="str">
        <f ca="1">$D$6</f>
        <v>We</v>
      </c>
      <c r="M33" s="192" t="str">
        <f ca="1">$E$6</f>
        <v>Th</v>
      </c>
      <c r="N33" s="192" t="str">
        <f ca="1">$F$6</f>
        <v>Fr</v>
      </c>
      <c r="O33" s="192" t="str">
        <f ca="1">$G$6</f>
        <v>Sa</v>
      </c>
      <c r="P33" s="193" t="str">
        <f ca="1">$H$6</f>
        <v>Su</v>
      </c>
      <c r="R33" s="191" t="str">
        <f ca="1">$B$6</f>
        <v>Mo</v>
      </c>
      <c r="S33" s="192" t="str">
        <f ca="1">$C$6</f>
        <v>Tu</v>
      </c>
      <c r="T33" s="192" t="str">
        <f ca="1">$D$6</f>
        <v>We</v>
      </c>
      <c r="U33" s="192" t="str">
        <f ca="1">$E$6</f>
        <v>Th</v>
      </c>
      <c r="V33" s="192" t="str">
        <f ca="1">$F$6</f>
        <v>Fr</v>
      </c>
      <c r="W33" s="192" t="str">
        <f ca="1">$G$6</f>
        <v>Sa</v>
      </c>
      <c r="X33" s="193" t="str">
        <f ca="1">$H$6</f>
        <v>Su</v>
      </c>
      <c r="AG33" s="196"/>
      <c r="AH33" s="197"/>
      <c r="AI33" s="197"/>
      <c r="AJ33" s="197"/>
      <c r="AK33" s="197"/>
      <c r="AL33" s="197"/>
      <c r="AM33" s="198"/>
      <c r="AO33" s="196"/>
      <c r="AP33" s="197"/>
      <c r="AQ33" s="197"/>
      <c r="AR33" s="197"/>
      <c r="AS33" s="197"/>
      <c r="AT33" s="197"/>
      <c r="AU33" s="198"/>
      <c r="AW33" s="196"/>
      <c r="AX33" s="197"/>
      <c r="AY33" s="197"/>
      <c r="AZ33" s="197"/>
      <c r="BA33" s="197"/>
      <c r="BB33" s="197"/>
      <c r="BC33" s="198"/>
    </row>
    <row r="34" spans="2:55" x14ac:dyDescent="0.3">
      <c r="B34" s="199" t="str">
        <f t="shared" ref="B34:H39" ca="1" si="56">IF(MONTH($B$32)&lt;&gt;MONTH($B$32-(WEEKDAY($B$32,1)-($AA$6-1))-IF((WEEKDAY($B$32,1)-($AA$6-1))&lt;=0,7,0)+(ROW(B34)-ROW($B$34))*7+(COLUMN(B34)-COLUMN($B$34)+1)),"",$B$32-(WEEKDAY($B$32,1)-($AA$6-1))-IF((WEEKDAY($B$32,1)-($AA$6-1))&lt;=0,7,0)+(ROW(B34)-ROW($B$34))*7+(COLUMN(B34)-COLUMN($B$34)+1))</f>
        <v/>
      </c>
      <c r="C34" s="199" t="str">
        <f t="shared" ca="1" si="56"/>
        <v/>
      </c>
      <c r="D34" s="199" t="str">
        <f t="shared" ca="1" si="56"/>
        <v/>
      </c>
      <c r="E34" s="199">
        <f t="shared" ca="1" si="56"/>
        <v>46296</v>
      </c>
      <c r="F34" s="199">
        <f t="shared" ca="1" si="56"/>
        <v>46297</v>
      </c>
      <c r="G34" s="199">
        <f t="shared" ca="1" si="56"/>
        <v>46298</v>
      </c>
      <c r="H34" s="199">
        <f t="shared" ca="1" si="56"/>
        <v>46299</v>
      </c>
      <c r="J34" s="199" t="str">
        <f t="shared" ref="J34:P39" ca="1" si="57">IF(MONTH($J$32)&lt;&gt;MONTH($J$32-(WEEKDAY($J$32,1)-($AA$6-1))-IF((WEEKDAY($J$32,1)-($AA$6-1))&lt;=0,7,0)+(ROW(J34)-ROW($J$34))*7+(COLUMN(J34)-COLUMN($J$34)+1)),"",$J$32-(WEEKDAY($J$32,1)-($AA$6-1))-IF((WEEKDAY($J$32,1)-($AA$6-1))&lt;=0,7,0)+(ROW(J34)-ROW($J$34))*7+(COLUMN(J34)-COLUMN($J$34)+1))</f>
        <v/>
      </c>
      <c r="K34" s="199" t="str">
        <f t="shared" ca="1" si="57"/>
        <v/>
      </c>
      <c r="L34" s="199" t="str">
        <f t="shared" ca="1" si="57"/>
        <v/>
      </c>
      <c r="M34" s="199" t="str">
        <f t="shared" ca="1" si="57"/>
        <v/>
      </c>
      <c r="N34" s="199" t="str">
        <f t="shared" ca="1" si="57"/>
        <v/>
      </c>
      <c r="O34" s="199" t="str">
        <f t="shared" ca="1" si="57"/>
        <v/>
      </c>
      <c r="P34" s="199">
        <f t="shared" ca="1" si="57"/>
        <v>46327</v>
      </c>
      <c r="R34" s="199" t="str">
        <f t="shared" ref="R34:X39" ca="1" si="58">IF(MONTH($R$32)&lt;&gt;MONTH($R$32-(WEEKDAY($R$32,1)-($AA$6-1))-IF((WEEKDAY($R$32,1)-($AA$6-1))&lt;=0,7,0)+(ROW(R34)-ROW($R$34))*7+(COLUMN(R34)-COLUMN($R$34)+1)),"",$R$32-(WEEKDAY($R$32,1)-($AA$6-1))-IF((WEEKDAY($R$32,1)-($AA$6-1))&lt;=0,7,0)+(ROW(R34)-ROW($R$34))*7+(COLUMN(R34)-COLUMN($R$34)+1))</f>
        <v/>
      </c>
      <c r="S34" s="199">
        <f t="shared" ca="1" si="58"/>
        <v>46357</v>
      </c>
      <c r="T34" s="199">
        <f t="shared" ca="1" si="58"/>
        <v>46358</v>
      </c>
      <c r="U34" s="199">
        <f t="shared" ca="1" si="58"/>
        <v>46359</v>
      </c>
      <c r="V34" s="199">
        <f t="shared" ca="1" si="58"/>
        <v>46360</v>
      </c>
      <c r="W34" s="199">
        <f t="shared" ca="1" si="58"/>
        <v>46361</v>
      </c>
      <c r="X34" s="199">
        <f t="shared" ca="1" si="58"/>
        <v>46362</v>
      </c>
      <c r="AG34" s="200" t="str">
        <f t="shared" ref="AG34:AG39" ca="1" si="59">B34</f>
        <v/>
      </c>
      <c r="AH34" s="200" t="str">
        <f t="shared" ref="AH34:BC34" ca="1" si="60">C34</f>
        <v/>
      </c>
      <c r="AI34" s="200" t="str">
        <f t="shared" ca="1" si="60"/>
        <v/>
      </c>
      <c r="AJ34" s="200">
        <f t="shared" ca="1" si="60"/>
        <v>46296</v>
      </c>
      <c r="AK34" s="200">
        <f t="shared" ca="1" si="60"/>
        <v>46297</v>
      </c>
      <c r="AL34" s="200">
        <f t="shared" ca="1" si="60"/>
        <v>46298</v>
      </c>
      <c r="AM34" s="200">
        <f t="shared" ca="1" si="60"/>
        <v>46299</v>
      </c>
      <c r="AN34" s="200"/>
      <c r="AO34" s="200" t="str">
        <f t="shared" ca="1" si="60"/>
        <v/>
      </c>
      <c r="AP34" s="200" t="str">
        <f t="shared" ca="1" si="60"/>
        <v/>
      </c>
      <c r="AQ34" s="200" t="str">
        <f t="shared" ca="1" si="60"/>
        <v/>
      </c>
      <c r="AR34" s="200" t="str">
        <f t="shared" ca="1" si="60"/>
        <v/>
      </c>
      <c r="AS34" s="200" t="str">
        <f t="shared" ca="1" si="60"/>
        <v/>
      </c>
      <c r="AT34" s="200" t="str">
        <f t="shared" ca="1" si="60"/>
        <v/>
      </c>
      <c r="AU34" s="200">
        <f t="shared" ca="1" si="60"/>
        <v>46327</v>
      </c>
      <c r="AV34" s="200"/>
      <c r="AW34" s="200" t="str">
        <f t="shared" ca="1" si="60"/>
        <v/>
      </c>
      <c r="AX34" s="200">
        <f t="shared" ca="1" si="60"/>
        <v>46357</v>
      </c>
      <c r="AY34" s="200">
        <f t="shared" ca="1" si="60"/>
        <v>46358</v>
      </c>
      <c r="AZ34" s="200">
        <f t="shared" ca="1" si="60"/>
        <v>46359</v>
      </c>
      <c r="BA34" s="200">
        <f t="shared" ca="1" si="60"/>
        <v>46360</v>
      </c>
      <c r="BB34" s="200">
        <f t="shared" ca="1" si="60"/>
        <v>46361</v>
      </c>
      <c r="BC34" s="200">
        <f t="shared" ca="1" si="60"/>
        <v>46362</v>
      </c>
    </row>
    <row r="35" spans="2:55" x14ac:dyDescent="0.3">
      <c r="B35" s="199">
        <f t="shared" ca="1" si="56"/>
        <v>46300</v>
      </c>
      <c r="C35" s="199">
        <f t="shared" ca="1" si="56"/>
        <v>46301</v>
      </c>
      <c r="D35" s="199">
        <f t="shared" ca="1" si="56"/>
        <v>46302</v>
      </c>
      <c r="E35" s="199">
        <f t="shared" ca="1" si="56"/>
        <v>46303</v>
      </c>
      <c r="F35" s="199">
        <f t="shared" ca="1" si="56"/>
        <v>46304</v>
      </c>
      <c r="G35" s="199">
        <f t="shared" ca="1" si="56"/>
        <v>46305</v>
      </c>
      <c r="H35" s="199">
        <f t="shared" ca="1" si="56"/>
        <v>46306</v>
      </c>
      <c r="J35" s="199">
        <f t="shared" ca="1" si="57"/>
        <v>46328</v>
      </c>
      <c r="K35" s="199">
        <f t="shared" ca="1" si="57"/>
        <v>46329</v>
      </c>
      <c r="L35" s="199">
        <f t="shared" ca="1" si="57"/>
        <v>46330</v>
      </c>
      <c r="M35" s="199">
        <f t="shared" ca="1" si="57"/>
        <v>46331</v>
      </c>
      <c r="N35" s="199">
        <f t="shared" ca="1" si="57"/>
        <v>46332</v>
      </c>
      <c r="O35" s="199">
        <f t="shared" ca="1" si="57"/>
        <v>46333</v>
      </c>
      <c r="P35" s="199">
        <f t="shared" ca="1" si="57"/>
        <v>46334</v>
      </c>
      <c r="R35" s="199">
        <f t="shared" ca="1" si="58"/>
        <v>46363</v>
      </c>
      <c r="S35" s="199">
        <f t="shared" ca="1" si="58"/>
        <v>46364</v>
      </c>
      <c r="T35" s="199">
        <f t="shared" ca="1" si="58"/>
        <v>46365</v>
      </c>
      <c r="U35" s="199">
        <f t="shared" ca="1" si="58"/>
        <v>46366</v>
      </c>
      <c r="V35" s="199">
        <f t="shared" ca="1" si="58"/>
        <v>46367</v>
      </c>
      <c r="W35" s="199">
        <f t="shared" ca="1" si="58"/>
        <v>46368</v>
      </c>
      <c r="X35" s="199">
        <f t="shared" ca="1" si="58"/>
        <v>46369</v>
      </c>
      <c r="AG35" s="200">
        <f t="shared" ca="1" si="59"/>
        <v>46300</v>
      </c>
      <c r="AH35" s="200">
        <f t="shared" ref="AH35:AM39" ca="1" si="61">C35</f>
        <v>46301</v>
      </c>
      <c r="AI35" s="200">
        <f t="shared" ca="1" si="61"/>
        <v>46302</v>
      </c>
      <c r="AJ35" s="200">
        <f t="shared" ca="1" si="61"/>
        <v>46303</v>
      </c>
      <c r="AK35" s="200">
        <f t="shared" ca="1" si="61"/>
        <v>46304</v>
      </c>
      <c r="AL35" s="200">
        <f t="shared" ca="1" si="61"/>
        <v>46305</v>
      </c>
      <c r="AM35" s="200">
        <f t="shared" ca="1" si="61"/>
        <v>46306</v>
      </c>
      <c r="AN35" s="200"/>
      <c r="AO35" s="200">
        <f t="shared" ref="AO35:AU39" ca="1" si="62">J35</f>
        <v>46328</v>
      </c>
      <c r="AP35" s="200">
        <f t="shared" ca="1" si="62"/>
        <v>46329</v>
      </c>
      <c r="AQ35" s="200">
        <f t="shared" ca="1" si="62"/>
        <v>46330</v>
      </c>
      <c r="AR35" s="200">
        <f t="shared" ca="1" si="62"/>
        <v>46331</v>
      </c>
      <c r="AS35" s="200">
        <f t="shared" ca="1" si="62"/>
        <v>46332</v>
      </c>
      <c r="AT35" s="200">
        <f t="shared" ca="1" si="62"/>
        <v>46333</v>
      </c>
      <c r="AU35" s="200">
        <f t="shared" ca="1" si="62"/>
        <v>46334</v>
      </c>
      <c r="AV35" s="200"/>
      <c r="AW35" s="200">
        <f t="shared" ref="AW35:BC39" ca="1" si="63">R35</f>
        <v>46363</v>
      </c>
      <c r="AX35" s="200">
        <f t="shared" ca="1" si="63"/>
        <v>46364</v>
      </c>
      <c r="AY35" s="200">
        <f t="shared" ca="1" si="63"/>
        <v>46365</v>
      </c>
      <c r="AZ35" s="200">
        <f t="shared" ca="1" si="63"/>
        <v>46366</v>
      </c>
      <c r="BA35" s="200">
        <f t="shared" ca="1" si="63"/>
        <v>46367</v>
      </c>
      <c r="BB35" s="200">
        <f t="shared" ca="1" si="63"/>
        <v>46368</v>
      </c>
      <c r="BC35" s="200">
        <f t="shared" ca="1" si="63"/>
        <v>46369</v>
      </c>
    </row>
    <row r="36" spans="2:55" x14ac:dyDescent="0.3">
      <c r="B36" s="199">
        <f t="shared" ca="1" si="56"/>
        <v>46307</v>
      </c>
      <c r="C36" s="199">
        <f t="shared" ca="1" si="56"/>
        <v>46308</v>
      </c>
      <c r="D36" s="199">
        <f t="shared" ca="1" si="56"/>
        <v>46309</v>
      </c>
      <c r="E36" s="199">
        <f t="shared" ca="1" si="56"/>
        <v>46310</v>
      </c>
      <c r="F36" s="199">
        <f t="shared" ca="1" si="56"/>
        <v>46311</v>
      </c>
      <c r="G36" s="199">
        <f t="shared" ca="1" si="56"/>
        <v>46312</v>
      </c>
      <c r="H36" s="199">
        <f t="shared" ca="1" si="56"/>
        <v>46313</v>
      </c>
      <c r="J36" s="199">
        <f t="shared" ca="1" si="57"/>
        <v>46335</v>
      </c>
      <c r="K36" s="199">
        <f t="shared" ca="1" si="57"/>
        <v>46336</v>
      </c>
      <c r="L36" s="199">
        <f t="shared" ca="1" si="57"/>
        <v>46337</v>
      </c>
      <c r="M36" s="199">
        <f t="shared" ca="1" si="57"/>
        <v>46338</v>
      </c>
      <c r="N36" s="199">
        <f t="shared" ca="1" si="57"/>
        <v>46339</v>
      </c>
      <c r="O36" s="199">
        <f t="shared" ca="1" si="57"/>
        <v>46340</v>
      </c>
      <c r="P36" s="199">
        <f t="shared" ca="1" si="57"/>
        <v>46341</v>
      </c>
      <c r="R36" s="199">
        <f t="shared" ca="1" si="58"/>
        <v>46370</v>
      </c>
      <c r="S36" s="199">
        <f t="shared" ca="1" si="58"/>
        <v>46371</v>
      </c>
      <c r="T36" s="199">
        <f t="shared" ca="1" si="58"/>
        <v>46372</v>
      </c>
      <c r="U36" s="199">
        <f t="shared" ca="1" si="58"/>
        <v>46373</v>
      </c>
      <c r="V36" s="199">
        <f t="shared" ca="1" si="58"/>
        <v>46374</v>
      </c>
      <c r="W36" s="199">
        <f t="shared" ca="1" si="58"/>
        <v>46375</v>
      </c>
      <c r="X36" s="199">
        <f t="shared" ca="1" si="58"/>
        <v>46376</v>
      </c>
      <c r="AG36" s="200">
        <f t="shared" ca="1" si="59"/>
        <v>46307</v>
      </c>
      <c r="AH36" s="200">
        <f t="shared" ca="1" si="61"/>
        <v>46308</v>
      </c>
      <c r="AI36" s="200">
        <f t="shared" ca="1" si="61"/>
        <v>46309</v>
      </c>
      <c r="AJ36" s="200">
        <f t="shared" ca="1" si="61"/>
        <v>46310</v>
      </c>
      <c r="AK36" s="200">
        <f t="shared" ca="1" si="61"/>
        <v>46311</v>
      </c>
      <c r="AL36" s="200">
        <f t="shared" ca="1" si="61"/>
        <v>46312</v>
      </c>
      <c r="AM36" s="200">
        <f t="shared" ca="1" si="61"/>
        <v>46313</v>
      </c>
      <c r="AN36" s="200"/>
      <c r="AO36" s="200">
        <f t="shared" ca="1" si="62"/>
        <v>46335</v>
      </c>
      <c r="AP36" s="200">
        <f t="shared" ca="1" si="62"/>
        <v>46336</v>
      </c>
      <c r="AQ36" s="200">
        <f t="shared" ca="1" si="62"/>
        <v>46337</v>
      </c>
      <c r="AR36" s="200">
        <f t="shared" ca="1" si="62"/>
        <v>46338</v>
      </c>
      <c r="AS36" s="200">
        <f t="shared" ca="1" si="62"/>
        <v>46339</v>
      </c>
      <c r="AT36" s="200">
        <f t="shared" ca="1" si="62"/>
        <v>46340</v>
      </c>
      <c r="AU36" s="200">
        <f t="shared" ca="1" si="62"/>
        <v>46341</v>
      </c>
      <c r="AV36" s="200"/>
      <c r="AW36" s="200">
        <f t="shared" ca="1" si="63"/>
        <v>46370</v>
      </c>
      <c r="AX36" s="200">
        <f t="shared" ca="1" si="63"/>
        <v>46371</v>
      </c>
      <c r="AY36" s="200">
        <f t="shared" ca="1" si="63"/>
        <v>46372</v>
      </c>
      <c r="AZ36" s="200">
        <f t="shared" ca="1" si="63"/>
        <v>46373</v>
      </c>
      <c r="BA36" s="200">
        <f t="shared" ca="1" si="63"/>
        <v>46374</v>
      </c>
      <c r="BB36" s="200">
        <f t="shared" ca="1" si="63"/>
        <v>46375</v>
      </c>
      <c r="BC36" s="200">
        <f t="shared" ca="1" si="63"/>
        <v>46376</v>
      </c>
    </row>
    <row r="37" spans="2:55" x14ac:dyDescent="0.3">
      <c r="B37" s="199">
        <f t="shared" ca="1" si="56"/>
        <v>46314</v>
      </c>
      <c r="C37" s="199">
        <f t="shared" ca="1" si="56"/>
        <v>46315</v>
      </c>
      <c r="D37" s="199">
        <f t="shared" ca="1" si="56"/>
        <v>46316</v>
      </c>
      <c r="E37" s="199">
        <f t="shared" ca="1" si="56"/>
        <v>46317</v>
      </c>
      <c r="F37" s="199">
        <f t="shared" ca="1" si="56"/>
        <v>46318</v>
      </c>
      <c r="G37" s="199">
        <f t="shared" ca="1" si="56"/>
        <v>46319</v>
      </c>
      <c r="H37" s="199">
        <f t="shared" ca="1" si="56"/>
        <v>46320</v>
      </c>
      <c r="J37" s="199">
        <f t="shared" ca="1" si="57"/>
        <v>46342</v>
      </c>
      <c r="K37" s="199">
        <f t="shared" ca="1" si="57"/>
        <v>46343</v>
      </c>
      <c r="L37" s="199">
        <f t="shared" ca="1" si="57"/>
        <v>46344</v>
      </c>
      <c r="M37" s="199">
        <f t="shared" ca="1" si="57"/>
        <v>46345</v>
      </c>
      <c r="N37" s="199">
        <f t="shared" ca="1" si="57"/>
        <v>46346</v>
      </c>
      <c r="O37" s="199">
        <f t="shared" ca="1" si="57"/>
        <v>46347</v>
      </c>
      <c r="P37" s="199">
        <f t="shared" ca="1" si="57"/>
        <v>46348</v>
      </c>
      <c r="R37" s="199">
        <f t="shared" ca="1" si="58"/>
        <v>46377</v>
      </c>
      <c r="S37" s="199">
        <f t="shared" ca="1" si="58"/>
        <v>46378</v>
      </c>
      <c r="T37" s="199">
        <f t="shared" ca="1" si="58"/>
        <v>46379</v>
      </c>
      <c r="U37" s="199">
        <f t="shared" ca="1" si="58"/>
        <v>46380</v>
      </c>
      <c r="V37" s="199">
        <f t="shared" ca="1" si="58"/>
        <v>46381</v>
      </c>
      <c r="W37" s="199">
        <f t="shared" ca="1" si="58"/>
        <v>46382</v>
      </c>
      <c r="X37" s="199">
        <f t="shared" ca="1" si="58"/>
        <v>46383</v>
      </c>
      <c r="AG37" s="200">
        <f t="shared" ca="1" si="59"/>
        <v>46314</v>
      </c>
      <c r="AH37" s="200">
        <f t="shared" ca="1" si="61"/>
        <v>46315</v>
      </c>
      <c r="AI37" s="200">
        <f t="shared" ca="1" si="61"/>
        <v>46316</v>
      </c>
      <c r="AJ37" s="200">
        <f t="shared" ca="1" si="61"/>
        <v>46317</v>
      </c>
      <c r="AK37" s="200">
        <f t="shared" ca="1" si="61"/>
        <v>46318</v>
      </c>
      <c r="AL37" s="200">
        <f t="shared" ca="1" si="61"/>
        <v>46319</v>
      </c>
      <c r="AM37" s="200">
        <f t="shared" ca="1" si="61"/>
        <v>46320</v>
      </c>
      <c r="AN37" s="200"/>
      <c r="AO37" s="200">
        <f t="shared" ca="1" si="62"/>
        <v>46342</v>
      </c>
      <c r="AP37" s="200">
        <f t="shared" ca="1" si="62"/>
        <v>46343</v>
      </c>
      <c r="AQ37" s="200">
        <f t="shared" ca="1" si="62"/>
        <v>46344</v>
      </c>
      <c r="AR37" s="200">
        <f t="shared" ca="1" si="62"/>
        <v>46345</v>
      </c>
      <c r="AS37" s="200">
        <f t="shared" ca="1" si="62"/>
        <v>46346</v>
      </c>
      <c r="AT37" s="200">
        <f t="shared" ca="1" si="62"/>
        <v>46347</v>
      </c>
      <c r="AU37" s="200">
        <f t="shared" ca="1" si="62"/>
        <v>46348</v>
      </c>
      <c r="AV37" s="200"/>
      <c r="AW37" s="200">
        <f t="shared" ca="1" si="63"/>
        <v>46377</v>
      </c>
      <c r="AX37" s="200">
        <f t="shared" ca="1" si="63"/>
        <v>46378</v>
      </c>
      <c r="AY37" s="200">
        <f t="shared" ca="1" si="63"/>
        <v>46379</v>
      </c>
      <c r="AZ37" s="200">
        <f t="shared" ca="1" si="63"/>
        <v>46380</v>
      </c>
      <c r="BA37" s="200">
        <f t="shared" ca="1" si="63"/>
        <v>46381</v>
      </c>
      <c r="BB37" s="200">
        <f t="shared" ca="1" si="63"/>
        <v>46382</v>
      </c>
      <c r="BC37" s="200">
        <f t="shared" ca="1" si="63"/>
        <v>46383</v>
      </c>
    </row>
    <row r="38" spans="2:55" x14ac:dyDescent="0.3">
      <c r="B38" s="199">
        <f t="shared" ca="1" si="56"/>
        <v>46321</v>
      </c>
      <c r="C38" s="199">
        <f t="shared" ca="1" si="56"/>
        <v>46322</v>
      </c>
      <c r="D38" s="199">
        <f t="shared" ca="1" si="56"/>
        <v>46323</v>
      </c>
      <c r="E38" s="199">
        <f t="shared" ca="1" si="56"/>
        <v>46324</v>
      </c>
      <c r="F38" s="199">
        <f t="shared" ca="1" si="56"/>
        <v>46325</v>
      </c>
      <c r="G38" s="199">
        <f t="shared" ca="1" si="56"/>
        <v>46326</v>
      </c>
      <c r="H38" s="199" t="str">
        <f t="shared" ca="1" si="56"/>
        <v/>
      </c>
      <c r="J38" s="199">
        <f t="shared" ca="1" si="57"/>
        <v>46349</v>
      </c>
      <c r="K38" s="199">
        <f t="shared" ca="1" si="57"/>
        <v>46350</v>
      </c>
      <c r="L38" s="199">
        <f t="shared" ca="1" si="57"/>
        <v>46351</v>
      </c>
      <c r="M38" s="199">
        <f t="shared" ca="1" si="57"/>
        <v>46352</v>
      </c>
      <c r="N38" s="199">
        <f t="shared" ca="1" si="57"/>
        <v>46353</v>
      </c>
      <c r="O38" s="199">
        <f t="shared" ca="1" si="57"/>
        <v>46354</v>
      </c>
      <c r="P38" s="199">
        <f t="shared" ca="1" si="57"/>
        <v>46355</v>
      </c>
      <c r="R38" s="199">
        <f t="shared" ca="1" si="58"/>
        <v>46384</v>
      </c>
      <c r="S38" s="199">
        <f t="shared" ca="1" si="58"/>
        <v>46385</v>
      </c>
      <c r="T38" s="199">
        <f t="shared" ca="1" si="58"/>
        <v>46386</v>
      </c>
      <c r="U38" s="199">
        <f t="shared" ca="1" si="58"/>
        <v>46387</v>
      </c>
      <c r="V38" s="199" t="str">
        <f t="shared" ca="1" si="58"/>
        <v/>
      </c>
      <c r="W38" s="199" t="str">
        <f t="shared" ca="1" si="58"/>
        <v/>
      </c>
      <c r="X38" s="199" t="str">
        <f t="shared" ca="1" si="58"/>
        <v/>
      </c>
      <c r="AG38" s="200">
        <f t="shared" ca="1" si="59"/>
        <v>46321</v>
      </c>
      <c r="AH38" s="200">
        <f t="shared" ca="1" si="61"/>
        <v>46322</v>
      </c>
      <c r="AI38" s="200">
        <f t="shared" ca="1" si="61"/>
        <v>46323</v>
      </c>
      <c r="AJ38" s="200">
        <f t="shared" ca="1" si="61"/>
        <v>46324</v>
      </c>
      <c r="AK38" s="200">
        <f t="shared" ca="1" si="61"/>
        <v>46325</v>
      </c>
      <c r="AL38" s="200">
        <f t="shared" ca="1" si="61"/>
        <v>46326</v>
      </c>
      <c r="AM38" s="200" t="str">
        <f t="shared" ca="1" si="61"/>
        <v/>
      </c>
      <c r="AN38" s="200"/>
      <c r="AO38" s="200">
        <f t="shared" ca="1" si="62"/>
        <v>46349</v>
      </c>
      <c r="AP38" s="200">
        <f t="shared" ca="1" si="62"/>
        <v>46350</v>
      </c>
      <c r="AQ38" s="200">
        <f t="shared" ca="1" si="62"/>
        <v>46351</v>
      </c>
      <c r="AR38" s="200">
        <f t="shared" ca="1" si="62"/>
        <v>46352</v>
      </c>
      <c r="AS38" s="200">
        <f t="shared" ca="1" si="62"/>
        <v>46353</v>
      </c>
      <c r="AT38" s="200">
        <f t="shared" ca="1" si="62"/>
        <v>46354</v>
      </c>
      <c r="AU38" s="200">
        <f t="shared" ca="1" si="62"/>
        <v>46355</v>
      </c>
      <c r="AV38" s="200"/>
      <c r="AW38" s="200">
        <f t="shared" ca="1" si="63"/>
        <v>46384</v>
      </c>
      <c r="AX38" s="200">
        <f t="shared" ca="1" si="63"/>
        <v>46385</v>
      </c>
      <c r="AY38" s="200">
        <f t="shared" ca="1" si="63"/>
        <v>46386</v>
      </c>
      <c r="AZ38" s="200">
        <f t="shared" ca="1" si="63"/>
        <v>46387</v>
      </c>
      <c r="BA38" s="200" t="str">
        <f t="shared" ca="1" si="63"/>
        <v/>
      </c>
      <c r="BB38" s="200" t="str">
        <f t="shared" ca="1" si="63"/>
        <v/>
      </c>
      <c r="BC38" s="200" t="str">
        <f t="shared" ca="1" si="63"/>
        <v/>
      </c>
    </row>
    <row r="39" spans="2:55" x14ac:dyDescent="0.3">
      <c r="B39" s="199" t="str">
        <f t="shared" ca="1" si="56"/>
        <v/>
      </c>
      <c r="C39" s="199" t="str">
        <f t="shared" ca="1" si="56"/>
        <v/>
      </c>
      <c r="D39" s="199" t="str">
        <f t="shared" ca="1" si="56"/>
        <v/>
      </c>
      <c r="E39" s="199" t="str">
        <f t="shared" ca="1" si="56"/>
        <v/>
      </c>
      <c r="F39" s="199" t="str">
        <f t="shared" ca="1" si="56"/>
        <v/>
      </c>
      <c r="G39" s="199" t="str">
        <f t="shared" ca="1" si="56"/>
        <v/>
      </c>
      <c r="H39" s="199" t="str">
        <f t="shared" ca="1" si="56"/>
        <v/>
      </c>
      <c r="J39" s="199">
        <f t="shared" ca="1" si="57"/>
        <v>46356</v>
      </c>
      <c r="K39" s="199" t="str">
        <f t="shared" ca="1" si="57"/>
        <v/>
      </c>
      <c r="L39" s="199" t="str">
        <f t="shared" ca="1" si="57"/>
        <v/>
      </c>
      <c r="M39" s="199" t="str">
        <f t="shared" ca="1" si="57"/>
        <v/>
      </c>
      <c r="N39" s="199" t="str">
        <f t="shared" ca="1" si="57"/>
        <v/>
      </c>
      <c r="O39" s="199" t="str">
        <f t="shared" ca="1" si="57"/>
        <v/>
      </c>
      <c r="P39" s="199" t="str">
        <f t="shared" ca="1" si="57"/>
        <v/>
      </c>
      <c r="Q39" s="201" t="s">
        <v>707</v>
      </c>
      <c r="R39" s="199" t="str">
        <f t="shared" ca="1" si="58"/>
        <v/>
      </c>
      <c r="S39" s="199" t="str">
        <f t="shared" ca="1" si="58"/>
        <v/>
      </c>
      <c r="T39" s="199" t="str">
        <f t="shared" ca="1" si="58"/>
        <v/>
      </c>
      <c r="U39" s="199" t="str">
        <f t="shared" ca="1" si="58"/>
        <v/>
      </c>
      <c r="V39" s="199" t="str">
        <f t="shared" ca="1" si="58"/>
        <v/>
      </c>
      <c r="W39" s="199" t="str">
        <f t="shared" ca="1" si="58"/>
        <v/>
      </c>
      <c r="X39" s="199" t="str">
        <f t="shared" ca="1" si="58"/>
        <v/>
      </c>
      <c r="AG39" s="200" t="str">
        <f t="shared" ca="1" si="59"/>
        <v/>
      </c>
      <c r="AH39" s="200" t="str">
        <f t="shared" ca="1" si="61"/>
        <v/>
      </c>
      <c r="AI39" s="200" t="str">
        <f t="shared" ca="1" si="61"/>
        <v/>
      </c>
      <c r="AJ39" s="200" t="str">
        <f t="shared" ca="1" si="61"/>
        <v/>
      </c>
      <c r="AK39" s="200" t="str">
        <f t="shared" ca="1" si="61"/>
        <v/>
      </c>
      <c r="AL39" s="200" t="str">
        <f t="shared" ca="1" si="61"/>
        <v/>
      </c>
      <c r="AM39" s="200" t="str">
        <f t="shared" ca="1" si="61"/>
        <v/>
      </c>
      <c r="AN39" s="200"/>
      <c r="AO39" s="200">
        <f t="shared" ca="1" si="62"/>
        <v>46356</v>
      </c>
      <c r="AP39" s="200" t="str">
        <f t="shared" ca="1" si="62"/>
        <v/>
      </c>
      <c r="AQ39" s="200" t="str">
        <f t="shared" ca="1" si="62"/>
        <v/>
      </c>
      <c r="AR39" s="200" t="str">
        <f t="shared" ca="1" si="62"/>
        <v/>
      </c>
      <c r="AS39" s="200" t="str">
        <f t="shared" ca="1" si="62"/>
        <v/>
      </c>
      <c r="AT39" s="200" t="str">
        <f t="shared" ca="1" si="62"/>
        <v/>
      </c>
      <c r="AU39" s="200" t="str">
        <f t="shared" ca="1" si="62"/>
        <v/>
      </c>
      <c r="AV39" s="200"/>
      <c r="AW39" s="200" t="str">
        <f t="shared" ca="1" si="63"/>
        <v/>
      </c>
      <c r="AX39" s="200" t="str">
        <f t="shared" ca="1" si="63"/>
        <v/>
      </c>
      <c r="AY39" s="200" t="str">
        <f t="shared" ca="1" si="63"/>
        <v/>
      </c>
      <c r="AZ39" s="200" t="str">
        <f t="shared" ca="1" si="63"/>
        <v/>
      </c>
      <c r="BA39" s="200" t="str">
        <f t="shared" ca="1" si="63"/>
        <v/>
      </c>
      <c r="BB39" s="200" t="str">
        <f t="shared" ca="1" si="63"/>
        <v/>
      </c>
      <c r="BC39" s="200" t="str">
        <f t="shared" ca="1" si="63"/>
        <v/>
      </c>
    </row>
    <row r="40" spans="2:55" x14ac:dyDescent="0.3">
      <c r="B40" s="129" t="s">
        <v>1136</v>
      </c>
      <c r="X40" s="202"/>
      <c r="AG40" s="203"/>
      <c r="BC40" s="204"/>
    </row>
  </sheetData>
  <sheetProtection sheet="1" objects="1" scenarios="1" formatCells="0" formatColumns="0" formatRows="0" insertHyperlinks="0" selectLockedCells="1" sort="0" autoFilter="0"/>
  <mergeCells count="28">
    <mergeCell ref="B2:H2"/>
    <mergeCell ref="B3:X3"/>
    <mergeCell ref="B5:H5"/>
    <mergeCell ref="J5:P5"/>
    <mergeCell ref="R5:X5"/>
    <mergeCell ref="B32:H32"/>
    <mergeCell ref="J32:P32"/>
    <mergeCell ref="R32:X32"/>
    <mergeCell ref="B14:H14"/>
    <mergeCell ref="J14:P14"/>
    <mergeCell ref="R14:X14"/>
    <mergeCell ref="B23:H23"/>
    <mergeCell ref="J23:P23"/>
    <mergeCell ref="R23:X23"/>
    <mergeCell ref="AG2:AM2"/>
    <mergeCell ref="AG5:AM5"/>
    <mergeCell ref="AO5:AU5"/>
    <mergeCell ref="AG14:AM14"/>
    <mergeCell ref="AO14:AU14"/>
    <mergeCell ref="AW23:BC23"/>
    <mergeCell ref="AW32:BC32"/>
    <mergeCell ref="AG3:BC3"/>
    <mergeCell ref="AW5:BC5"/>
    <mergeCell ref="AG23:AM23"/>
    <mergeCell ref="AO23:AU23"/>
    <mergeCell ref="AG32:AM32"/>
    <mergeCell ref="AO32:AU32"/>
    <mergeCell ref="AW14:BC14"/>
  </mergeCells>
  <conditionalFormatting sqref="B7:H12 J7:P12 B16:H21 J16:P21 R16:X21 B25:H30 J25:P30 R25:X30 B34:H39 J34:P39 R34:X39 R7:X12">
    <cfRule type="cellIs" dxfId="21" priority="57" stopIfTrue="1" operator="equal">
      <formula>""</formula>
    </cfRule>
  </conditionalFormatting>
  <conditionalFormatting sqref="B7:H12">
    <cfRule type="expression" dxfId="20" priority="53">
      <formula>AND(MONTH($B$5)=MONTH(TODAY()),DAY(B7)=DAY(TODAY()))</formula>
    </cfRule>
  </conditionalFormatting>
  <conditionalFormatting sqref="J7:P12">
    <cfRule type="expression" dxfId="19" priority="52">
      <formula>AND(MONTH($J$5)=MONTH(TODAY()),DAY(J7)=DAY(TODAY()))</formula>
    </cfRule>
  </conditionalFormatting>
  <conditionalFormatting sqref="R7:X12">
    <cfRule type="expression" dxfId="18" priority="51">
      <formula>AND(MONTH($R$5)=MONTH(TODAY()),DAY(R7)=DAY(TODAY()))</formula>
    </cfRule>
  </conditionalFormatting>
  <conditionalFormatting sqref="B16:H21">
    <cfRule type="expression" dxfId="17" priority="50">
      <formula>AND(MONTH($B$14)=MONTH(TODAY()),DAY(B16)=DAY(TODAY()))</formula>
    </cfRule>
  </conditionalFormatting>
  <conditionalFormatting sqref="J16:P21">
    <cfRule type="expression" dxfId="16" priority="49">
      <formula>AND(MONTH($J$14)=MONTH(TODAY()),DAY(J16)=DAY(TODAY()))</formula>
    </cfRule>
  </conditionalFormatting>
  <conditionalFormatting sqref="R16:X21">
    <cfRule type="expression" dxfId="15" priority="48">
      <formula>AND(MONTH($R$14)=MONTH(TODAY()),DAY(R16)=DAY(TODAY()))</formula>
    </cfRule>
  </conditionalFormatting>
  <conditionalFormatting sqref="B25:H30">
    <cfRule type="expression" dxfId="14" priority="47">
      <formula>AND(MONTH($B$23)=MONTH(TODAY()),DAY(B25)=DAY(TODAY()))</formula>
    </cfRule>
  </conditionalFormatting>
  <conditionalFormatting sqref="J25:P30">
    <cfRule type="expression" dxfId="13" priority="46">
      <formula>AND(MONTH($J$23)=MONTH(TODAY()),DAY(J25)=DAY(TODAY()))</formula>
    </cfRule>
  </conditionalFormatting>
  <conditionalFormatting sqref="R25:X30">
    <cfRule type="expression" dxfId="12" priority="45">
      <formula>AND(MONTH($R$23)=MONTH(TODAY()),DAY(R25)=DAY(TODAY()))</formula>
    </cfRule>
  </conditionalFormatting>
  <conditionalFormatting sqref="B34:H39">
    <cfRule type="expression" dxfId="11" priority="44">
      <formula>AND(MONTH($B$32)=MONTH(TODAY()),DAY(B34)=DAY(TODAY()))</formula>
    </cfRule>
  </conditionalFormatting>
  <conditionalFormatting sqref="J34:P39">
    <cfRule type="expression" dxfId="10" priority="43">
      <formula>AND(MONTH($J$32)=MONTH(TODAY()),DAY(J34)=DAY(TODAY()))</formula>
    </cfRule>
  </conditionalFormatting>
  <conditionalFormatting sqref="R34:X39">
    <cfRule type="expression" dxfId="9" priority="42">
      <formula>AND(MONTH($R$32)=MONTH(TODAY()),DAY(R34)=DAY(TODAY()))</formula>
    </cfRule>
  </conditionalFormatting>
  <conditionalFormatting sqref="AG7:BC12">
    <cfRule type="cellIs" dxfId="8" priority="19" stopIfTrue="1" operator="equal">
      <formula>""</formula>
    </cfRule>
  </conditionalFormatting>
  <conditionalFormatting sqref="AG7:BC12">
    <cfRule type="expression" dxfId="7" priority="18">
      <formula>AND(MONTH($B$5)=MONTH(TODAY()),DAY(AG7)=DAY(TODAY()))</formula>
    </cfRule>
  </conditionalFormatting>
  <conditionalFormatting sqref="AG16:BC21">
    <cfRule type="cellIs" dxfId="6" priority="6" stopIfTrue="1" operator="equal">
      <formula>""</formula>
    </cfRule>
  </conditionalFormatting>
  <conditionalFormatting sqref="AG16:BC21">
    <cfRule type="expression" dxfId="5" priority="5">
      <formula>AND(MONTH($B$5)=MONTH(TODAY()),DAY(AG16)=DAY(TODAY()))</formula>
    </cfRule>
  </conditionalFormatting>
  <conditionalFormatting sqref="AG25:BC30">
    <cfRule type="cellIs" dxfId="4" priority="4" stopIfTrue="1" operator="equal">
      <formula>""</formula>
    </cfRule>
  </conditionalFormatting>
  <conditionalFormatting sqref="AG25:BC30">
    <cfRule type="expression" dxfId="3" priority="3">
      <formula>AND(MONTH($B$5)=MONTH(TODAY()),DAY(AG25)=DAY(TODAY()))</formula>
    </cfRule>
  </conditionalFormatting>
  <conditionalFormatting sqref="AG34:BC39">
    <cfRule type="cellIs" dxfId="2" priority="2" stopIfTrue="1" operator="equal">
      <formula>""</formula>
    </cfRule>
  </conditionalFormatting>
  <conditionalFormatting sqref="AG34:BC39">
    <cfRule type="expression" dxfId="1" priority="1">
      <formula>AND(MONTH($B$5)=MONTH(TODAY()),DAY(AG34)=DAY(TODAY()))</formula>
    </cfRule>
  </conditionalFormatting>
  <printOptions horizontalCentered="1"/>
  <pageMargins left="0.78740157499999996" right="0.78740157499999996" top="0.75" bottom="0.75" header="0.5" footer="0.5"/>
  <pageSetup orientation="portrait"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Tabelle7"/>
  <dimension ref="B3:P43"/>
  <sheetViews>
    <sheetView showGridLines="0" zoomScaleNormal="100" workbookViewId="0">
      <selection activeCell="A2" sqref="A2"/>
    </sheetView>
  </sheetViews>
  <sheetFormatPr baseColWidth="10" defaultColWidth="11.5546875" defaultRowHeight="14.4" x14ac:dyDescent="0.3"/>
  <cols>
    <col min="1" max="1" width="11.44140625" style="78"/>
    <col min="2" max="2" width="11.5546875" style="78"/>
    <col min="3" max="3" width="0.5546875" style="78" customWidth="1"/>
    <col min="4" max="4" width="32.44140625" style="78" customWidth="1"/>
    <col min="5" max="5" width="0.44140625" style="78" customWidth="1"/>
    <col min="6" max="7" width="11.5546875" style="78"/>
    <col min="8" max="9" width="0" style="78" hidden="1" customWidth="1"/>
    <col min="10" max="11" width="0.109375" style="78" customWidth="1"/>
    <col min="12" max="12" width="10.33203125" style="78" customWidth="1"/>
    <col min="13" max="13" width="11.5546875" style="78"/>
    <col min="14" max="14" width="40.5546875" style="78" customWidth="1"/>
    <col min="15" max="15" width="49.33203125" style="78" customWidth="1"/>
    <col min="16" max="16" width="4.6640625" style="78" customWidth="1"/>
    <col min="17" max="16384" width="11.5546875" style="78"/>
  </cols>
  <sheetData>
    <row r="3" spans="2:15" x14ac:dyDescent="0.3">
      <c r="M3" s="1070"/>
      <c r="N3" s="1250" t="str">
        <f ca="1">' '!A391</f>
        <v>Agile Manifesto</v>
      </c>
      <c r="O3" s="1250"/>
    </row>
    <row r="4" spans="2:15" ht="20.25" customHeight="1" x14ac:dyDescent="0.3">
      <c r="B4" s="170"/>
      <c r="C4" s="170"/>
      <c r="D4" s="171" t="str">
        <f ca="1">' '!A47</f>
        <v>Your logo:</v>
      </c>
      <c r="E4" s="170"/>
      <c r="F4" s="170"/>
      <c r="M4" s="1070"/>
      <c r="N4" s="1250"/>
      <c r="O4" s="1250"/>
    </row>
    <row r="5" spans="2:15" ht="3.75" customHeight="1" x14ac:dyDescent="0.3">
      <c r="B5" s="170"/>
      <c r="F5" s="170"/>
      <c r="M5" s="1070"/>
      <c r="N5" s="1070"/>
      <c r="O5" s="1070"/>
    </row>
    <row r="6" spans="2:15" ht="41.25" customHeight="1" x14ac:dyDescent="0.3">
      <c r="B6" s="170"/>
      <c r="D6" s="172"/>
      <c r="F6" s="170"/>
      <c r="M6" s="1070"/>
      <c r="N6" s="1253" t="str">
        <f ca="1">' '!A392</f>
        <v>We are uncovering better ways of developing software by doing it and helping others do it. Through this work we have come to value:</v>
      </c>
      <c r="O6" s="1254"/>
    </row>
    <row r="7" spans="2:15" ht="3" customHeight="1" x14ac:dyDescent="0.3">
      <c r="B7" s="170"/>
      <c r="F7" s="170"/>
      <c r="M7" s="1070"/>
      <c r="N7" s="1070"/>
      <c r="O7" s="1070"/>
    </row>
    <row r="8" spans="2:15" x14ac:dyDescent="0.3">
      <c r="B8" s="170"/>
      <c r="C8" s="170"/>
      <c r="D8" s="170"/>
      <c r="E8" s="170"/>
      <c r="F8" s="170"/>
      <c r="M8" s="1070"/>
      <c r="N8" s="1070"/>
      <c r="O8" s="1070"/>
    </row>
    <row r="9" spans="2:15" ht="9" customHeight="1" x14ac:dyDescent="0.3">
      <c r="B9" s="170"/>
      <c r="C9" s="170"/>
      <c r="D9" s="170"/>
      <c r="E9" s="170"/>
      <c r="F9" s="170"/>
      <c r="M9" s="1070"/>
      <c r="N9" s="1070"/>
      <c r="O9" s="1070"/>
    </row>
    <row r="10" spans="2:15" ht="18" x14ac:dyDescent="0.35">
      <c r="M10" s="1070"/>
      <c r="N10" s="1084" t="str">
        <f ca="1">' '!A393</f>
        <v>Individuals and interactions</v>
      </c>
      <c r="O10" s="1083" t="str">
        <f ca="1">' '!A394</f>
        <v>over processes and tools</v>
      </c>
    </row>
    <row r="11" spans="2:15" ht="18" x14ac:dyDescent="0.35">
      <c r="M11" s="1070"/>
      <c r="N11" s="1084" t="str">
        <f ca="1">' '!A395</f>
        <v>Working software</v>
      </c>
      <c r="O11" s="1083" t="str">
        <f ca="1">' '!A396</f>
        <v>over comprehensive documentation</v>
      </c>
    </row>
    <row r="12" spans="2:15" ht="18" x14ac:dyDescent="0.35">
      <c r="B12" s="173" t="str">
        <f ca="1">' '!A373</f>
        <v>Currency:</v>
      </c>
      <c r="D12" s="174" t="s">
        <v>1121</v>
      </c>
      <c r="E12" s="175"/>
      <c r="F12" s="175" t="str">
        <f ca="1">' '!A50</f>
        <v>CHF? h?</v>
      </c>
      <c r="M12" s="1070"/>
      <c r="N12" s="1084" t="str">
        <f ca="1">' '!A397</f>
        <v>Customer collaboration</v>
      </c>
      <c r="O12" s="1083" t="str">
        <f ca="1">' '!A398</f>
        <v>over contract negotiation</v>
      </c>
    </row>
    <row r="13" spans="2:15" ht="18" x14ac:dyDescent="0.35">
      <c r="M13" s="1070"/>
      <c r="N13" s="1084" t="str">
        <f ca="1">' '!A399</f>
        <v>Responding to change</v>
      </c>
      <c r="O13" s="1083" t="str">
        <f ca="1">' '!A400</f>
        <v>over following a plan</v>
      </c>
    </row>
    <row r="14" spans="2:15" x14ac:dyDescent="0.3">
      <c r="B14" s="173" t="str">
        <f ca="1">' '!A378</f>
        <v>red</v>
      </c>
      <c r="D14" s="704">
        <v>0.5</v>
      </c>
      <c r="E14" s="175"/>
      <c r="F14" s="175"/>
      <c r="J14" s="78" t="s">
        <v>1146</v>
      </c>
      <c r="K14" s="705">
        <v>0.5</v>
      </c>
      <c r="M14" s="1070"/>
      <c r="N14" s="1070"/>
      <c r="O14" s="1070"/>
    </row>
    <row r="15" spans="2:15" ht="15.75" customHeight="1" x14ac:dyDescent="0.3">
      <c r="B15" s="173" t="str">
        <f ca="1">' '!A377</f>
        <v>orange</v>
      </c>
      <c r="D15" s="704">
        <v>0.3</v>
      </c>
      <c r="E15" s="175"/>
      <c r="F15" s="175"/>
      <c r="J15" s="78" t="s">
        <v>1144</v>
      </c>
      <c r="K15" s="705">
        <v>3.0000000000000001E-3</v>
      </c>
      <c r="M15" s="1085"/>
      <c r="N15" s="1256" t="str">
        <f ca="1">' '!A401</f>
        <v>That is, while there is value in the items on the right, we value the items on the left more.</v>
      </c>
      <c r="O15" s="1256"/>
    </row>
    <row r="16" spans="2:15" ht="21" customHeight="1" x14ac:dyDescent="0.3">
      <c r="B16" s="173" t="str">
        <f ca="1">' '!A376</f>
        <v>green</v>
      </c>
      <c r="D16" s="704">
        <v>0.2</v>
      </c>
      <c r="E16" s="175"/>
      <c r="F16" s="175"/>
      <c r="J16" s="78" t="s">
        <v>64</v>
      </c>
      <c r="K16" s="705">
        <f>2-K14-K15</f>
        <v>1.4970000000000001</v>
      </c>
      <c r="M16" s="1085"/>
      <c r="N16" s="1256"/>
      <c r="O16" s="1256"/>
    </row>
    <row r="17" spans="2:15" ht="0.15" customHeight="1" x14ac:dyDescent="0.3">
      <c r="B17" s="173" t="s">
        <v>1142</v>
      </c>
      <c r="D17" s="704">
        <f>SUM(D14:D16)</f>
        <v>1</v>
      </c>
      <c r="E17" s="175"/>
      <c r="F17" s="175"/>
      <c r="M17" s="1070"/>
      <c r="N17" s="1070"/>
      <c r="O17" s="1070"/>
    </row>
    <row r="18" spans="2:15" x14ac:dyDescent="0.3">
      <c r="B18" s="706" t="str">
        <f ca="1">' '!A219</f>
        <v>TOTAL</v>
      </c>
      <c r="C18" s="707"/>
      <c r="D18" s="708">
        <f>SUM(D17)</f>
        <v>1</v>
      </c>
      <c r="E18" s="175"/>
      <c r="F18" s="175"/>
      <c r="M18" s="1071"/>
      <c r="N18" s="1072"/>
      <c r="O18" s="1072"/>
    </row>
    <row r="19" spans="2:15" x14ac:dyDescent="0.3">
      <c r="M19" s="1078"/>
      <c r="N19" s="1251" t="str">
        <f ca="1">' '!A402</f>
        <v>Our highest priority is to satisfy the customer through early and continuous delivery of valuable software.</v>
      </c>
      <c r="O19" s="1252" t="str">
        <f ca="1">' '!A408</f>
        <v>Working software is the primary measure of progress.</v>
      </c>
    </row>
    <row r="20" spans="2:15" x14ac:dyDescent="0.3">
      <c r="B20" s="175" t="str">
        <f ca="1">' '!A109</f>
        <v>Stage</v>
      </c>
      <c r="C20" s="175"/>
      <c r="D20" s="175"/>
      <c r="E20" s="175"/>
      <c r="F20" s="175"/>
      <c r="M20" s="1074"/>
      <c r="N20" s="1251"/>
      <c r="O20" s="1252"/>
    </row>
    <row r="21" spans="2:15" ht="16.5" customHeight="1" x14ac:dyDescent="0.3">
      <c r="B21" s="175"/>
      <c r="C21" s="175"/>
      <c r="D21" s="175"/>
      <c r="E21" s="175"/>
      <c r="F21" s="175"/>
      <c r="M21" s="1074"/>
      <c r="N21" s="1251"/>
      <c r="O21" s="1252"/>
    </row>
    <row r="22" spans="2:15" ht="15" customHeight="1" x14ac:dyDescent="0.3">
      <c r="B22" s="941" t="str">
        <f ca="1">' '!A110</f>
        <v>Not started</v>
      </c>
      <c r="C22" s="941"/>
      <c r="D22" s="941"/>
      <c r="E22" s="941"/>
      <c r="F22" s="941"/>
      <c r="M22" s="1074"/>
      <c r="N22" s="304"/>
      <c r="O22" s="304"/>
    </row>
    <row r="23" spans="2:15" x14ac:dyDescent="0.3">
      <c r="B23" s="941" t="str">
        <f ca="1">' '!A111</f>
        <v>In progress</v>
      </c>
      <c r="C23" s="941"/>
      <c r="D23" s="941"/>
      <c r="E23" s="941"/>
      <c r="F23" s="941"/>
      <c r="M23" s="1074"/>
      <c r="N23" s="1251" t="str">
        <f ca="1">' '!A403</f>
        <v>Welcome changing requirements, even late in development. Agile processes harness change for the customer’s competitive advantage.</v>
      </c>
      <c r="O23" s="1252" t="str">
        <f ca="1">' '!A409</f>
        <v>Agile processes promote sustainable development. The sponsors, developers, and users should be able to maintain a constant pace indefinitely.</v>
      </c>
    </row>
    <row r="24" spans="2:15" x14ac:dyDescent="0.3">
      <c r="B24" s="941" t="str">
        <f ca="1">' '!A112</f>
        <v>Stopped</v>
      </c>
      <c r="C24" s="941"/>
      <c r="D24" s="941"/>
      <c r="E24" s="941"/>
      <c r="F24" s="941"/>
      <c r="M24" s="1074"/>
      <c r="N24" s="1251"/>
      <c r="O24" s="1252"/>
    </row>
    <row r="25" spans="2:15" x14ac:dyDescent="0.3">
      <c r="B25" s="941" t="str">
        <f ca="1">' '!A113</f>
        <v>Testing</v>
      </c>
      <c r="C25" s="941"/>
      <c r="D25" s="941"/>
      <c r="E25" s="941"/>
      <c r="F25" s="941"/>
      <c r="M25" s="1074"/>
      <c r="N25" s="1251"/>
      <c r="O25" s="1252"/>
    </row>
    <row r="26" spans="2:15" x14ac:dyDescent="0.3">
      <c r="B26" s="941" t="str">
        <f ca="1">' '!A114</f>
        <v>Completed</v>
      </c>
      <c r="C26" s="941"/>
      <c r="D26" s="941"/>
      <c r="E26" s="941"/>
      <c r="F26" s="941"/>
      <c r="M26" s="1074"/>
      <c r="N26" s="304"/>
      <c r="O26" s="304"/>
    </row>
    <row r="27" spans="2:15" x14ac:dyDescent="0.3">
      <c r="B27" s="941" t="str">
        <f ca="1">' '!A115</f>
        <v>Accepted</v>
      </c>
      <c r="C27" s="941"/>
      <c r="D27" s="941"/>
      <c r="E27" s="941"/>
      <c r="F27" s="941"/>
      <c r="M27" s="1074"/>
      <c r="N27" s="1251" t="str">
        <f ca="1">' '!A404</f>
        <v>Deliver working software frequently, from a couple of weeks to a couple of months, with a preference to the shorter timescale.</v>
      </c>
      <c r="O27" s="1252" t="str">
        <f ca="1">' '!A410</f>
        <v>Continuous attention to technical excellence and good design enhances agility.</v>
      </c>
    </row>
    <row r="28" spans="2:15" x14ac:dyDescent="0.3">
      <c r="B28" s="941"/>
      <c r="C28" s="941"/>
      <c r="D28" s="941"/>
      <c r="E28" s="941"/>
      <c r="F28" s="941"/>
      <c r="M28" s="1074"/>
      <c r="N28" s="1251"/>
      <c r="O28" s="1252"/>
    </row>
    <row r="29" spans="2:15" x14ac:dyDescent="0.3">
      <c r="B29" s="941"/>
      <c r="C29" s="941"/>
      <c r="D29" s="941"/>
      <c r="E29" s="941"/>
      <c r="F29" s="941"/>
      <c r="M29" s="1074"/>
      <c r="N29" s="1251"/>
      <c r="O29" s="1252"/>
    </row>
    <row r="30" spans="2:15" x14ac:dyDescent="0.3">
      <c r="B30" s="129" t="s">
        <v>1136</v>
      </c>
      <c r="M30" s="1074"/>
      <c r="N30" s="304"/>
      <c r="O30" s="304"/>
    </row>
    <row r="31" spans="2:15" x14ac:dyDescent="0.3">
      <c r="M31" s="1074"/>
      <c r="N31" s="1251" t="str">
        <f ca="1">' '!A405</f>
        <v>Business people and developers must work together daily throughout the project.</v>
      </c>
      <c r="O31" s="1252" t="str">
        <f ca="1">' '!A411</f>
        <v>Simplicity–the art of maximizing the amount of work not done–is essential.</v>
      </c>
    </row>
    <row r="32" spans="2:15" x14ac:dyDescent="0.3">
      <c r="M32" s="1074"/>
      <c r="N32" s="1251"/>
      <c r="O32" s="1252"/>
    </row>
    <row r="33" spans="13:16" x14ac:dyDescent="0.3">
      <c r="M33" s="1074"/>
      <c r="N33" s="1251"/>
      <c r="O33" s="1252"/>
      <c r="P33" s="1073"/>
    </row>
    <row r="34" spans="13:16" x14ac:dyDescent="0.3">
      <c r="M34" s="1074"/>
      <c r="N34" s="304"/>
      <c r="O34" s="304"/>
      <c r="P34" s="1073"/>
    </row>
    <row r="35" spans="13:16" x14ac:dyDescent="0.3">
      <c r="M35" s="1074"/>
      <c r="N35" s="1251" t="str">
        <f ca="1">' '!A406</f>
        <v>Build projects around motivated individuals. Give them the environment and support they need, and trust them to get the job done.</v>
      </c>
      <c r="O35" s="1252" t="str">
        <f ca="1">' '!A412</f>
        <v>The best architectures, requirements, and designs emerge from self-organizing teams.</v>
      </c>
      <c r="P35" s="1073"/>
    </row>
    <row r="36" spans="13:16" x14ac:dyDescent="0.3">
      <c r="M36" s="1074"/>
      <c r="N36" s="1251"/>
      <c r="O36" s="1252"/>
      <c r="P36" s="1073"/>
    </row>
    <row r="37" spans="13:16" x14ac:dyDescent="0.3">
      <c r="M37" s="1074"/>
      <c r="N37" s="1251"/>
      <c r="O37" s="1252"/>
      <c r="P37" s="1073"/>
    </row>
    <row r="38" spans="13:16" x14ac:dyDescent="0.3">
      <c r="M38" s="1074"/>
      <c r="N38" s="304"/>
      <c r="O38" s="304"/>
      <c r="P38" s="1073"/>
    </row>
    <row r="39" spans="13:16" x14ac:dyDescent="0.3">
      <c r="M39" s="1074"/>
      <c r="N39" s="1251" t="str">
        <f ca="1">' '!A407</f>
        <v>The most efficient and effective method of conveying information to and within a development team is face-to-face conversation.</v>
      </c>
      <c r="O39" s="1252" t="str">
        <f ca="1">' '!A413</f>
        <v>At regular intervals, the team reflects on how to become more effective, then tunes and adjusts its behavior accordingly.</v>
      </c>
      <c r="P39" s="1073"/>
    </row>
    <row r="40" spans="13:16" x14ac:dyDescent="0.3">
      <c r="M40" s="1074"/>
      <c r="N40" s="1251"/>
      <c r="O40" s="1252"/>
      <c r="P40" s="1073"/>
    </row>
    <row r="41" spans="13:16" x14ac:dyDescent="0.3">
      <c r="M41" s="1074"/>
      <c r="N41" s="1251"/>
      <c r="O41" s="1252"/>
      <c r="P41" s="1073"/>
    </row>
    <row r="42" spans="13:16" x14ac:dyDescent="0.3">
      <c r="M42" s="1075"/>
      <c r="N42" s="1076"/>
      <c r="O42" s="1076"/>
      <c r="P42" s="1077"/>
    </row>
    <row r="43" spans="13:16" ht="25.5" customHeight="1" x14ac:dyDescent="0.3">
      <c r="M43" s="1255" t="s">
        <v>1452</v>
      </c>
      <c r="N43" s="1255"/>
      <c r="O43" s="1255"/>
      <c r="P43" s="1255"/>
    </row>
  </sheetData>
  <sheetProtection sheet="1" scenarios="1" formatCells="0" formatColumns="0" formatRows="0" insertHyperlinks="0" sort="0" autoFilter="0"/>
  <mergeCells count="16">
    <mergeCell ref="M43:P43"/>
    <mergeCell ref="N15:O16"/>
    <mergeCell ref="O31:O33"/>
    <mergeCell ref="O35:O37"/>
    <mergeCell ref="O39:O41"/>
    <mergeCell ref="N27:N29"/>
    <mergeCell ref="N31:N33"/>
    <mergeCell ref="N35:N37"/>
    <mergeCell ref="N39:N41"/>
    <mergeCell ref="N3:O4"/>
    <mergeCell ref="N19:N21"/>
    <mergeCell ref="O19:O21"/>
    <mergeCell ref="O23:O25"/>
    <mergeCell ref="O27:O29"/>
    <mergeCell ref="N23:N25"/>
    <mergeCell ref="N6:O6"/>
  </mergeCells>
  <conditionalFormatting sqref="D18">
    <cfRule type="expression" dxfId="0" priority="1">
      <formula>$D$18&lt;&gt;100%</formula>
    </cfRule>
  </conditionalFormatting>
  <dataValidations disablePrompts="1" count="1">
    <dataValidation type="custom" errorStyle="warning" allowBlank="1" showInputMessage="1" showErrorMessage="1" errorTitle="The total must be 100%" error="The total must be 100%" sqref="D14:D16" xr:uid="{00000000-0002-0000-1C00-000000000000}">
      <formula1>$D$18=100%</formula1>
    </dataValidation>
  </dataValidations>
  <pageMargins left="0.7" right="0.7" top="0.78740157499999996" bottom="0.78740157499999996"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516097" r:id="rId4" name="Check Box 1">
              <controlPr defaultSize="0" print="0" autoFill="0" autoLine="0" autoPict="0" altText="h">
                <anchor moveWithCells="1">
                  <from>
                    <xdr:col>5</xdr:col>
                    <xdr:colOff>563880</xdr:colOff>
                    <xdr:row>10</xdr:row>
                    <xdr:rowOff>182880</xdr:rowOff>
                  </from>
                  <to>
                    <xdr:col>6</xdr:col>
                    <xdr:colOff>7620</xdr:colOff>
                    <xdr:row>11</xdr:row>
                    <xdr:rowOff>175260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18</vt:i4>
      </vt:variant>
      <vt:variant>
        <vt:lpstr>Benannte Bereiche</vt:lpstr>
      </vt:variant>
      <vt:variant>
        <vt:i4>45</vt:i4>
      </vt:variant>
    </vt:vector>
  </HeadingPairs>
  <TitlesOfParts>
    <vt:vector size="63" baseType="lpstr">
      <vt:lpstr>Projektmgmt</vt:lpstr>
      <vt:lpstr>Projektteam</vt:lpstr>
      <vt:lpstr>Projektauftrag</vt:lpstr>
      <vt:lpstr>Methodik</vt:lpstr>
      <vt:lpstr>Detailplan</vt:lpstr>
      <vt:lpstr>SprintBacklog</vt:lpstr>
      <vt:lpstr>SprintReview</vt:lpstr>
      <vt:lpstr>SprintRetrospective</vt:lpstr>
      <vt:lpstr>Projektabschluss</vt:lpstr>
      <vt:lpstr>Projektbudget</vt:lpstr>
      <vt:lpstr>Stakeholder</vt:lpstr>
      <vt:lpstr>Projektcontrolling</vt:lpstr>
      <vt:lpstr>Kommunikation</vt:lpstr>
      <vt:lpstr>Swot-Analyse</vt:lpstr>
      <vt:lpstr>Risikomgmt</vt:lpstr>
      <vt:lpstr>Machbarkeit</vt:lpstr>
      <vt:lpstr>Kalender</vt:lpstr>
      <vt:lpstr>Logo</vt:lpstr>
      <vt:lpstr>Datum</vt:lpstr>
      <vt:lpstr>Detailplan!Druckbereich</vt:lpstr>
      <vt:lpstr>Kalender!Druckbereich</vt:lpstr>
      <vt:lpstr>Kommunikation!Druckbereich</vt:lpstr>
      <vt:lpstr>Machbarkeit!Druckbereich</vt:lpstr>
      <vt:lpstr>Methodik!Druckbereich</vt:lpstr>
      <vt:lpstr>Projektabschluss!Druckbereich</vt:lpstr>
      <vt:lpstr>Projektauftrag!Druckbereich</vt:lpstr>
      <vt:lpstr>Projektbudget!Druckbereich</vt:lpstr>
      <vt:lpstr>Projektcontrolling!Druckbereich</vt:lpstr>
      <vt:lpstr>Projektmgmt!Druckbereich</vt:lpstr>
      <vt:lpstr>Projektteam!Druckbereich</vt:lpstr>
      <vt:lpstr>Risikomgmt!Druckbereich</vt:lpstr>
      <vt:lpstr>SprintBacklog!Druckbereich</vt:lpstr>
      <vt:lpstr>SprintRetrospective!Druckbereich</vt:lpstr>
      <vt:lpstr>SprintReview!Druckbereich</vt:lpstr>
      <vt:lpstr>Stakeholder!Druckbereich</vt:lpstr>
      <vt:lpstr>'Swot-Analyse'!Druckbereich</vt:lpstr>
      <vt:lpstr>Detailplan!Drucktitel</vt:lpstr>
      <vt:lpstr>Machbarkeit!Drucktitel</vt:lpstr>
      <vt:lpstr>Projektbudget!Drucktitel</vt:lpstr>
      <vt:lpstr>Projektcontrolling!Drucktitel</vt:lpstr>
      <vt:lpstr>Projektmgmt!Drucktitel</vt:lpstr>
      <vt:lpstr>Risikomgmt!Drucktitel</vt:lpstr>
      <vt:lpstr>SprintBacklog!Drucktitel</vt:lpstr>
      <vt:lpstr>Stakeholder!Drucktitel</vt:lpstr>
      <vt:lpstr>'Swot-Analyse'!Drucktitel</vt:lpstr>
      <vt:lpstr>Ersatzprodukte</vt:lpstr>
      <vt:lpstr>graph_2_stakeholder</vt:lpstr>
      <vt:lpstr>Graph_Risk</vt:lpstr>
      <vt:lpstr>graph_stakeholder</vt:lpstr>
      <vt:lpstr>Kunden</vt:lpstr>
      <vt:lpstr>Lieferanten</vt:lpstr>
      <vt:lpstr>Mitbewerber</vt:lpstr>
      <vt:lpstr>Rivalitaet</vt:lpstr>
      <vt:lpstr>Sprachen</vt:lpstr>
      <vt:lpstr>Strategie_1</vt:lpstr>
      <vt:lpstr>Strategie_2</vt:lpstr>
      <vt:lpstr>Strategie_3</vt:lpstr>
      <vt:lpstr>Strategie_4</vt:lpstr>
      <vt:lpstr>Strategie_5</vt:lpstr>
      <vt:lpstr>Strategie_6</vt:lpstr>
      <vt:lpstr>top_2</vt:lpstr>
      <vt:lpstr>Kommunikation!top_Porter</vt:lpstr>
      <vt:lpstr>'Swot-Analyse'!top_swot</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Imboden Serge</cp:lastModifiedBy>
  <cp:lastPrinted>2022-01-07T07:03:42Z</cp:lastPrinted>
  <dcterms:created xsi:type="dcterms:W3CDTF">2010-11-08T10:14:07Z</dcterms:created>
  <dcterms:modified xsi:type="dcterms:W3CDTF">2026-01-27T06:15:30Z</dcterms:modified>
</cp:coreProperties>
</file>