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drawings/drawing6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7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2.xml" ContentType="application/vnd.openxmlformats-officedocument.spreadsheetml.comments+xml"/>
  <Override PartName="/xl/charts/chart4.xml" ContentType="application/vnd.openxmlformats-officedocument.drawingml.chart+xml"/>
  <Override PartName="/xl/drawings/drawing10.xml" ContentType="application/vnd.openxmlformats-officedocument.drawing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1.xml" ContentType="application/vnd.openxmlformats-officedocument.drawing+xml"/>
  <Override PartName="/xl/charts/chart6.xml" ContentType="application/vnd.openxmlformats-officedocument.drawingml.chart+xml"/>
  <Override PartName="/xl/drawings/drawing12.xml" ContentType="application/vnd.openxmlformats-officedocument.drawing+xml"/>
  <Override PartName="/xl/comments3.xml" ContentType="application/vnd.openxmlformats-officedocument.spreadsheetml.comments+xml"/>
  <Override PartName="/xl/charts/chart7.xml" ContentType="application/vnd.openxmlformats-officedocument.drawingml.chart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18.xml" ContentType="application/vnd.openxmlformats-officedocument.drawing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harts/chart33.xml" ContentType="application/vnd.openxmlformats-officedocument.drawingml.chart+xml"/>
  <Override PartName="/xl/drawings/drawing21.xml" ContentType="application/vnd.openxmlformats-officedocument.drawing+xml"/>
  <Override PartName="/xl/charts/chart3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harts/chart3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3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4.xml" ContentType="application/vnd.openxmlformats-officedocument.drawing+xml"/>
  <Override PartName="/xl/comments4.xml" ContentType="application/vnd.openxmlformats-officedocument.spreadsheetml.comments+xml"/>
  <Override PartName="/xl/charts/chart37.xml" ContentType="application/vnd.openxmlformats-officedocument.drawingml.chart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harts/chart38.xml" ContentType="application/vnd.openxmlformats-officedocument.drawingml.chart+xml"/>
  <Override PartName="/xl/drawings/drawing27.xml" ContentType="application/vnd.openxmlformats-officedocument.drawing+xml"/>
  <Override PartName="/xl/charts/chart39.xml" ContentType="application/vnd.openxmlformats-officedocument.drawingml.chart+xml"/>
  <Override PartName="/xl/drawings/drawing28.xml" ContentType="application/vnd.openxmlformats-officedocument.drawing+xml"/>
  <Override PartName="/xl/charts/chart40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9.xml" ContentType="application/vnd.openxmlformats-officedocument.drawing+xml"/>
  <Override PartName="/xl/comments5.xml" ContentType="application/vnd.openxmlformats-officedocument.spreadsheetml.comments+xml"/>
  <Override PartName="/xl/charts/chart4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42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43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44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45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46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DieseArbeitsmappe"/>
  <mc:AlternateContent xmlns:mc="http://schemas.openxmlformats.org/markup-compatibility/2006">
    <mc:Choice Requires="x15">
      <x15ac:absPath xmlns:x15ac="http://schemas.microsoft.com/office/spreadsheetml/2010/11/ac" url="D:\Dropbox\@fileswork\@iManagement\"/>
    </mc:Choice>
  </mc:AlternateContent>
  <xr:revisionPtr revIDLastSave="0" documentId="13_ncr:1_{891F5291-B955-4CC3-9A3C-1D018F35A62D}" xr6:coauthVersionLast="47" xr6:coauthVersionMax="47" xr10:uidLastSave="{00000000-0000-0000-0000-000000000000}"/>
  <bookViews>
    <workbookView showSheetTabs="0" xWindow="-108" yWindow="-108" windowWidth="46296" windowHeight="25416" tabRatio="832" firstSheet="1" activeTab="1" xr2:uid="{00000000-000D-0000-FFFF-FFFF00000000}"/>
  </bookViews>
  <sheets>
    <sheet name=" " sheetId="2" state="veryHidden" r:id="rId1"/>
    <sheet name="Menu Innovation" sheetId="69" r:id="rId2"/>
    <sheet name="Analyse" sheetId="70" r:id="rId3"/>
    <sheet name="IdeenMgmt" sheetId="72" r:id="rId4"/>
    <sheet name="Umsetzung" sheetId="74" r:id="rId5"/>
    <sheet name="Produkte" sheetId="6" r:id="rId6"/>
    <sheet name="Prozesse" sheetId="54" r:id="rId7"/>
    <sheet name="Fehler" sheetId="52" r:id="rId8"/>
    <sheet name="Fishbone" sheetId="78" r:id="rId9"/>
    <sheet name="Stakeholder" sheetId="71" r:id="rId10"/>
    <sheet name="Reklamationen" sheetId="53" r:id="rId11"/>
    <sheet name="Benchmark" sheetId="37" r:id="rId12"/>
    <sheet name="Trends" sheetId="13" r:id="rId13"/>
    <sheet name="Consumer_Trend" sheetId="77" r:id="rId14"/>
    <sheet name="Potenzial" sheetId="17" r:id="rId15"/>
    <sheet name="Swot-Analyse" sheetId="18" r:id="rId16"/>
    <sheet name="Canvas" sheetId="76" r:id="rId17"/>
    <sheet name="Forces" sheetId="38" r:id="rId18"/>
    <sheet name="Chances" sheetId="39" r:id="rId19"/>
    <sheet name="Massnahmen" sheetId="65" r:id="rId20"/>
    <sheet name="KostenNutzen" sheetId="19" r:id="rId21"/>
    <sheet name="MatrixIdee" sheetId="24" r:id="rId22"/>
    <sheet name="KPI" sheetId="46" r:id="rId23"/>
    <sheet name="Nutzen" sheetId="55" r:id="rId24"/>
    <sheet name="Kosten" sheetId="31" r:id="rId25"/>
    <sheet name="Cockpit" sheetId="66" r:id="rId26"/>
    <sheet name="Portfolio" sheetId="60" r:id="rId27"/>
    <sheet name="Risikomgmt" sheetId="34" r:id="rId28"/>
    <sheet name="Pareto" sheetId="1" r:id="rId29"/>
    <sheet name="Kommunikation" sheetId="23" r:id="rId30"/>
    <sheet name="2Cockpit" sheetId="41" r:id="rId31"/>
    <sheet name="2Strategie" sheetId="45" r:id="rId32"/>
    <sheet name="2BP" sheetId="50" r:id="rId33"/>
    <sheet name="2BSC" sheetId="59" r:id="rId34"/>
    <sheet name="2Projektmgmt" sheetId="75" r:id="rId35"/>
    <sheet name="oIndikatoren" sheetId="68" r:id="rId36"/>
    <sheet name="sIndikatoren" sheetId="67" r:id="rId37"/>
    <sheet name="Logo" sheetId="79" r:id="rId38"/>
  </sheets>
  <externalReferences>
    <externalReference r:id="rId39"/>
  </externalReferences>
  <definedNames>
    <definedName name="__10">oIndikatoren!$A$113</definedName>
    <definedName name="__11">oIndikatoren!$A$125</definedName>
    <definedName name="__12">oIndikatoren!$A$137</definedName>
    <definedName name="__13">oIndikatoren!$A$149</definedName>
    <definedName name="__14">oIndikatoren!$A$161</definedName>
    <definedName name="__15">oIndikatoren!$A$173</definedName>
    <definedName name="__16">oIndikatoren!$A$185</definedName>
    <definedName name="__17">oIndikatoren!$A$197</definedName>
    <definedName name="__18">oIndikatoren!$A$209</definedName>
    <definedName name="__19">oIndikatoren!$A$221</definedName>
    <definedName name="__20">oIndikatoren!$A$233</definedName>
    <definedName name="__21">oIndikatoren!$A$245</definedName>
    <definedName name="__22">oIndikatoren!$A$257</definedName>
    <definedName name="__23">oIndikatoren!$A$269</definedName>
    <definedName name="__24">oIndikatoren!$A$281</definedName>
    <definedName name="__25">oIndikatoren!$A$293</definedName>
    <definedName name="__26">oIndikatoren!$A$305</definedName>
    <definedName name="__27">oIndikatoren!$A$317</definedName>
    <definedName name="__28">oIndikatoren!$A$329</definedName>
    <definedName name="__29">oIndikatoren!$A$341</definedName>
    <definedName name="__30">oIndikatoren!$A$353</definedName>
    <definedName name="__31">oIndikatoren!$A$365</definedName>
    <definedName name="__32">oIndikatoren!$A$377</definedName>
    <definedName name="__33">oIndikatoren!$A$389</definedName>
    <definedName name="__34">oIndikatoren!$A$401</definedName>
    <definedName name="__35">oIndikatoren!$A$413</definedName>
    <definedName name="__36">oIndikatoren!$A$425</definedName>
    <definedName name="__37">oIndikatoren!$A$437</definedName>
    <definedName name="__38">oIndikatoren!$A$449</definedName>
    <definedName name="__39">oIndikatoren!$A$461</definedName>
    <definedName name="__40">oIndikatoren!$A$473</definedName>
    <definedName name="__41">oIndikatoren!$A$485</definedName>
    <definedName name="__42">oIndikatoren!$A$497</definedName>
    <definedName name="__43">oIndikatoren!$A$509</definedName>
    <definedName name="__44">oIndikatoren!$A$521</definedName>
    <definedName name="__45">oIndikatoren!$A$533</definedName>
    <definedName name="__46">oIndikatoren!$A$545</definedName>
    <definedName name="__47">oIndikatoren!$A$557</definedName>
    <definedName name="__48">oIndikatoren!$A$569</definedName>
    <definedName name="__49">oIndikatoren!$A$581</definedName>
    <definedName name="__50">oIndikatoren!$A$593</definedName>
    <definedName name="__51">oIndikatoren!$A$605</definedName>
    <definedName name="__52">oIndikatoren!$A$617</definedName>
    <definedName name="__53">oIndikatoren!$A$629</definedName>
    <definedName name="__54">oIndikatoren!$A$641</definedName>
    <definedName name="__55">oIndikatoren!$A$653</definedName>
    <definedName name="__56">oIndikatoren!$A$665</definedName>
    <definedName name="__57">oIndikatoren!$A$677</definedName>
    <definedName name="__58">oIndikatoren!$A$689</definedName>
    <definedName name="__59">oIndikatoren!$A$701</definedName>
    <definedName name="__60">oIndikatoren!$A$713</definedName>
    <definedName name="__61">oIndikatoren!$A$725</definedName>
    <definedName name="__62">oIndikatoren!$A$737</definedName>
    <definedName name="__63">oIndikatoren!$A$749</definedName>
    <definedName name="__64">oIndikatoren!$A$761</definedName>
    <definedName name="__65">oIndikatoren!$A$773</definedName>
    <definedName name="__66">oIndikatoren!$A$785</definedName>
    <definedName name="__67">oIndikatoren!$A$797</definedName>
    <definedName name="__68">oIndikatoren!$A$809</definedName>
    <definedName name="__69">oIndikatoren!$A$821</definedName>
    <definedName name="__70">oIndikatoren!$A$833</definedName>
    <definedName name="__71">oIndikatoren!$A$845</definedName>
    <definedName name="__72">oIndikatoren!$A$857</definedName>
    <definedName name="__73">oIndikatoren!$A$869</definedName>
    <definedName name="__74">oIndikatoren!$A$881</definedName>
    <definedName name="__75">oIndikatoren!$A$893</definedName>
    <definedName name="__76">oIndikatoren!$A$905</definedName>
    <definedName name="__77">oIndikatoren!$A$917</definedName>
    <definedName name="__78">oIndikatoren!$A$929</definedName>
    <definedName name="__79">oIndikatoren!$A$941</definedName>
    <definedName name="__80">oIndikatoren!$A$953</definedName>
    <definedName name="__o1">oIndikatoren!$A$5</definedName>
    <definedName name="__o2">oIndikatoren!$A$17</definedName>
    <definedName name="__o3">oIndikatoren!$A$29</definedName>
    <definedName name="__o4">oIndikatoren!$A$41</definedName>
    <definedName name="__o5">oIndikatoren!$A$53</definedName>
    <definedName name="__o6">oIndikatoren!$A$65</definedName>
    <definedName name="__o7">oIndikatoren!$A$77</definedName>
    <definedName name="__o8">oIndikatoren!$A$89</definedName>
    <definedName name="__o9">oIndikatoren!$A$101</definedName>
    <definedName name="__s1" localSheetId="25">Cockpit!$E$7</definedName>
    <definedName name="__s1">Massnahmen!$E$7</definedName>
    <definedName name="__s10" localSheetId="25">Cockpit!$E$25</definedName>
    <definedName name="__s10">Massnahmen!$E$25</definedName>
    <definedName name="__s11" localSheetId="25">Cockpit!$E$27</definedName>
    <definedName name="__s11">Massnahmen!$E$27</definedName>
    <definedName name="__s12" localSheetId="25">Cockpit!$E$29</definedName>
    <definedName name="__s12">Massnahmen!$E$29</definedName>
    <definedName name="__s13" localSheetId="25">Cockpit!$E$31</definedName>
    <definedName name="__s13">Massnahmen!$E$31</definedName>
    <definedName name="__s14" localSheetId="25">Cockpit!$E$33</definedName>
    <definedName name="__s14">Massnahmen!$E$33</definedName>
    <definedName name="__s15" localSheetId="25">Cockpit!$E$35</definedName>
    <definedName name="__s15">Massnahmen!$E$35</definedName>
    <definedName name="__s16" localSheetId="25">Cockpit!$E$37</definedName>
    <definedName name="__s16">Massnahmen!$E$37</definedName>
    <definedName name="__s17" localSheetId="25">Cockpit!$E$39</definedName>
    <definedName name="__s17">Massnahmen!$E$39</definedName>
    <definedName name="__s18" localSheetId="25">Cockpit!$E$41</definedName>
    <definedName name="__s18">Massnahmen!$E$41</definedName>
    <definedName name="__s19" localSheetId="25">Cockpit!$E$43</definedName>
    <definedName name="__s19">Massnahmen!$E$43</definedName>
    <definedName name="__s2" localSheetId="25">Cockpit!$E$9</definedName>
    <definedName name="__s2">Massnahmen!$E$9</definedName>
    <definedName name="__s20" localSheetId="25">Cockpit!$E$45</definedName>
    <definedName name="__s20">Massnahmen!$E$45</definedName>
    <definedName name="__s21" localSheetId="25">Cockpit!$E$47</definedName>
    <definedName name="__s21">Massnahmen!$E$47</definedName>
    <definedName name="__s22" localSheetId="25">Cockpit!$E$49</definedName>
    <definedName name="__s22">Massnahmen!$E$49</definedName>
    <definedName name="__s23" localSheetId="25">Cockpit!$E$51</definedName>
    <definedName name="__s23">Massnahmen!$E$51</definedName>
    <definedName name="__s24" localSheetId="25">Cockpit!$E$53</definedName>
    <definedName name="__s24">Massnahmen!$E$53</definedName>
    <definedName name="__s25" localSheetId="25">Cockpit!$E$55</definedName>
    <definedName name="__s25">Massnahmen!$E$55</definedName>
    <definedName name="__s26" localSheetId="25">Cockpit!$E$57</definedName>
    <definedName name="__s26">Massnahmen!$E$57</definedName>
    <definedName name="__s27" localSheetId="25">Cockpit!$E$59</definedName>
    <definedName name="__s27">Massnahmen!$E$59</definedName>
    <definedName name="__s28" localSheetId="25">Cockpit!$E$61</definedName>
    <definedName name="__s28">Massnahmen!$E$61</definedName>
    <definedName name="__s29" localSheetId="25">Cockpit!$E$63</definedName>
    <definedName name="__s29">Massnahmen!$E$63</definedName>
    <definedName name="__s3" localSheetId="25">Cockpit!$E$11</definedName>
    <definedName name="__s3">Massnahmen!$E$11</definedName>
    <definedName name="__s30" localSheetId="25">Cockpit!$E$65</definedName>
    <definedName name="__s30">Massnahmen!$E$65</definedName>
    <definedName name="__s31" localSheetId="25">Cockpit!$E$67</definedName>
    <definedName name="__s31">Massnahmen!$E$67</definedName>
    <definedName name="__s32" localSheetId="25">Cockpit!$E$69</definedName>
    <definedName name="__s32">Massnahmen!$E$69</definedName>
    <definedName name="__s33" localSheetId="25">Cockpit!$E$71</definedName>
    <definedName name="__s33">Massnahmen!$E$71</definedName>
    <definedName name="__s34" localSheetId="25">Cockpit!$E$73</definedName>
    <definedName name="__s34">Massnahmen!$E$73</definedName>
    <definedName name="__s35" localSheetId="25">Cockpit!$E$75</definedName>
    <definedName name="__s35">Massnahmen!$E$75</definedName>
    <definedName name="__s36" localSheetId="25">Cockpit!$E$77</definedName>
    <definedName name="__s36">Massnahmen!$E$77</definedName>
    <definedName name="__s37" localSheetId="25">Cockpit!$E$79</definedName>
    <definedName name="__s37">Massnahmen!$E$80</definedName>
    <definedName name="__s38" localSheetId="25">Cockpit!$E$81</definedName>
    <definedName name="__s38">Massnahmen!$E$82</definedName>
    <definedName name="__s39" localSheetId="25">Cockpit!$E$83</definedName>
    <definedName name="__s39">Massnahmen!$E$84</definedName>
    <definedName name="__s4" localSheetId="25">Cockpit!$E$13</definedName>
    <definedName name="__s4">Massnahmen!$E$13</definedName>
    <definedName name="__s40" localSheetId="25">Cockpit!$E$85</definedName>
    <definedName name="__s40">Massnahmen!$E$86</definedName>
    <definedName name="__s5" localSheetId="25">Cockpit!$E$15</definedName>
    <definedName name="__s5">Massnahmen!$E$15</definedName>
    <definedName name="__s6" localSheetId="25">Cockpit!$E$17</definedName>
    <definedName name="__s6">Massnahmen!$E$17</definedName>
    <definedName name="__s7" localSheetId="25">Cockpit!$E$19</definedName>
    <definedName name="__s7">Massnahmen!$E$19</definedName>
    <definedName name="__s8" localSheetId="25">Cockpit!$E$21</definedName>
    <definedName name="__s8">Massnahmen!$E$21</definedName>
    <definedName name="__s9" localSheetId="25">Cockpit!$E$23</definedName>
    <definedName name="__s9">Massnahmen!$E$23</definedName>
    <definedName name="_xlnm._FilterDatabase" localSheetId="0" hidden="1">' '!$A$1:$WVO$527</definedName>
    <definedName name="_xlnm._FilterDatabase" localSheetId="25" hidden="1">Cockpit!$A$6:$N$87</definedName>
    <definedName name="_xlnm._FilterDatabase" localSheetId="19" hidden="1">Massnahmen!$A$6:$W$87</definedName>
    <definedName name="_o1">Massnahmen!$P$7</definedName>
    <definedName name="_o10">Massnahmen!$P$16</definedName>
    <definedName name="_o11">Massnahmen!$P$17</definedName>
    <definedName name="_o12">Massnahmen!$P$18</definedName>
    <definedName name="_o13">Massnahmen!$P$19</definedName>
    <definedName name="_o14">Massnahmen!$P$20</definedName>
    <definedName name="_o15">Massnahmen!$P$21</definedName>
    <definedName name="_o16">Massnahmen!$P$22</definedName>
    <definedName name="_o17">Massnahmen!$P$23</definedName>
    <definedName name="_o18">Massnahmen!$P$24</definedName>
    <definedName name="_o19">Massnahmen!$P$25</definedName>
    <definedName name="_o2">Massnahmen!$P$8</definedName>
    <definedName name="_o20">Massnahmen!$P$26</definedName>
    <definedName name="_o21">Massnahmen!$P$27</definedName>
    <definedName name="_o22">Massnahmen!$P$28</definedName>
    <definedName name="_o23">Massnahmen!$P$29</definedName>
    <definedName name="_o24">Massnahmen!$P$30</definedName>
    <definedName name="_o25">Massnahmen!$P$31</definedName>
    <definedName name="_o26">Massnahmen!$P$32</definedName>
    <definedName name="_o27">Massnahmen!$P$33</definedName>
    <definedName name="_o28">Massnahmen!$P$34</definedName>
    <definedName name="_o29">Massnahmen!$P$35</definedName>
    <definedName name="_o3">Massnahmen!$P$9</definedName>
    <definedName name="_o30">Massnahmen!$P$36</definedName>
    <definedName name="_o31">Massnahmen!$P$37</definedName>
    <definedName name="_o32">Massnahmen!$P$38</definedName>
    <definedName name="_o33">Massnahmen!$P$39</definedName>
    <definedName name="_o34">Massnahmen!$P$40</definedName>
    <definedName name="_o35">Massnahmen!$P$41</definedName>
    <definedName name="_o36">Massnahmen!$P$42</definedName>
    <definedName name="_o37">Massnahmen!$P$43</definedName>
    <definedName name="_o38">Massnahmen!$P$44</definedName>
    <definedName name="_o39">Massnahmen!$P$45</definedName>
    <definedName name="_o4">Massnahmen!$P$10</definedName>
    <definedName name="_o40">Massnahmen!$P$46</definedName>
    <definedName name="_o41">Massnahmen!$P$47</definedName>
    <definedName name="_o42">Massnahmen!$P$48</definedName>
    <definedName name="_o43">Massnahmen!$P$49</definedName>
    <definedName name="_o44">Massnahmen!$P$50</definedName>
    <definedName name="_o45">Massnahmen!$P$51</definedName>
    <definedName name="_o46">Massnahmen!$P$52</definedName>
    <definedName name="_o47">Massnahmen!$P$53</definedName>
    <definedName name="_o48">Massnahmen!$P$54</definedName>
    <definedName name="_o49">Massnahmen!$P$55</definedName>
    <definedName name="_o5">Massnahmen!$P$11</definedName>
    <definedName name="_o50">Massnahmen!$P$56</definedName>
    <definedName name="_o51">Massnahmen!$P$57</definedName>
    <definedName name="_o52">Massnahmen!$P$58</definedName>
    <definedName name="_o53">Massnahmen!$P$59</definedName>
    <definedName name="_o54">Massnahmen!$P$60</definedName>
    <definedName name="_o55">Massnahmen!$P$61</definedName>
    <definedName name="_o56">Massnahmen!$P$62</definedName>
    <definedName name="_o57">Massnahmen!$P$63</definedName>
    <definedName name="_o58">Massnahmen!$P$64</definedName>
    <definedName name="_o59">Massnahmen!$P$65</definedName>
    <definedName name="_o6">Massnahmen!$P$12</definedName>
    <definedName name="_o60">Massnahmen!$P$66</definedName>
    <definedName name="_o61">Massnahmen!$P$67</definedName>
    <definedName name="_o62">Massnahmen!$P$68</definedName>
    <definedName name="_o63">Massnahmen!$P$69</definedName>
    <definedName name="_o64">Massnahmen!$P$70</definedName>
    <definedName name="_o65">Massnahmen!$P$71</definedName>
    <definedName name="_o66">Massnahmen!$P$72</definedName>
    <definedName name="_o67">Massnahmen!$P$73</definedName>
    <definedName name="_o68">Massnahmen!$P$74</definedName>
    <definedName name="_o69">Massnahmen!$P$75</definedName>
    <definedName name="_o7">Massnahmen!$P$13</definedName>
    <definedName name="_o70">Massnahmen!$P$76</definedName>
    <definedName name="_o71">Massnahmen!$P$77</definedName>
    <definedName name="_o72">Massnahmen!$P$78</definedName>
    <definedName name="_o73">Massnahmen!$P$80</definedName>
    <definedName name="_o74">Massnahmen!$P$81</definedName>
    <definedName name="_o75">Massnahmen!$P$82</definedName>
    <definedName name="_o76">Massnahmen!$P$83</definedName>
    <definedName name="_o77">Massnahmen!$P$84</definedName>
    <definedName name="_o78">Massnahmen!$P$85</definedName>
    <definedName name="_o79">Massnahmen!$P$86</definedName>
    <definedName name="_o8">Massnahmen!$P$14</definedName>
    <definedName name="_o80">Massnahmen!#REF!</definedName>
    <definedName name="_o9">Massnahmen!$P$15</definedName>
    <definedName name="_s1">sIndikatoren!$A$5</definedName>
    <definedName name="_s10">sIndikatoren!$A$113</definedName>
    <definedName name="_s11">sIndikatoren!$A$125</definedName>
    <definedName name="_s12">sIndikatoren!$A$137</definedName>
    <definedName name="_s13">sIndikatoren!$A$149</definedName>
    <definedName name="_s14">sIndikatoren!$A$161</definedName>
    <definedName name="_s15">sIndikatoren!$A$173</definedName>
    <definedName name="_s16">sIndikatoren!$A$185</definedName>
    <definedName name="_s17">sIndikatoren!$A$197</definedName>
    <definedName name="_s18">sIndikatoren!$A$209</definedName>
    <definedName name="_s19">sIndikatoren!$A$221</definedName>
    <definedName name="_s2">sIndikatoren!$A$17</definedName>
    <definedName name="_s20">sIndikatoren!$A$233</definedName>
    <definedName name="_s21">sIndikatoren!$A$245</definedName>
    <definedName name="_s22">sIndikatoren!$A$257</definedName>
    <definedName name="_s23">sIndikatoren!$A$269</definedName>
    <definedName name="_s24">sIndikatoren!$A$281</definedName>
    <definedName name="_s25">sIndikatoren!$A$293</definedName>
    <definedName name="_s26">sIndikatoren!$A$305</definedName>
    <definedName name="_s27">sIndikatoren!$A$317</definedName>
    <definedName name="_s28">sIndikatoren!$A$329</definedName>
    <definedName name="_s29">sIndikatoren!$A$341</definedName>
    <definedName name="_s3">sIndikatoren!$A$29</definedName>
    <definedName name="_s30">sIndikatoren!$A$353</definedName>
    <definedName name="_s31">sIndikatoren!$A$365</definedName>
    <definedName name="_s32">sIndikatoren!$A$377</definedName>
    <definedName name="_s33">sIndikatoren!$A$389</definedName>
    <definedName name="_s34">sIndikatoren!$A$401</definedName>
    <definedName name="_s35">sIndikatoren!$A$413</definedName>
    <definedName name="_s36">sIndikatoren!$A$425</definedName>
    <definedName name="_s37">sIndikatoren!$A$437</definedName>
    <definedName name="_s38">sIndikatoren!$A$449</definedName>
    <definedName name="_s39">sIndikatoren!$A$461</definedName>
    <definedName name="_s4">sIndikatoren!$A$41</definedName>
    <definedName name="_s40">sIndikatoren!$A$473</definedName>
    <definedName name="_s5">sIndikatoren!$A$53</definedName>
    <definedName name="_s6">sIndikatoren!$A$65</definedName>
    <definedName name="_s7">sIndikatoren!$A$77</definedName>
    <definedName name="_s8">sIndikatoren!$A$89</definedName>
    <definedName name="_s9">sIndikatoren!$A$101</definedName>
    <definedName name="Bars" localSheetId="7">OFFSET(Fehler!$C$29,0,0,COUNT(Fehler!$F:$F))</definedName>
    <definedName name="Bars" localSheetId="23">OFFSET(Nutzen!$C$29,0,0,COUNT(Nutzen!$F:$F))</definedName>
    <definedName name="Bars" localSheetId="6">OFFSET(Prozesse!$C$29,0,0,COUNT(Prozesse!$F:$F))</definedName>
    <definedName name="Bars" localSheetId="10">OFFSET(Reklamationen!$C$29,0,0,COUNT(Reklamationen!$F:$F))</definedName>
    <definedName name="Bars">OFFSET(Pareto!$F$7,0,0,COUNT(Pareto!$F:$F))</definedName>
    <definedName name="Datum" localSheetId="37">'[1] '!$Z$4</definedName>
    <definedName name="Datum">' '!$Z$4</definedName>
    <definedName name="_xlnm.Print_Area" localSheetId="32">'2BP'!$B$1:$H$13</definedName>
    <definedName name="_xlnm.Print_Area" localSheetId="33">'2BSC'!$B$1:$H$13</definedName>
    <definedName name="_xlnm.Print_Area" localSheetId="30">'2Cockpit'!$B$1:$H$13</definedName>
    <definedName name="_xlnm.Print_Area" localSheetId="34">'2Projektmgmt'!$B$1:$H$13</definedName>
    <definedName name="_xlnm.Print_Area" localSheetId="31">'2Strategie'!$B$1:$H$13</definedName>
    <definedName name="_xlnm.Print_Area" localSheetId="2">Analyse!$B$1:$L$27</definedName>
    <definedName name="_xlnm.Print_Area" localSheetId="11">Benchmark!$B$1:$I$35</definedName>
    <definedName name="_xlnm.Print_Area" localSheetId="16">Canvas!$B$1:$H$52</definedName>
    <definedName name="_xlnm.Print_Area" localSheetId="18">Chances!$B$1:$U$117</definedName>
    <definedName name="_xlnm.Print_Area" localSheetId="25">Cockpit!$B$1:$N$87</definedName>
    <definedName name="_xlnm.Print_Area" localSheetId="13">Consumer_Trend!$B$1:$E$40</definedName>
    <definedName name="_xlnm.Print_Area" localSheetId="7">Fehler!$B$1:$I$56</definedName>
    <definedName name="_xlnm.Print_Area" localSheetId="8">Fishbone!$A$1:$AB$23</definedName>
    <definedName name="_xlnm.Print_Area" localSheetId="17">Forces!$B$1:$U$98</definedName>
    <definedName name="_xlnm.Print_Area" localSheetId="3">IdeenMgmt!$A$1:$L$27</definedName>
    <definedName name="_xlnm.Print_Area" localSheetId="29">Kommunikation!$B$1:$I$90</definedName>
    <definedName name="_xlnm.Print_Area" localSheetId="24">Kosten!$B$1:$G$42</definedName>
    <definedName name="_xlnm.Print_Area" localSheetId="20">KostenNutzen!$B$1:$I$65</definedName>
    <definedName name="_xlnm.Print_Area" localSheetId="22">KPI!$B$1:$K$37</definedName>
    <definedName name="_xlnm.Print_Area" localSheetId="19">Massnahmen!$B$1:$W$87</definedName>
    <definedName name="_xlnm.Print_Area" localSheetId="1">'Menu Innovation'!$B$1:$M$35</definedName>
    <definedName name="_xlnm.Print_Area" localSheetId="23">Nutzen!$B$1:$H$74</definedName>
    <definedName name="_xlnm.Print_Area" localSheetId="35">oIndikatoren!$C$1:$F$963</definedName>
    <definedName name="_xlnm.Print_Area" localSheetId="28">Pareto!$A$1:$N$30</definedName>
    <definedName name="_xlnm.Print_Area" localSheetId="26">Portfolio!$B$1:$J$55</definedName>
    <definedName name="_xlnm.Print_Area" localSheetId="14">Potenzial!$B$1:$I$36</definedName>
    <definedName name="_xlnm.Print_Area" localSheetId="5">Produkte!$B$1:$H$45</definedName>
    <definedName name="_xlnm.Print_Area" localSheetId="6">Prozesse!$B$1:$H$56</definedName>
    <definedName name="_xlnm.Print_Area" localSheetId="10">Reklamationen!$B$1:$I$56</definedName>
    <definedName name="_xlnm.Print_Area" localSheetId="27">Risikomgmt!$A$1:$I$55</definedName>
    <definedName name="_xlnm.Print_Area" localSheetId="36">sIndikatoren!$C$1:$F$485</definedName>
    <definedName name="_xlnm.Print_Area" localSheetId="9">Stakeholder!$B$1:$J$49</definedName>
    <definedName name="_xlnm.Print_Area" localSheetId="15">'Swot-Analyse'!$B$1:$H$43</definedName>
    <definedName name="_xlnm.Print_Area" localSheetId="12">Trends!$B$1:$H$97</definedName>
    <definedName name="_xlnm.Print_Area" localSheetId="4">Umsetzung!$B$1:$M$27</definedName>
    <definedName name="_xlnm.Print_Titles" localSheetId="32">'2BP'!$1:$1</definedName>
    <definedName name="_xlnm.Print_Titles" localSheetId="33">'2BSC'!$1:$1</definedName>
    <definedName name="_xlnm.Print_Titles" localSheetId="30">'2Cockpit'!$1:$1</definedName>
    <definedName name="_xlnm.Print_Titles" localSheetId="34">'2Projektmgmt'!$1:$1</definedName>
    <definedName name="_xlnm.Print_Titles" localSheetId="31">'2Strategie'!$1:$1</definedName>
    <definedName name="_xlnm.Print_Titles" localSheetId="16">Canvas!$1:$1</definedName>
    <definedName name="_xlnm.Print_Titles" localSheetId="18">Chances!$1:$9</definedName>
    <definedName name="_xlnm.Print_Titles" localSheetId="25">Cockpit!$1:$6</definedName>
    <definedName name="_xlnm.Print_Titles" localSheetId="13">Consumer_Trend!$1:$1</definedName>
    <definedName name="_xlnm.Print_Titles" localSheetId="17">Forces!$1:$9</definedName>
    <definedName name="_xlnm.Print_Titles" localSheetId="29">Kommunikation!$1:$6</definedName>
    <definedName name="_xlnm.Print_Titles" localSheetId="22">KPI!$3:$4</definedName>
    <definedName name="_xlnm.Print_Titles" localSheetId="19">Massnahmen!$1:$6</definedName>
    <definedName name="durchAlterDerMA" localSheetId="36">sIndikatoren!$D$5</definedName>
    <definedName name="graph_2_stakeholder">Stakeholder!$A$76</definedName>
    <definedName name="graph_chances" localSheetId="18">Chances!$A$116</definedName>
    <definedName name="graph_forces">Forces!$A$96</definedName>
    <definedName name="Graph_Kunden">KostenNutzen!$A$64</definedName>
    <definedName name="graph_pestel">Trends!$A$124</definedName>
    <definedName name="Graph_Produkte">Produkte!$A$44</definedName>
    <definedName name="Graph_Risk" localSheetId="26">Portfolio!$A$56</definedName>
    <definedName name="Graph_Risk">Risikomgmt!$A$56</definedName>
    <definedName name="graph_stakeholder">Stakeholder!$A$50</definedName>
    <definedName name="paretoXaxis" localSheetId="7">OFFSET(Fehler!$B$29,0,0,COUNT(Fehler!$F:$F))</definedName>
    <definedName name="paretoXaxis" localSheetId="23">OFFSET(Nutzen!$B$29,0,0,COUNT(Nutzen!$F:$F))</definedName>
    <definedName name="paretoXaxis" localSheetId="6">OFFSET(Prozesse!$B$29,0,0,COUNT(Prozesse!$F:$F))</definedName>
    <definedName name="paretoXaxis" localSheetId="10">OFFSET(Reklamationen!$B$29,0,0,COUNT(Reklamationen!$F:$F))</definedName>
    <definedName name="paretoXaxis">OFFSET(Pareto!$E$7,0,0,COUNT(Pareto!$F:$F))</definedName>
    <definedName name="Percentage" localSheetId="7">OFFSET(Fehler!$E$29,0,0,COUNT(Fehler!$F:$F))</definedName>
    <definedName name="Percentage" localSheetId="23">OFFSET(Nutzen!$E$29,0,0,COUNT(Nutzen!$F:$F))</definedName>
    <definedName name="Percentage" localSheetId="6">OFFSET(Prozesse!$E$29,0,0,COUNT(Prozesse!$F:$F))</definedName>
    <definedName name="Percentage" localSheetId="10">OFFSET(Reklamationen!$E$29,0,0,COUNT(Reklamationen!$F:$F))</definedName>
    <definedName name="Percentage">OFFSET(Pareto!$H$7,0,0,COUNT(Pareto!$F:$F))</definedName>
    <definedName name="rechts_massnahmen" localSheetId="25">Cockpit!$N$2</definedName>
    <definedName name="Sprachen">' '!$C$3:$G$3</definedName>
    <definedName name="Strategie_1" localSheetId="25">Cockpit!$C$7</definedName>
    <definedName name="Strategie_1">Massnahmen!$C$7</definedName>
    <definedName name="Strategie_10" localSheetId="25">Cockpit!$C$79</definedName>
    <definedName name="Strategie_10">Massnahmen!$C$80</definedName>
    <definedName name="Strategie_2" localSheetId="25">Cockpit!$C$15</definedName>
    <definedName name="Strategie_2">Massnahmen!$C$15</definedName>
    <definedName name="Strategie_3" localSheetId="25">Cockpit!$C$23</definedName>
    <definedName name="Strategie_3">Massnahmen!$C$23</definedName>
    <definedName name="Strategie_4" localSheetId="25">Cockpit!$C$31</definedName>
    <definedName name="Strategie_4">Massnahmen!$C$31</definedName>
    <definedName name="Strategie_5" localSheetId="25">Cockpit!$C$39</definedName>
    <definedName name="Strategie_5">Massnahmen!$C$39</definedName>
    <definedName name="Strategie_6" localSheetId="25">Cockpit!$C$47</definedName>
    <definedName name="Strategie_6">Massnahmen!$C$47</definedName>
    <definedName name="Strategie_7" localSheetId="25">Cockpit!$C$55</definedName>
    <definedName name="Strategie_7">Massnahmen!$C$55</definedName>
    <definedName name="Strategie_8" localSheetId="25">Cockpit!$C$63</definedName>
    <definedName name="Strategie_8">Massnahmen!$C$63</definedName>
    <definedName name="Strategie_9" localSheetId="25">Cockpit!$C$71</definedName>
    <definedName name="Strategie_9">Massnahmen!$C$71</definedName>
    <definedName name="top">Trends!$A$2</definedName>
    <definedName name="top_chances" localSheetId="18">Chances!$A$8</definedName>
    <definedName name="top_forces">Forces!$A$8</definedName>
    <definedName name="top_kennzahlen" localSheetId="32">'2BP'!$A$2</definedName>
    <definedName name="top_kennzahlen" localSheetId="33">'2BSC'!$A$2</definedName>
    <definedName name="top_kennzahlen" localSheetId="30">'2Cockpit'!$A$2</definedName>
    <definedName name="top_kennzahlen" localSheetId="34">'2Projektmgmt'!$A$2</definedName>
    <definedName name="top_kennzahlen" localSheetId="31">'2Strategie'!$A$2</definedName>
    <definedName name="top_kunden" localSheetId="9">KostenNutzen!$C$5</definedName>
    <definedName name="top_massnahmen" localSheetId="25">Cockpit!$A$2</definedName>
    <definedName name="top_massnahmen">Massnahmen!$A$2</definedName>
    <definedName name="top_Porter" localSheetId="29">Kommunikation!$A$2</definedName>
    <definedName name="top_swot">'Swot-Analyse'!$A$2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5" i="2" l="1"/>
  <c r="A50" i="2" s="1"/>
  <c r="D4" i="79" s="1"/>
  <c r="D953" i="68"/>
  <c r="K6" i="60"/>
  <c r="K7" i="60"/>
  <c r="K8" i="60"/>
  <c r="K9" i="60"/>
  <c r="K10" i="60"/>
  <c r="K11" i="60"/>
  <c r="K12" i="60"/>
  <c r="K13" i="60"/>
  <c r="K14" i="60"/>
  <c r="K15" i="60"/>
  <c r="K16" i="60"/>
  <c r="K17" i="60"/>
  <c r="K18" i="60"/>
  <c r="K19" i="60"/>
  <c r="K5" i="60"/>
  <c r="K6" i="71"/>
  <c r="K7" i="71"/>
  <c r="K8" i="71"/>
  <c r="K9" i="71"/>
  <c r="K10" i="71"/>
  <c r="K11" i="71"/>
  <c r="K12" i="71"/>
  <c r="K13" i="71"/>
  <c r="K14" i="71"/>
  <c r="K15" i="71"/>
  <c r="K16" i="71"/>
  <c r="K17" i="71"/>
  <c r="K18" i="71"/>
  <c r="K19" i="71"/>
  <c r="K20" i="71"/>
  <c r="K21" i="71"/>
  <c r="K22" i="71"/>
  <c r="K23" i="71"/>
  <c r="K24" i="71"/>
  <c r="K5" i="71"/>
  <c r="I6" i="6"/>
  <c r="I7" i="6"/>
  <c r="I8" i="6"/>
  <c r="I9" i="6"/>
  <c r="I5" i="6"/>
  <c r="J88" i="23"/>
  <c r="J87" i="23"/>
  <c r="J86" i="23"/>
  <c r="J85" i="23"/>
  <c r="J84" i="23"/>
  <c r="J83" i="23"/>
  <c r="J82" i="23"/>
  <c r="J81" i="23"/>
  <c r="J80" i="23"/>
  <c r="J79" i="23"/>
  <c r="J74" i="23"/>
  <c r="J73" i="23"/>
  <c r="J72" i="23"/>
  <c r="J71" i="23"/>
  <c r="J70" i="23"/>
  <c r="J69" i="23"/>
  <c r="J68" i="23"/>
  <c r="J67" i="23"/>
  <c r="J66" i="23"/>
  <c r="J65" i="23"/>
  <c r="J60" i="23"/>
  <c r="J59" i="23"/>
  <c r="J58" i="23"/>
  <c r="J57" i="23"/>
  <c r="J56" i="23"/>
  <c r="J55" i="23"/>
  <c r="J54" i="23"/>
  <c r="J53" i="23"/>
  <c r="J52" i="23"/>
  <c r="J51" i="23"/>
  <c r="J46" i="23"/>
  <c r="J45" i="23"/>
  <c r="J44" i="23"/>
  <c r="J43" i="23"/>
  <c r="J42" i="23"/>
  <c r="J41" i="23"/>
  <c r="J40" i="23"/>
  <c r="J39" i="23"/>
  <c r="J38" i="23"/>
  <c r="J37" i="23"/>
  <c r="J32" i="23"/>
  <c r="J31" i="23"/>
  <c r="J30" i="23"/>
  <c r="J29" i="23"/>
  <c r="J28" i="23"/>
  <c r="J27" i="23"/>
  <c r="J26" i="23"/>
  <c r="J25" i="23"/>
  <c r="J24" i="23"/>
  <c r="J23" i="23"/>
  <c r="J18" i="23"/>
  <c r="J17" i="23"/>
  <c r="J16" i="23"/>
  <c r="J15" i="23"/>
  <c r="J14" i="23"/>
  <c r="J13" i="23"/>
  <c r="J12" i="23"/>
  <c r="J11" i="23"/>
  <c r="J10" i="23"/>
  <c r="J9" i="23"/>
  <c r="E97" i="13"/>
  <c r="E83" i="13"/>
  <c r="D9" i="13" s="1"/>
  <c r="E69" i="13"/>
  <c r="D8" i="13" s="1"/>
  <c r="E55" i="13"/>
  <c r="D7" i="13" s="1"/>
  <c r="E41" i="13"/>
  <c r="D6" i="13" s="1"/>
  <c r="E27" i="13"/>
  <c r="D5" i="13"/>
  <c r="H3" i="76"/>
  <c r="D3" i="76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H47" i="71"/>
  <c r="H46" i="71"/>
  <c r="H45" i="71"/>
  <c r="H44" i="71"/>
  <c r="H43" i="71"/>
  <c r="H42" i="71"/>
  <c r="H41" i="71"/>
  <c r="H40" i="71"/>
  <c r="H39" i="71"/>
  <c r="H38" i="71"/>
  <c r="H37" i="71"/>
  <c r="H36" i="71"/>
  <c r="H35" i="71"/>
  <c r="H34" i="71"/>
  <c r="H33" i="71"/>
  <c r="H32" i="71"/>
  <c r="H31" i="71"/>
  <c r="H30" i="71"/>
  <c r="H29" i="71"/>
  <c r="H28" i="71"/>
  <c r="G24" i="19"/>
  <c r="D941" i="68"/>
  <c r="D929" i="68"/>
  <c r="D917" i="68"/>
  <c r="D905" i="68"/>
  <c r="D893" i="68"/>
  <c r="D881" i="68"/>
  <c r="D869" i="68"/>
  <c r="D857" i="68"/>
  <c r="D845" i="68"/>
  <c r="D833" i="68"/>
  <c r="D821" i="68"/>
  <c r="D809" i="68"/>
  <c r="D797" i="68"/>
  <c r="D785" i="68"/>
  <c r="D773" i="68"/>
  <c r="D761" i="68"/>
  <c r="D749" i="68"/>
  <c r="D737" i="68"/>
  <c r="D725" i="68"/>
  <c r="D713" i="68"/>
  <c r="D701" i="68"/>
  <c r="D689" i="68"/>
  <c r="D677" i="68"/>
  <c r="D665" i="68"/>
  <c r="D653" i="68"/>
  <c r="D641" i="68"/>
  <c r="D629" i="68"/>
  <c r="D617" i="68"/>
  <c r="D605" i="68"/>
  <c r="D593" i="68"/>
  <c r="D581" i="68"/>
  <c r="D569" i="68"/>
  <c r="D557" i="68"/>
  <c r="D545" i="68"/>
  <c r="D533" i="68"/>
  <c r="D521" i="68"/>
  <c r="D509" i="68"/>
  <c r="D497" i="68"/>
  <c r="D485" i="68"/>
  <c r="D473" i="68"/>
  <c r="D461" i="68"/>
  <c r="D449" i="68"/>
  <c r="D437" i="68"/>
  <c r="D425" i="68"/>
  <c r="D413" i="68"/>
  <c r="D401" i="68"/>
  <c r="D389" i="68"/>
  <c r="D377" i="68"/>
  <c r="D365" i="68"/>
  <c r="D353" i="68"/>
  <c r="D341" i="68"/>
  <c r="D329" i="68"/>
  <c r="D317" i="68"/>
  <c r="D305" i="68"/>
  <c r="D293" i="68"/>
  <c r="D281" i="68"/>
  <c r="D269" i="68"/>
  <c r="D257" i="68"/>
  <c r="D245" i="68"/>
  <c r="D233" i="68"/>
  <c r="D221" i="68"/>
  <c r="D209" i="68"/>
  <c r="D197" i="68"/>
  <c r="D185" i="68"/>
  <c r="D173" i="68"/>
  <c r="D161" i="68"/>
  <c r="D149" i="68"/>
  <c r="D137" i="68"/>
  <c r="D125" i="68"/>
  <c r="D113" i="68"/>
  <c r="D101" i="68"/>
  <c r="D89" i="68"/>
  <c r="D77" i="68"/>
  <c r="D65" i="68"/>
  <c r="D53" i="68"/>
  <c r="D41" i="68"/>
  <c r="D29" i="68"/>
  <c r="D17" i="68"/>
  <c r="D5" i="68"/>
  <c r="D473" i="67"/>
  <c r="D461" i="67"/>
  <c r="D449" i="67"/>
  <c r="D437" i="67"/>
  <c r="D425" i="67"/>
  <c r="D413" i="67"/>
  <c r="D401" i="67"/>
  <c r="D389" i="67"/>
  <c r="D377" i="67"/>
  <c r="D365" i="67"/>
  <c r="D353" i="67"/>
  <c r="D341" i="67"/>
  <c r="D329" i="67"/>
  <c r="D317" i="67"/>
  <c r="D305" i="67"/>
  <c r="D293" i="67"/>
  <c r="D281" i="67"/>
  <c r="D269" i="67"/>
  <c r="D257" i="67"/>
  <c r="D245" i="67"/>
  <c r="D233" i="67"/>
  <c r="D221" i="67"/>
  <c r="D209" i="67"/>
  <c r="D197" i="67"/>
  <c r="D185" i="67"/>
  <c r="D173" i="67"/>
  <c r="D161" i="67"/>
  <c r="D149" i="67"/>
  <c r="D137" i="67"/>
  <c r="D125" i="67"/>
  <c r="D113" i="67"/>
  <c r="D101" i="67"/>
  <c r="D89" i="67"/>
  <c r="D77" i="67"/>
  <c r="D65" i="67"/>
  <c r="D53" i="67"/>
  <c r="D41" i="67"/>
  <c r="D29" i="67"/>
  <c r="D17" i="67"/>
  <c r="D5" i="67"/>
  <c r="A87" i="66"/>
  <c r="E85" i="66"/>
  <c r="E83" i="66"/>
  <c r="E81" i="66"/>
  <c r="E79" i="66"/>
  <c r="C79" i="66"/>
  <c r="E77" i="66"/>
  <c r="E75" i="66"/>
  <c r="E73" i="66"/>
  <c r="E71" i="66"/>
  <c r="C71" i="66"/>
  <c r="E69" i="66"/>
  <c r="E67" i="66"/>
  <c r="E65" i="66"/>
  <c r="E63" i="66"/>
  <c r="C63" i="66"/>
  <c r="E61" i="66"/>
  <c r="E59" i="66"/>
  <c r="E57" i="66"/>
  <c r="E55" i="66"/>
  <c r="C55" i="66"/>
  <c r="E53" i="66"/>
  <c r="E51" i="66"/>
  <c r="E49" i="66"/>
  <c r="E47" i="66"/>
  <c r="C47" i="66"/>
  <c r="E45" i="66"/>
  <c r="E43" i="66"/>
  <c r="E41" i="66"/>
  <c r="E39" i="66"/>
  <c r="C39" i="66"/>
  <c r="E37" i="66"/>
  <c r="E35" i="66"/>
  <c r="E33" i="66"/>
  <c r="E31" i="66"/>
  <c r="C31" i="66"/>
  <c r="E29" i="66"/>
  <c r="E27" i="66"/>
  <c r="E25" i="66"/>
  <c r="E23" i="66"/>
  <c r="C23" i="66"/>
  <c r="E21" i="66"/>
  <c r="E19" i="66"/>
  <c r="E17" i="66"/>
  <c r="E15" i="66"/>
  <c r="C15" i="66"/>
  <c r="E13" i="66"/>
  <c r="E11" i="66"/>
  <c r="E9" i="66"/>
  <c r="E7" i="66"/>
  <c r="C7" i="66"/>
  <c r="A87" i="65"/>
  <c r="W86" i="65"/>
  <c r="T86" i="65"/>
  <c r="Q86" i="65"/>
  <c r="L86" i="65"/>
  <c r="G85" i="66"/>
  <c r="I86" i="65"/>
  <c r="F85" i="66"/>
  <c r="F86" i="65"/>
  <c r="W85" i="65"/>
  <c r="T85" i="65"/>
  <c r="Q85" i="65"/>
  <c r="W84" i="65"/>
  <c r="T84" i="65"/>
  <c r="Q84" i="65"/>
  <c r="L84" i="65"/>
  <c r="G83" i="66"/>
  <c r="I84" i="65"/>
  <c r="F83" i="66" s="1"/>
  <c r="F84" i="65"/>
  <c r="W83" i="65"/>
  <c r="T83" i="65"/>
  <c r="Q83" i="65"/>
  <c r="W82" i="65"/>
  <c r="T82" i="65"/>
  <c r="Q82" i="65"/>
  <c r="L82" i="65"/>
  <c r="G81" i="66" s="1"/>
  <c r="I82" i="65"/>
  <c r="F81" i="66"/>
  <c r="F82" i="65"/>
  <c r="W81" i="65"/>
  <c r="T81" i="65"/>
  <c r="Q81" i="65"/>
  <c r="W80" i="65"/>
  <c r="T80" i="65"/>
  <c r="Q80" i="65"/>
  <c r="L80" i="65"/>
  <c r="G79" i="66"/>
  <c r="I80" i="65"/>
  <c r="F79" i="66"/>
  <c r="F80" i="65"/>
  <c r="W78" i="65"/>
  <c r="T78" i="65"/>
  <c r="Q78" i="65"/>
  <c r="W77" i="65"/>
  <c r="T77" i="65"/>
  <c r="Q77" i="65"/>
  <c r="L77" i="65"/>
  <c r="G77" i="66"/>
  <c r="I77" i="65"/>
  <c r="F77" i="66" s="1"/>
  <c r="F77" i="65"/>
  <c r="W76" i="65"/>
  <c r="T76" i="65"/>
  <c r="Q76" i="65"/>
  <c r="W75" i="65"/>
  <c r="T75" i="65"/>
  <c r="Q75" i="65"/>
  <c r="L75" i="65"/>
  <c r="G75" i="66" s="1"/>
  <c r="I75" i="65"/>
  <c r="F75" i="66"/>
  <c r="F75" i="65"/>
  <c r="W74" i="65"/>
  <c r="T74" i="65"/>
  <c r="Q74" i="65"/>
  <c r="W73" i="65"/>
  <c r="T73" i="65"/>
  <c r="Q73" i="65"/>
  <c r="L73" i="65"/>
  <c r="G73" i="66"/>
  <c r="I73" i="65"/>
  <c r="F73" i="66"/>
  <c r="F73" i="65"/>
  <c r="W72" i="65"/>
  <c r="T72" i="65"/>
  <c r="Q72" i="65"/>
  <c r="W71" i="65"/>
  <c r="T71" i="65"/>
  <c r="Q71" i="65"/>
  <c r="L71" i="65"/>
  <c r="G71" i="66" s="1"/>
  <c r="I71" i="65"/>
  <c r="F71" i="66" s="1"/>
  <c r="F71" i="65"/>
  <c r="W70" i="65"/>
  <c r="T70" i="65"/>
  <c r="Q70" i="65"/>
  <c r="W69" i="65"/>
  <c r="T69" i="65"/>
  <c r="Q69" i="65"/>
  <c r="L69" i="65"/>
  <c r="G69" i="66" s="1"/>
  <c r="I69" i="65"/>
  <c r="F69" i="66"/>
  <c r="F69" i="65"/>
  <c r="W68" i="65"/>
  <c r="T68" i="65"/>
  <c r="Q68" i="65"/>
  <c r="W67" i="65"/>
  <c r="T67" i="65"/>
  <c r="Q67" i="65"/>
  <c r="L67" i="65"/>
  <c r="G67" i="66" s="1"/>
  <c r="I67" i="65"/>
  <c r="F67" i="66" s="1"/>
  <c r="F67" i="65"/>
  <c r="W66" i="65"/>
  <c r="T66" i="65"/>
  <c r="Q66" i="65"/>
  <c r="W65" i="65"/>
  <c r="T65" i="65"/>
  <c r="Q65" i="65"/>
  <c r="L65" i="65"/>
  <c r="G65" i="66"/>
  <c r="I65" i="65"/>
  <c r="F65" i="66" s="1"/>
  <c r="F65" i="65"/>
  <c r="W64" i="65"/>
  <c r="T64" i="65"/>
  <c r="Q64" i="65"/>
  <c r="W63" i="65"/>
  <c r="T63" i="65"/>
  <c r="Q63" i="65"/>
  <c r="L63" i="65"/>
  <c r="G63" i="66" s="1"/>
  <c r="I63" i="65"/>
  <c r="F63" i="66" s="1"/>
  <c r="F63" i="65"/>
  <c r="W62" i="65"/>
  <c r="T62" i="65"/>
  <c r="Q62" i="65"/>
  <c r="W61" i="65"/>
  <c r="T61" i="65"/>
  <c r="Q61" i="65"/>
  <c r="L61" i="65"/>
  <c r="G61" i="66" s="1"/>
  <c r="I61" i="65"/>
  <c r="F61" i="66"/>
  <c r="F61" i="65"/>
  <c r="W60" i="65"/>
  <c r="T60" i="65"/>
  <c r="Q60" i="65"/>
  <c r="W59" i="65"/>
  <c r="T59" i="65"/>
  <c r="Q59" i="65"/>
  <c r="L59" i="65"/>
  <c r="G59" i="66"/>
  <c r="I59" i="65"/>
  <c r="F59" i="66" s="1"/>
  <c r="F59" i="65"/>
  <c r="W58" i="65"/>
  <c r="T58" i="65"/>
  <c r="Q58" i="65"/>
  <c r="W57" i="65"/>
  <c r="T57" i="65"/>
  <c r="Q57" i="65"/>
  <c r="L57" i="65"/>
  <c r="G57" i="66" s="1"/>
  <c r="I57" i="65"/>
  <c r="F57" i="66" s="1"/>
  <c r="F57" i="65"/>
  <c r="W56" i="65"/>
  <c r="T56" i="65"/>
  <c r="Q56" i="65"/>
  <c r="W55" i="65"/>
  <c r="T55" i="65"/>
  <c r="Q55" i="65"/>
  <c r="L55" i="65"/>
  <c r="G55" i="66"/>
  <c r="I55" i="65"/>
  <c r="F55" i="66"/>
  <c r="F55" i="65"/>
  <c r="W54" i="65"/>
  <c r="T54" i="65"/>
  <c r="Q54" i="65"/>
  <c r="W53" i="65"/>
  <c r="T53" i="65"/>
  <c r="Q53" i="65"/>
  <c r="L53" i="65"/>
  <c r="G53" i="66" s="1"/>
  <c r="I53" i="65"/>
  <c r="F53" i="66" s="1"/>
  <c r="F53" i="65"/>
  <c r="W52" i="65"/>
  <c r="T52" i="65"/>
  <c r="Q52" i="65"/>
  <c r="W51" i="65"/>
  <c r="T51" i="65"/>
  <c r="Q51" i="65"/>
  <c r="L51" i="65"/>
  <c r="G51" i="66" s="1"/>
  <c r="I51" i="65"/>
  <c r="F51" i="66"/>
  <c r="F51" i="65"/>
  <c r="W50" i="65"/>
  <c r="T50" i="65"/>
  <c r="Q50" i="65"/>
  <c r="W49" i="65"/>
  <c r="T49" i="65"/>
  <c r="Q49" i="65"/>
  <c r="L49" i="65"/>
  <c r="G49" i="66" s="1"/>
  <c r="I49" i="65"/>
  <c r="F49" i="66" s="1"/>
  <c r="F49" i="65"/>
  <c r="W48" i="65"/>
  <c r="T48" i="65"/>
  <c r="Q48" i="65"/>
  <c r="W47" i="65"/>
  <c r="T47" i="65"/>
  <c r="Q47" i="65"/>
  <c r="L47" i="65"/>
  <c r="G47" i="66" s="1"/>
  <c r="I47" i="65"/>
  <c r="F47" i="66" s="1"/>
  <c r="F47" i="65"/>
  <c r="W46" i="65"/>
  <c r="T46" i="65"/>
  <c r="Q46" i="65"/>
  <c r="W45" i="65"/>
  <c r="T45" i="65"/>
  <c r="Q45" i="65"/>
  <c r="L45" i="65"/>
  <c r="G45" i="66"/>
  <c r="I45" i="65"/>
  <c r="F45" i="66" s="1"/>
  <c r="F45" i="65"/>
  <c r="W44" i="65"/>
  <c r="T44" i="65"/>
  <c r="Q44" i="65"/>
  <c r="W43" i="65"/>
  <c r="T43" i="65"/>
  <c r="Q43" i="65"/>
  <c r="L43" i="65"/>
  <c r="G43" i="66"/>
  <c r="I43" i="65"/>
  <c r="F43" i="66" s="1"/>
  <c r="F43" i="65"/>
  <c r="W42" i="65"/>
  <c r="T42" i="65"/>
  <c r="Q42" i="65"/>
  <c r="W41" i="65"/>
  <c r="T41" i="65"/>
  <c r="Q41" i="65"/>
  <c r="L41" i="65"/>
  <c r="G41" i="66"/>
  <c r="I41" i="65"/>
  <c r="F41" i="66"/>
  <c r="F41" i="65"/>
  <c r="W40" i="65"/>
  <c r="T40" i="65"/>
  <c r="Q40" i="65"/>
  <c r="W39" i="65"/>
  <c r="T39" i="65"/>
  <c r="Q39" i="65"/>
  <c r="L39" i="65"/>
  <c r="G39" i="66" s="1"/>
  <c r="I39" i="65"/>
  <c r="F39" i="66"/>
  <c r="F39" i="65"/>
  <c r="W38" i="65"/>
  <c r="T38" i="65"/>
  <c r="Q38" i="65"/>
  <c r="W37" i="65"/>
  <c r="T37" i="65"/>
  <c r="Q37" i="65"/>
  <c r="L37" i="65"/>
  <c r="G37" i="66"/>
  <c r="I37" i="65"/>
  <c r="F37" i="66"/>
  <c r="F37" i="65"/>
  <c r="W36" i="65"/>
  <c r="T36" i="65"/>
  <c r="Q36" i="65"/>
  <c r="W35" i="65"/>
  <c r="T35" i="65"/>
  <c r="Q35" i="65"/>
  <c r="L35" i="65"/>
  <c r="G35" i="66"/>
  <c r="I35" i="65"/>
  <c r="F35" i="66" s="1"/>
  <c r="F35" i="65"/>
  <c r="W34" i="65"/>
  <c r="T34" i="65"/>
  <c r="Q34" i="65"/>
  <c r="W33" i="65"/>
  <c r="T33" i="65"/>
  <c r="Q33" i="65"/>
  <c r="L33" i="65"/>
  <c r="G33" i="66" s="1"/>
  <c r="I33" i="65"/>
  <c r="F33" i="66"/>
  <c r="F33" i="65"/>
  <c r="W32" i="65"/>
  <c r="T32" i="65"/>
  <c r="Q32" i="65"/>
  <c r="W31" i="65"/>
  <c r="T31" i="65"/>
  <c r="Q31" i="65"/>
  <c r="L31" i="65"/>
  <c r="G31" i="66"/>
  <c r="I31" i="65"/>
  <c r="F31" i="66"/>
  <c r="F31" i="65"/>
  <c r="W30" i="65"/>
  <c r="T30" i="65"/>
  <c r="Q30" i="65"/>
  <c r="W29" i="65"/>
  <c r="T29" i="65"/>
  <c r="Q29" i="65"/>
  <c r="L29" i="65"/>
  <c r="G29" i="66"/>
  <c r="I29" i="65"/>
  <c r="F29" i="66" s="1"/>
  <c r="F29" i="65"/>
  <c r="W28" i="65"/>
  <c r="T28" i="65"/>
  <c r="Q28" i="65"/>
  <c r="W27" i="65"/>
  <c r="T27" i="65"/>
  <c r="Q27" i="65"/>
  <c r="L27" i="65"/>
  <c r="G27" i="66" s="1"/>
  <c r="I27" i="65"/>
  <c r="F27" i="66"/>
  <c r="F27" i="65"/>
  <c r="W26" i="65"/>
  <c r="T26" i="65"/>
  <c r="Q26" i="65"/>
  <c r="W25" i="65"/>
  <c r="T25" i="65"/>
  <c r="Q25" i="65"/>
  <c r="L25" i="65"/>
  <c r="G25" i="66"/>
  <c r="I25" i="65"/>
  <c r="F25" i="66"/>
  <c r="F25" i="65"/>
  <c r="W24" i="65"/>
  <c r="T24" i="65"/>
  <c r="Q24" i="65"/>
  <c r="W23" i="65"/>
  <c r="T23" i="65"/>
  <c r="Q23" i="65"/>
  <c r="L23" i="65"/>
  <c r="G23" i="66" s="1"/>
  <c r="I23" i="65"/>
  <c r="F23" i="66" s="1"/>
  <c r="F23" i="65"/>
  <c r="W22" i="65"/>
  <c r="T22" i="65"/>
  <c r="Q22" i="65"/>
  <c r="W21" i="65"/>
  <c r="T21" i="65"/>
  <c r="Q21" i="65"/>
  <c r="L21" i="65"/>
  <c r="G21" i="66"/>
  <c r="I21" i="65"/>
  <c r="F21" i="66"/>
  <c r="F21" i="65"/>
  <c r="W20" i="65"/>
  <c r="T20" i="65"/>
  <c r="Q20" i="65"/>
  <c r="W19" i="65"/>
  <c r="T19" i="65"/>
  <c r="Q19" i="65"/>
  <c r="L19" i="65"/>
  <c r="G19" i="66" s="1"/>
  <c r="I19" i="65"/>
  <c r="F19" i="66" s="1"/>
  <c r="F19" i="65"/>
  <c r="W18" i="65"/>
  <c r="T18" i="65"/>
  <c r="Q18" i="65"/>
  <c r="W17" i="65"/>
  <c r="T17" i="65"/>
  <c r="Q17" i="65"/>
  <c r="L17" i="65"/>
  <c r="G17" i="66"/>
  <c r="I17" i="65"/>
  <c r="F17" i="66"/>
  <c r="F17" i="65"/>
  <c r="W16" i="65"/>
  <c r="T16" i="65"/>
  <c r="Q16" i="65"/>
  <c r="W15" i="65"/>
  <c r="T15" i="65"/>
  <c r="Q15" i="65"/>
  <c r="L15" i="65"/>
  <c r="G15" i="66" s="1"/>
  <c r="I15" i="65"/>
  <c r="F15" i="66" s="1"/>
  <c r="F15" i="65"/>
  <c r="W14" i="65"/>
  <c r="T14" i="65"/>
  <c r="Q14" i="65"/>
  <c r="W13" i="65"/>
  <c r="T13" i="65"/>
  <c r="Q13" i="65"/>
  <c r="L13" i="65"/>
  <c r="G13" i="66" s="1"/>
  <c r="I13" i="65"/>
  <c r="F13" i="66"/>
  <c r="F13" i="65"/>
  <c r="W12" i="65"/>
  <c r="T12" i="65"/>
  <c r="Q12" i="65"/>
  <c r="W11" i="65"/>
  <c r="T11" i="65"/>
  <c r="Q11" i="65"/>
  <c r="L11" i="65"/>
  <c r="G11" i="66"/>
  <c r="I11" i="65"/>
  <c r="F11" i="66" s="1"/>
  <c r="F11" i="65"/>
  <c r="W10" i="65"/>
  <c r="T10" i="65"/>
  <c r="Q10" i="65"/>
  <c r="W9" i="65"/>
  <c r="T9" i="65"/>
  <c r="Q9" i="65"/>
  <c r="L9" i="65"/>
  <c r="G9" i="66" s="1"/>
  <c r="I9" i="65"/>
  <c r="F9" i="66" s="1"/>
  <c r="F9" i="65"/>
  <c r="W8" i="65"/>
  <c r="T8" i="65"/>
  <c r="Q8" i="65"/>
  <c r="T7" i="65"/>
  <c r="W7" i="65"/>
  <c r="Q7" i="65"/>
  <c r="I7" i="65"/>
  <c r="L7" i="65" s="1"/>
  <c r="G7" i="66" s="1"/>
  <c r="F7" i="66"/>
  <c r="F7" i="65"/>
  <c r="B24" i="55"/>
  <c r="B23" i="55"/>
  <c r="B22" i="55"/>
  <c r="B21" i="55"/>
  <c r="B20" i="55"/>
  <c r="B19" i="55"/>
  <c r="B18" i="55"/>
  <c r="B17" i="55"/>
  <c r="B16" i="55"/>
  <c r="B15" i="55"/>
  <c r="B14" i="55"/>
  <c r="B13" i="55"/>
  <c r="B12" i="55"/>
  <c r="B11" i="55"/>
  <c r="B10" i="55"/>
  <c r="B9" i="55"/>
  <c r="B8" i="55"/>
  <c r="B7" i="55"/>
  <c r="B6" i="55"/>
  <c r="C39" i="55"/>
  <c r="B5" i="55"/>
  <c r="B30" i="55" s="1"/>
  <c r="C48" i="55"/>
  <c r="B24" i="54"/>
  <c r="B23" i="54"/>
  <c r="B45" i="54" s="1"/>
  <c r="B22" i="54"/>
  <c r="B21" i="54"/>
  <c r="B20" i="54"/>
  <c r="B19" i="54"/>
  <c r="C44" i="54" s="1"/>
  <c r="B18" i="54"/>
  <c r="B17" i="54"/>
  <c r="B16" i="54"/>
  <c r="B15" i="54"/>
  <c r="B14" i="54"/>
  <c r="B13" i="54"/>
  <c r="B12" i="54"/>
  <c r="B11" i="54"/>
  <c r="B10" i="54"/>
  <c r="B9" i="54"/>
  <c r="B8" i="54"/>
  <c r="B7" i="54"/>
  <c r="B6" i="54"/>
  <c r="B5" i="54"/>
  <c r="C48" i="54" s="1"/>
  <c r="B24" i="53"/>
  <c r="B23" i="53"/>
  <c r="B22" i="53"/>
  <c r="B21" i="53"/>
  <c r="B20" i="53"/>
  <c r="B19" i="53"/>
  <c r="B32" i="53" s="1"/>
  <c r="B18" i="53"/>
  <c r="B17" i="53"/>
  <c r="B16" i="53"/>
  <c r="B15" i="53"/>
  <c r="B31" i="53" s="1"/>
  <c r="B14" i="53"/>
  <c r="B13" i="53"/>
  <c r="C37" i="53" s="1"/>
  <c r="B5" i="53"/>
  <c r="B33" i="53"/>
  <c r="B12" i="53"/>
  <c r="B11" i="53"/>
  <c r="B10" i="53"/>
  <c r="B9" i="53"/>
  <c r="B8" i="53"/>
  <c r="B7" i="53"/>
  <c r="C38" i="53" s="1"/>
  <c r="B6" i="53"/>
  <c r="B30" i="53" s="1"/>
  <c r="B34" i="55"/>
  <c r="B33" i="55"/>
  <c r="B37" i="55"/>
  <c r="B41" i="55"/>
  <c r="B45" i="55"/>
  <c r="C29" i="55"/>
  <c r="C33" i="55"/>
  <c r="C37" i="55"/>
  <c r="C41" i="55"/>
  <c r="C45" i="55"/>
  <c r="E45" i="55" s="1"/>
  <c r="C35" i="55"/>
  <c r="E35" i="55" s="1"/>
  <c r="B42" i="55"/>
  <c r="B46" i="55"/>
  <c r="B38" i="55"/>
  <c r="C34" i="55"/>
  <c r="C38" i="55"/>
  <c r="C42" i="55"/>
  <c r="C46" i="55"/>
  <c r="E46" i="55" s="1"/>
  <c r="B35" i="55"/>
  <c r="B39" i="55"/>
  <c r="B43" i="55"/>
  <c r="B47" i="55"/>
  <c r="C47" i="55"/>
  <c r="B32" i="55"/>
  <c r="B36" i="55"/>
  <c r="B40" i="55"/>
  <c r="B44" i="55"/>
  <c r="B48" i="55"/>
  <c r="C43" i="55"/>
  <c r="C32" i="55"/>
  <c r="E32" i="55" s="1"/>
  <c r="C36" i="55"/>
  <c r="E36" i="55" s="1"/>
  <c r="C40" i="55"/>
  <c r="C44" i="55"/>
  <c r="E44" i="55" s="1"/>
  <c r="B39" i="54"/>
  <c r="C45" i="54"/>
  <c r="C34" i="54"/>
  <c r="C46" i="54"/>
  <c r="B48" i="54"/>
  <c r="C30" i="54"/>
  <c r="C36" i="54"/>
  <c r="C29" i="53"/>
  <c r="C33" i="53"/>
  <c r="C45" i="53"/>
  <c r="B41" i="53"/>
  <c r="C34" i="53"/>
  <c r="B39" i="53"/>
  <c r="B43" i="53"/>
  <c r="B47" i="53"/>
  <c r="C35" i="53"/>
  <c r="C43" i="53"/>
  <c r="C47" i="53"/>
  <c r="B40" i="53"/>
  <c r="B24" i="52"/>
  <c r="B23" i="52"/>
  <c r="B22" i="52"/>
  <c r="B21" i="52"/>
  <c r="B20" i="52"/>
  <c r="B19" i="52"/>
  <c r="B18" i="52"/>
  <c r="B17" i="52"/>
  <c r="B16" i="52"/>
  <c r="B15" i="52"/>
  <c r="B14" i="52"/>
  <c r="B13" i="52"/>
  <c r="C44" i="52" s="1"/>
  <c r="B12" i="52"/>
  <c r="B11" i="52"/>
  <c r="B10" i="52"/>
  <c r="B9" i="52"/>
  <c r="B41" i="52" s="1"/>
  <c r="B8" i="52"/>
  <c r="B7" i="52"/>
  <c r="C30" i="52" s="1"/>
  <c r="B6" i="52"/>
  <c r="B5" i="52"/>
  <c r="C45" i="52" s="1"/>
  <c r="E33" i="55"/>
  <c r="E34" i="55"/>
  <c r="E37" i="55"/>
  <c r="E38" i="55"/>
  <c r="E39" i="55"/>
  <c r="E40" i="55"/>
  <c r="E41" i="55"/>
  <c r="E42" i="55"/>
  <c r="E43" i="55"/>
  <c r="E47" i="55"/>
  <c r="E48" i="55"/>
  <c r="B46" i="52"/>
  <c r="B34" i="52"/>
  <c r="C34" i="52"/>
  <c r="C46" i="52"/>
  <c r="C41" i="52"/>
  <c r="B48" i="52"/>
  <c r="B33" i="52"/>
  <c r="C33" i="52"/>
  <c r="C48" i="52"/>
  <c r="E48" i="52"/>
  <c r="K36" i="46"/>
  <c r="J36" i="46"/>
  <c r="I36" i="46"/>
  <c r="H36" i="46"/>
  <c r="G36" i="46"/>
  <c r="K34" i="46"/>
  <c r="J34" i="46"/>
  <c r="I34" i="46"/>
  <c r="H34" i="46"/>
  <c r="G34" i="46"/>
  <c r="K32" i="46"/>
  <c r="J32" i="46"/>
  <c r="I32" i="46"/>
  <c r="H32" i="46"/>
  <c r="G32" i="46"/>
  <c r="K30" i="46"/>
  <c r="J30" i="46"/>
  <c r="I30" i="46"/>
  <c r="H30" i="46"/>
  <c r="G30" i="46"/>
  <c r="K28" i="46"/>
  <c r="J28" i="46"/>
  <c r="I28" i="46"/>
  <c r="H28" i="46"/>
  <c r="G28" i="46"/>
  <c r="K26" i="46"/>
  <c r="J26" i="46"/>
  <c r="I26" i="46"/>
  <c r="H26" i="46"/>
  <c r="G26" i="46"/>
  <c r="K24" i="46"/>
  <c r="J24" i="46"/>
  <c r="I24" i="46"/>
  <c r="H24" i="46"/>
  <c r="G24" i="46"/>
  <c r="K22" i="46"/>
  <c r="J22" i="46"/>
  <c r="I22" i="46"/>
  <c r="H22" i="46"/>
  <c r="G22" i="46"/>
  <c r="K20" i="46"/>
  <c r="J20" i="46"/>
  <c r="I20" i="46"/>
  <c r="H20" i="46"/>
  <c r="G20" i="46"/>
  <c r="K18" i="46"/>
  <c r="J18" i="46"/>
  <c r="I18" i="46"/>
  <c r="H18" i="46"/>
  <c r="G18" i="46"/>
  <c r="K16" i="46"/>
  <c r="J16" i="46"/>
  <c r="I16" i="46"/>
  <c r="H16" i="46"/>
  <c r="G16" i="46"/>
  <c r="K14" i="46"/>
  <c r="J14" i="46"/>
  <c r="I14" i="46"/>
  <c r="H14" i="46"/>
  <c r="G14" i="46"/>
  <c r="K12" i="46"/>
  <c r="J12" i="46"/>
  <c r="I12" i="46"/>
  <c r="H12" i="46"/>
  <c r="G12" i="46"/>
  <c r="K10" i="46"/>
  <c r="J10" i="46"/>
  <c r="I10" i="46"/>
  <c r="H10" i="46"/>
  <c r="G10" i="46"/>
  <c r="K8" i="46"/>
  <c r="J8" i="46"/>
  <c r="I8" i="46"/>
  <c r="H8" i="46"/>
  <c r="G8" i="46"/>
  <c r="K6" i="46"/>
  <c r="J6" i="46"/>
  <c r="I6" i="46"/>
  <c r="H6" i="46"/>
  <c r="G6" i="46"/>
  <c r="A34" i="37"/>
  <c r="B34" i="37"/>
  <c r="A33" i="37"/>
  <c r="B33" i="37"/>
  <c r="A32" i="37"/>
  <c r="B32" i="37" s="1"/>
  <c r="A31" i="37"/>
  <c r="B31" i="37"/>
  <c r="A30" i="37"/>
  <c r="B30" i="37"/>
  <c r="A29" i="37"/>
  <c r="B29" i="37"/>
  <c r="A28" i="37"/>
  <c r="B28" i="37"/>
  <c r="A27" i="37"/>
  <c r="B27" i="37" s="1"/>
  <c r="A26" i="37"/>
  <c r="B26" i="37" s="1"/>
  <c r="A25" i="37"/>
  <c r="B25" i="37"/>
  <c r="A24" i="37"/>
  <c r="B24" i="37"/>
  <c r="A23" i="37"/>
  <c r="B23" i="37"/>
  <c r="A22" i="37"/>
  <c r="B22" i="37"/>
  <c r="A21" i="37"/>
  <c r="B21" i="37"/>
  <c r="A20" i="37"/>
  <c r="B20" i="37" s="1"/>
  <c r="A19" i="37"/>
  <c r="B19" i="37"/>
  <c r="A18" i="37"/>
  <c r="B18" i="37"/>
  <c r="A17" i="37"/>
  <c r="B17" i="37"/>
  <c r="A16" i="37"/>
  <c r="B16" i="37"/>
  <c r="A15" i="37"/>
  <c r="B15" i="37" s="1"/>
  <c r="A14" i="37"/>
  <c r="B14" i="37" s="1"/>
  <c r="A13" i="37"/>
  <c r="B13" i="37"/>
  <c r="A12" i="37"/>
  <c r="B12" i="37"/>
  <c r="A11" i="37"/>
  <c r="B11" i="37"/>
  <c r="A10" i="37"/>
  <c r="B10" i="37"/>
  <c r="A9" i="37"/>
  <c r="B9" i="37"/>
  <c r="A8" i="37"/>
  <c r="B8" i="37" s="1"/>
  <c r="A7" i="37"/>
  <c r="B7" i="37"/>
  <c r="A6" i="37"/>
  <c r="B6" i="37"/>
  <c r="A5" i="37"/>
  <c r="B5" i="37"/>
  <c r="A440" i="2"/>
  <c r="A444" i="2"/>
  <c r="M5" i="66" s="1"/>
  <c r="A447" i="2"/>
  <c r="D309" i="68" s="1"/>
  <c r="A410" i="2"/>
  <c r="B1" i="55" s="1"/>
  <c r="A402" i="2"/>
  <c r="C4" i="53" s="1"/>
  <c r="A398" i="2"/>
  <c r="H4" i="53" s="1"/>
  <c r="D200" i="39"/>
  <c r="A200" i="39"/>
  <c r="D199" i="39"/>
  <c r="A199" i="39"/>
  <c r="D198" i="39"/>
  <c r="A198" i="39"/>
  <c r="D197" i="39"/>
  <c r="A197" i="39"/>
  <c r="D196" i="39"/>
  <c r="A196" i="39"/>
  <c r="D195" i="39"/>
  <c r="A195" i="39"/>
  <c r="D194" i="39"/>
  <c r="A194" i="39"/>
  <c r="D193" i="39"/>
  <c r="A193" i="39"/>
  <c r="D191" i="39"/>
  <c r="A191" i="39"/>
  <c r="D190" i="39"/>
  <c r="A190" i="39"/>
  <c r="D189" i="39"/>
  <c r="A189" i="39"/>
  <c r="D188" i="39"/>
  <c r="A188" i="39"/>
  <c r="D187" i="39"/>
  <c r="A187" i="39"/>
  <c r="D185" i="39"/>
  <c r="A185" i="39"/>
  <c r="D184" i="39"/>
  <c r="A184" i="39"/>
  <c r="D183" i="39"/>
  <c r="A183" i="39"/>
  <c r="D182" i="39"/>
  <c r="A182" i="39"/>
  <c r="D181" i="39"/>
  <c r="A181" i="39"/>
  <c r="D180" i="39"/>
  <c r="A180" i="39"/>
  <c r="D178" i="39"/>
  <c r="A178" i="39"/>
  <c r="D177" i="39"/>
  <c r="A177" i="39"/>
  <c r="D176" i="39"/>
  <c r="A176" i="39"/>
  <c r="D175" i="39"/>
  <c r="A175" i="39"/>
  <c r="D174" i="39"/>
  <c r="A174" i="39"/>
  <c r="D173" i="39"/>
  <c r="A173" i="39"/>
  <c r="D172" i="39"/>
  <c r="A172" i="39"/>
  <c r="D170" i="39"/>
  <c r="A170" i="39"/>
  <c r="D169" i="39"/>
  <c r="A169" i="39"/>
  <c r="D168" i="39"/>
  <c r="A168" i="39"/>
  <c r="D167" i="39"/>
  <c r="A167" i="39"/>
  <c r="D166" i="39"/>
  <c r="A166" i="39"/>
  <c r="D165" i="39"/>
  <c r="A165" i="39"/>
  <c r="D164" i="39"/>
  <c r="A164" i="39"/>
  <c r="D162" i="39"/>
  <c r="A162" i="39"/>
  <c r="D161" i="39"/>
  <c r="A161" i="39"/>
  <c r="D160" i="39"/>
  <c r="A160" i="39"/>
  <c r="D159" i="39"/>
  <c r="A159" i="39"/>
  <c r="D158" i="39"/>
  <c r="A158" i="39"/>
  <c r="D157" i="39"/>
  <c r="A157" i="39"/>
  <c r="D156" i="39"/>
  <c r="A156" i="39"/>
  <c r="D155" i="39"/>
  <c r="A155" i="39"/>
  <c r="D153" i="39"/>
  <c r="A153" i="39"/>
  <c r="D152" i="39"/>
  <c r="A152" i="39"/>
  <c r="D151" i="39"/>
  <c r="A151" i="39"/>
  <c r="D149" i="39"/>
  <c r="A149" i="39"/>
  <c r="D148" i="39"/>
  <c r="A148" i="39"/>
  <c r="D147" i="39"/>
  <c r="A147" i="39"/>
  <c r="D146" i="39"/>
  <c r="A146" i="39"/>
  <c r="D145" i="39"/>
  <c r="A145" i="39"/>
  <c r="D144" i="39"/>
  <c r="A144" i="39"/>
  <c r="D143" i="39"/>
  <c r="A143" i="39"/>
  <c r="D142" i="39"/>
  <c r="A142" i="39"/>
  <c r="D140" i="39"/>
  <c r="A140" i="39"/>
  <c r="D139" i="39"/>
  <c r="A139" i="39"/>
  <c r="F138" i="39"/>
  <c r="D138" i="39"/>
  <c r="A138" i="39"/>
  <c r="F137" i="39"/>
  <c r="D137" i="39"/>
  <c r="A137" i="39"/>
  <c r="F136" i="39"/>
  <c r="D136" i="39"/>
  <c r="A136" i="39"/>
  <c r="F135" i="39"/>
  <c r="D135" i="39"/>
  <c r="A135" i="39"/>
  <c r="F134" i="39"/>
  <c r="D134" i="39"/>
  <c r="D133" i="39" s="1"/>
  <c r="D130" i="39" s="1"/>
  <c r="A134" i="39"/>
  <c r="A133" i="39" s="1"/>
  <c r="A130" i="39" s="1"/>
  <c r="B133" i="39"/>
  <c r="B130" i="39" s="1"/>
  <c r="B90" i="39"/>
  <c r="B89" i="39"/>
  <c r="B88" i="39"/>
  <c r="C87" i="39"/>
  <c r="B87" i="39"/>
  <c r="B86" i="39"/>
  <c r="B85" i="39"/>
  <c r="B84" i="39"/>
  <c r="B83" i="39"/>
  <c r="B82" i="39"/>
  <c r="N69" i="39"/>
  <c r="C90" i="39"/>
  <c r="N63" i="39"/>
  <c r="C89" i="39"/>
  <c r="N56" i="39"/>
  <c r="C88" i="39" s="1"/>
  <c r="N48" i="39"/>
  <c r="N40" i="39"/>
  <c r="C86" i="39"/>
  <c r="N31" i="39"/>
  <c r="C85" i="39"/>
  <c r="N27" i="39"/>
  <c r="E3" i="39" s="1"/>
  <c r="N18" i="39"/>
  <c r="C83" i="39"/>
  <c r="N10" i="39"/>
  <c r="C82" i="39"/>
  <c r="G10" i="39"/>
  <c r="P7" i="39"/>
  <c r="N7" i="39"/>
  <c r="L7" i="39"/>
  <c r="J7" i="39"/>
  <c r="H7" i="39"/>
  <c r="E4" i="39"/>
  <c r="D164" i="38"/>
  <c r="A164" i="38"/>
  <c r="D163" i="38"/>
  <c r="A163" i="38"/>
  <c r="D161" i="38"/>
  <c r="A161" i="38"/>
  <c r="D160" i="38"/>
  <c r="A160" i="38"/>
  <c r="D159" i="38"/>
  <c r="A159" i="38"/>
  <c r="D158" i="38"/>
  <c r="A158" i="38"/>
  <c r="D156" i="38"/>
  <c r="A156" i="38"/>
  <c r="D155" i="38"/>
  <c r="A155" i="38"/>
  <c r="D154" i="38"/>
  <c r="A154" i="38"/>
  <c r="D152" i="38"/>
  <c r="A152" i="38"/>
  <c r="D151" i="38"/>
  <c r="A151" i="38"/>
  <c r="D150" i="38"/>
  <c r="A150" i="38"/>
  <c r="D149" i="38"/>
  <c r="A149" i="38"/>
  <c r="D147" i="38"/>
  <c r="A147" i="38"/>
  <c r="D146" i="38"/>
  <c r="A146" i="38"/>
  <c r="D145" i="38"/>
  <c r="A145" i="38"/>
  <c r="D144" i="38"/>
  <c r="A144" i="38"/>
  <c r="D143" i="38"/>
  <c r="A143" i="38"/>
  <c r="D142" i="38"/>
  <c r="A142" i="38"/>
  <c r="D141" i="38"/>
  <c r="A141" i="38"/>
  <c r="D139" i="38"/>
  <c r="A139" i="38"/>
  <c r="D138" i="38"/>
  <c r="A138" i="38"/>
  <c r="D137" i="38"/>
  <c r="A137" i="38"/>
  <c r="D135" i="38"/>
  <c r="A135" i="38"/>
  <c r="D134" i="38"/>
  <c r="A134" i="38"/>
  <c r="D133" i="38"/>
  <c r="A133" i="38"/>
  <c r="D132" i="38"/>
  <c r="A132" i="38"/>
  <c r="D130" i="38"/>
  <c r="A130" i="38"/>
  <c r="D129" i="38"/>
  <c r="A129" i="38"/>
  <c r="D128" i="38"/>
  <c r="A128" i="38"/>
  <c r="D127" i="38"/>
  <c r="A127" i="38"/>
  <c r="D126" i="38"/>
  <c r="A126" i="38"/>
  <c r="D125" i="38"/>
  <c r="A125" i="38"/>
  <c r="D124" i="38"/>
  <c r="A124" i="38"/>
  <c r="D123" i="38"/>
  <c r="A123" i="38"/>
  <c r="D121" i="38"/>
  <c r="A121" i="38"/>
  <c r="I120" i="38"/>
  <c r="D120" i="38"/>
  <c r="A120" i="38"/>
  <c r="I119" i="38"/>
  <c r="D119" i="38"/>
  <c r="D117" i="38" s="1"/>
  <c r="D115" i="38" s="1"/>
  <c r="A119" i="38"/>
  <c r="I118" i="38"/>
  <c r="D118" i="38"/>
  <c r="A118" i="38"/>
  <c r="A117" i="38" s="1"/>
  <c r="A115" i="38" s="1"/>
  <c r="I117" i="38"/>
  <c r="B117" i="38"/>
  <c r="I116" i="38"/>
  <c r="B115" i="38"/>
  <c r="B70" i="38"/>
  <c r="B69" i="38"/>
  <c r="B68" i="38"/>
  <c r="C67" i="38"/>
  <c r="B67" i="38"/>
  <c r="N33" i="38"/>
  <c r="C66" i="38" s="1"/>
  <c r="B66" i="38"/>
  <c r="B65" i="38"/>
  <c r="B64" i="38"/>
  <c r="B63" i="38"/>
  <c r="B62" i="38"/>
  <c r="N55" i="38"/>
  <c r="C70" i="38" s="1"/>
  <c r="N50" i="38"/>
  <c r="C69" i="38"/>
  <c r="N46" i="38"/>
  <c r="C68" i="38"/>
  <c r="N41" i="38"/>
  <c r="N29" i="38"/>
  <c r="C65" i="38" s="1"/>
  <c r="N24" i="38"/>
  <c r="C64" i="38"/>
  <c r="N15" i="38"/>
  <c r="C63" i="38" s="1"/>
  <c r="N10" i="38"/>
  <c r="E4" i="38" s="1"/>
  <c r="G10" i="38"/>
  <c r="P7" i="38"/>
  <c r="N7" i="38"/>
  <c r="L7" i="38"/>
  <c r="J7" i="38"/>
  <c r="H7" i="38"/>
  <c r="E3" i="38"/>
  <c r="D41" i="31"/>
  <c r="P24" i="24"/>
  <c r="N24" i="24"/>
  <c r="L24" i="24"/>
  <c r="G12" i="24"/>
  <c r="J24" i="24"/>
  <c r="H24" i="24"/>
  <c r="E12" i="24" s="1"/>
  <c r="F24" i="24"/>
  <c r="D12" i="24" s="1"/>
  <c r="P23" i="24"/>
  <c r="N23" i="24"/>
  <c r="H11" i="24"/>
  <c r="L23" i="24"/>
  <c r="G11" i="24" s="1"/>
  <c r="J23" i="24"/>
  <c r="F11" i="24"/>
  <c r="H23" i="24"/>
  <c r="E11" i="24"/>
  <c r="F23" i="24"/>
  <c r="D11" i="24" s="1"/>
  <c r="P22" i="24"/>
  <c r="I10" i="24" s="1"/>
  <c r="N22" i="24"/>
  <c r="H10" i="24" s="1"/>
  <c r="L22" i="24"/>
  <c r="G10" i="24" s="1"/>
  <c r="J22" i="24"/>
  <c r="H22" i="24"/>
  <c r="E10" i="24"/>
  <c r="F22" i="24"/>
  <c r="D10" i="24"/>
  <c r="P21" i="24"/>
  <c r="N21" i="24"/>
  <c r="H9" i="24" s="1"/>
  <c r="L21" i="24"/>
  <c r="G9" i="24" s="1"/>
  <c r="J21" i="24"/>
  <c r="F9" i="24"/>
  <c r="H21" i="24"/>
  <c r="H25" i="24" s="1"/>
  <c r="F21" i="24"/>
  <c r="P20" i="24"/>
  <c r="I8" i="24" s="1"/>
  <c r="N20" i="24"/>
  <c r="H8" i="24"/>
  <c r="L20" i="24"/>
  <c r="G8" i="24"/>
  <c r="J20" i="24"/>
  <c r="F8" i="24"/>
  <c r="H20" i="24"/>
  <c r="E8" i="24"/>
  <c r="F20" i="24"/>
  <c r="D8" i="24" s="1"/>
  <c r="P19" i="24"/>
  <c r="N19" i="24"/>
  <c r="H7" i="24"/>
  <c r="L19" i="24"/>
  <c r="G7" i="24" s="1"/>
  <c r="J19" i="24"/>
  <c r="F7" i="24" s="1"/>
  <c r="H19" i="24"/>
  <c r="E7" i="24" s="1"/>
  <c r="F19" i="24"/>
  <c r="D7" i="24"/>
  <c r="P18" i="24"/>
  <c r="I6" i="24" s="1"/>
  <c r="N18" i="24"/>
  <c r="N25" i="24" s="1"/>
  <c r="H6" i="24"/>
  <c r="L18" i="24"/>
  <c r="G6" i="24"/>
  <c r="J18" i="24"/>
  <c r="J25" i="24" s="1"/>
  <c r="F6" i="24"/>
  <c r="H18" i="24"/>
  <c r="E6" i="24"/>
  <c r="F18" i="24"/>
  <c r="D6" i="24"/>
  <c r="P17" i="24"/>
  <c r="P25" i="24" s="1"/>
  <c r="N17" i="24"/>
  <c r="H5" i="24"/>
  <c r="L17" i="24"/>
  <c r="J17" i="24"/>
  <c r="H17" i="24"/>
  <c r="E5" i="24" s="1"/>
  <c r="F17" i="24"/>
  <c r="F25" i="24" s="1"/>
  <c r="I12" i="24"/>
  <c r="H12" i="24"/>
  <c r="F12" i="24"/>
  <c r="C12" i="24"/>
  <c r="I11" i="24"/>
  <c r="C11" i="24"/>
  <c r="F10" i="24"/>
  <c r="C10" i="24"/>
  <c r="I9" i="24"/>
  <c r="E9" i="24"/>
  <c r="D9" i="24"/>
  <c r="C9" i="24"/>
  <c r="C8" i="24"/>
  <c r="I7" i="24"/>
  <c r="C7" i="24"/>
  <c r="C6" i="24"/>
  <c r="I5" i="24"/>
  <c r="C5" i="24"/>
  <c r="I4" i="24"/>
  <c r="H4" i="24"/>
  <c r="G4" i="24"/>
  <c r="F4" i="24"/>
  <c r="E4" i="24"/>
  <c r="D4" i="24"/>
  <c r="D89" i="23"/>
  <c r="D75" i="23"/>
  <c r="D61" i="23"/>
  <c r="D47" i="23"/>
  <c r="D33" i="23"/>
  <c r="D19" i="23"/>
  <c r="D10" i="13"/>
  <c r="B88" i="13"/>
  <c r="B89" i="13" s="1"/>
  <c r="B90" i="13" s="1"/>
  <c r="B91" i="13" s="1"/>
  <c r="B92" i="13" s="1"/>
  <c r="B93" i="13" s="1"/>
  <c r="B94" i="13" s="1"/>
  <c r="B95" i="13" s="1"/>
  <c r="B96" i="13" s="1"/>
  <c r="B74" i="13"/>
  <c r="B75" i="13"/>
  <c r="B76" i="13" s="1"/>
  <c r="B77" i="13" s="1"/>
  <c r="B78" i="13" s="1"/>
  <c r="B79" i="13" s="1"/>
  <c r="B80" i="13" s="1"/>
  <c r="B81" i="13" s="1"/>
  <c r="B82" i="13" s="1"/>
  <c r="B60" i="13"/>
  <c r="B61" i="13" s="1"/>
  <c r="B62" i="13" s="1"/>
  <c r="B63" i="13" s="1"/>
  <c r="B64" i="13" s="1"/>
  <c r="B65" i="13" s="1"/>
  <c r="B66" i="13" s="1"/>
  <c r="B67" i="13" s="1"/>
  <c r="B68" i="13" s="1"/>
  <c r="B46" i="13"/>
  <c r="B47" i="13"/>
  <c r="B48" i="13" s="1"/>
  <c r="B49" i="13" s="1"/>
  <c r="B50" i="13" s="1"/>
  <c r="B51" i="13" s="1"/>
  <c r="B52" i="13" s="1"/>
  <c r="B53" i="13" s="1"/>
  <c r="B54" i="13" s="1"/>
  <c r="B32" i="13"/>
  <c r="B33" i="13" s="1"/>
  <c r="B34" i="13" s="1"/>
  <c r="B35" i="13" s="1"/>
  <c r="B36" i="13" s="1"/>
  <c r="B37" i="13" s="1"/>
  <c r="B38" i="13" s="1"/>
  <c r="B39" i="13" s="1"/>
  <c r="B40" i="13" s="1"/>
  <c r="I18" i="13"/>
  <c r="B18" i="13"/>
  <c r="B19" i="13"/>
  <c r="B20" i="13"/>
  <c r="B21" i="13" s="1"/>
  <c r="B22" i="13" s="1"/>
  <c r="B23" i="13" s="1"/>
  <c r="B24" i="13" s="1"/>
  <c r="B25" i="13" s="1"/>
  <c r="B26" i="13" s="1"/>
  <c r="I17" i="13"/>
  <c r="G40" i="6"/>
  <c r="G39" i="6"/>
  <c r="G38" i="6"/>
  <c r="G37" i="6"/>
  <c r="G36" i="6"/>
  <c r="A153" i="2"/>
  <c r="A80" i="2"/>
  <c r="D14" i="17" s="1"/>
  <c r="A81" i="2"/>
  <c r="D15" i="17" s="1"/>
  <c r="A132" i="2"/>
  <c r="F3" i="37"/>
  <c r="A174" i="2"/>
  <c r="A9" i="2"/>
  <c r="A148" i="2"/>
  <c r="E4" i="6" s="1"/>
  <c r="A98" i="2"/>
  <c r="D32" i="17"/>
  <c r="A112" i="2"/>
  <c r="A162" i="2"/>
  <c r="D4" i="19" s="1"/>
  <c r="A319" i="2"/>
  <c r="A104" i="2"/>
  <c r="B19" i="17" s="1"/>
  <c r="A118" i="2"/>
  <c r="C4" i="34" s="1"/>
  <c r="A69" i="2"/>
  <c r="C5" i="17"/>
  <c r="A105" i="2"/>
  <c r="B23" i="17" s="1"/>
  <c r="A119" i="2"/>
  <c r="F4" i="60" s="1"/>
  <c r="A120" i="2"/>
  <c r="E4" i="34" s="1"/>
  <c r="A23" i="2"/>
  <c r="A343" i="2"/>
  <c r="A35" i="2"/>
  <c r="A83" i="2"/>
  <c r="D17" i="17" s="1"/>
  <c r="A12" i="2"/>
  <c r="A61" i="2"/>
  <c r="A72" i="2"/>
  <c r="D6" i="17" s="1"/>
  <c r="A84" i="2"/>
  <c r="D18" i="17" s="1"/>
  <c r="A134" i="2"/>
  <c r="A157" i="2"/>
  <c r="B1" i="19" s="1"/>
  <c r="A336" i="2"/>
  <c r="B1" i="24"/>
  <c r="A47" i="2"/>
  <c r="A71" i="2"/>
  <c r="H5" i="17" s="1"/>
  <c r="A37" i="2"/>
  <c r="A62" i="2"/>
  <c r="C57" i="13" s="1"/>
  <c r="A73" i="2"/>
  <c r="D7" i="17" s="1"/>
  <c r="A85" i="2"/>
  <c r="D19" i="17" s="1"/>
  <c r="A97" i="2"/>
  <c r="D31" i="17" s="1"/>
  <c r="F5" i="24"/>
  <c r="A322" i="2"/>
  <c r="B21" i="23" s="1"/>
  <c r="A341" i="2"/>
  <c r="C25" i="24" s="1"/>
  <c r="G5" i="24"/>
  <c r="A159" i="2"/>
  <c r="A1" i="2"/>
  <c r="A15" i="2"/>
  <c r="A27" i="2"/>
  <c r="A75" i="2"/>
  <c r="D9" i="17" s="1"/>
  <c r="A87" i="2"/>
  <c r="D21" i="17" s="1"/>
  <c r="A160" i="2"/>
  <c r="A175" i="2"/>
  <c r="B1" i="31" s="1"/>
  <c r="A76" i="2"/>
  <c r="D10" i="17" s="1"/>
  <c r="A100" i="2"/>
  <c r="D34" i="17" s="1"/>
  <c r="A138" i="2"/>
  <c r="A144" i="2"/>
  <c r="C4" i="6" s="1"/>
  <c r="A169" i="2"/>
  <c r="A176" i="2"/>
  <c r="C25" i="31" s="1"/>
  <c r="A342" i="2"/>
  <c r="B1" i="70" s="1"/>
  <c r="A313" i="2"/>
  <c r="A312" i="2"/>
  <c r="A382" i="2"/>
  <c r="B1" i="41" s="1"/>
  <c r="A339" i="2"/>
  <c r="D15" i="24"/>
  <c r="A320" i="2"/>
  <c r="B1" i="23" s="1"/>
  <c r="A318" i="2"/>
  <c r="B1" i="72" s="1"/>
  <c r="A338" i="2"/>
  <c r="A41" i="2"/>
  <c r="A77" i="2"/>
  <c r="D11" i="17" s="1"/>
  <c r="A89" i="2"/>
  <c r="D23" i="17" s="1"/>
  <c r="A127" i="2"/>
  <c r="B3" i="37" s="1"/>
  <c r="A145" i="2"/>
  <c r="A170" i="2"/>
  <c r="A177" i="2"/>
  <c r="D8" i="23" s="1"/>
  <c r="A29" i="2"/>
  <c r="A18" i="2"/>
  <c r="A30" i="2"/>
  <c r="A42" i="2"/>
  <c r="A55" i="2"/>
  <c r="D16" i="13" s="1"/>
  <c r="A90" i="2"/>
  <c r="D24" i="17" s="1"/>
  <c r="A116" i="2"/>
  <c r="A128" i="2"/>
  <c r="C3" i="37" s="1"/>
  <c r="A140" i="2"/>
  <c r="G5" i="18" s="1"/>
  <c r="A146" i="2"/>
  <c r="A167" i="2"/>
  <c r="G5" i="19" s="1"/>
  <c r="G6" i="19"/>
  <c r="A315" i="2"/>
  <c r="A7" i="2"/>
  <c r="A56" i="2"/>
  <c r="E16" i="13" s="1"/>
  <c r="A79" i="2"/>
  <c r="D13" i="17" s="1"/>
  <c r="A91" i="2"/>
  <c r="D25" i="17" s="1"/>
  <c r="A103" i="2"/>
  <c r="B13" i="17" s="1"/>
  <c r="A117" i="2"/>
  <c r="B4" i="60" s="1"/>
  <c r="A147" i="2"/>
  <c r="D4" i="6" s="1"/>
  <c r="A168" i="2"/>
  <c r="A172" i="2"/>
  <c r="A316" i="2"/>
  <c r="B21" i="1"/>
  <c r="B26" i="1"/>
  <c r="B22" i="1"/>
  <c r="B23" i="1"/>
  <c r="B24" i="1"/>
  <c r="B17" i="1"/>
  <c r="B18" i="1"/>
  <c r="B14" i="1"/>
  <c r="F13" i="1" s="1"/>
  <c r="B19" i="1"/>
  <c r="F14" i="1" s="1"/>
  <c r="B16" i="1"/>
  <c r="B15" i="1"/>
  <c r="B13" i="1"/>
  <c r="B9" i="1"/>
  <c r="E16" i="1" s="1"/>
  <c r="B25" i="1"/>
  <c r="B20" i="1"/>
  <c r="B8" i="1"/>
  <c r="B7" i="1"/>
  <c r="F19" i="1" s="1"/>
  <c r="B12" i="1"/>
  <c r="B11" i="1"/>
  <c r="B10" i="1"/>
  <c r="F25" i="1"/>
  <c r="E24" i="1"/>
  <c r="F24" i="1"/>
  <c r="E23" i="1"/>
  <c r="E22" i="1"/>
  <c r="E21" i="1"/>
  <c r="F21" i="1"/>
  <c r="E17" i="1"/>
  <c r="F11" i="1"/>
  <c r="E10" i="1"/>
  <c r="A48" i="2"/>
  <c r="A524" i="2"/>
  <c r="D465" i="67"/>
  <c r="D117" i="67"/>
  <c r="D177" i="68"/>
  <c r="D417" i="68"/>
  <c r="D177" i="67"/>
  <c r="D213" i="68"/>
  <c r="D549" i="68"/>
  <c r="D501" i="68"/>
  <c r="D849" i="68"/>
  <c r="D645" i="68"/>
  <c r="A289" i="2"/>
  <c r="D55" i="39" s="1"/>
  <c r="D165" i="67"/>
  <c r="D201" i="67"/>
  <c r="D117" i="68"/>
  <c r="D78" i="23"/>
  <c r="A331" i="2"/>
  <c r="E8" i="23" s="1"/>
  <c r="A310" i="2"/>
  <c r="D76" i="39" s="1"/>
  <c r="D22" i="23"/>
  <c r="A187" i="2"/>
  <c r="H3" i="39" s="1"/>
  <c r="D50" i="23"/>
  <c r="D25" i="31"/>
  <c r="A210" i="2"/>
  <c r="A184" i="2"/>
  <c r="N3" i="38" s="1"/>
  <c r="A488" i="2"/>
  <c r="A215" i="2"/>
  <c r="D38" i="38" s="1"/>
  <c r="A483" i="2"/>
  <c r="D945" i="68"/>
  <c r="D57" i="67"/>
  <c r="D165" i="68"/>
  <c r="D261" i="68"/>
  <c r="D789" i="68"/>
  <c r="D357" i="68"/>
  <c r="D261" i="67"/>
  <c r="D321" i="67"/>
  <c r="D561" i="68"/>
  <c r="D129" i="68"/>
  <c r="D657" i="68"/>
  <c r="D225" i="68"/>
  <c r="D321" i="68"/>
  <c r="D921" i="68"/>
  <c r="D489" i="68"/>
  <c r="D57" i="68"/>
  <c r="D681" i="68"/>
  <c r="D249" i="68"/>
  <c r="D813" i="68"/>
  <c r="D909" i="68"/>
  <c r="D477" i="68"/>
  <c r="D45" i="68"/>
  <c r="D573" i="68"/>
  <c r="D141" i="68"/>
  <c r="D45" i="67"/>
  <c r="D105" i="67"/>
  <c r="D129" i="67"/>
  <c r="D441" i="68"/>
  <c r="D537" i="68"/>
  <c r="D105" i="68"/>
  <c r="D441" i="67"/>
  <c r="D9" i="67"/>
  <c r="D705" i="68"/>
  <c r="D273" i="68"/>
  <c r="D465" i="68"/>
  <c r="D369" i="67"/>
  <c r="D429" i="67"/>
  <c r="D453" i="67"/>
  <c r="D21" i="67"/>
  <c r="D669" i="68"/>
  <c r="D429" i="68"/>
  <c r="D333" i="67"/>
  <c r="D393" i="67"/>
  <c r="D417" i="67"/>
  <c r="D201" i="68"/>
  <c r="D729" i="68"/>
  <c r="D297" i="68"/>
  <c r="D825" i="68"/>
  <c r="D357" i="67"/>
  <c r="D381" i="67"/>
  <c r="D33" i="67"/>
  <c r="D405" i="68"/>
  <c r="D741" i="68"/>
  <c r="D249" i="67"/>
  <c r="E5" i="65"/>
  <c r="E5" i="66"/>
  <c r="A92" i="2"/>
  <c r="D26" i="17"/>
  <c r="A8" i="2"/>
  <c r="A356" i="2"/>
  <c r="E3" i="46" s="1"/>
  <c r="A345" i="2"/>
  <c r="A154" i="2"/>
  <c r="H4" i="6" s="1"/>
  <c r="A371" i="2"/>
  <c r="A364" i="2"/>
  <c r="A414" i="2"/>
  <c r="E4" i="55" s="1"/>
  <c r="A418" i="2"/>
  <c r="B1" i="60" s="1"/>
  <c r="A426" i="2"/>
  <c r="C1" i="65" s="1"/>
  <c r="A442" i="2"/>
  <c r="A434" i="2"/>
  <c r="G5" i="65" s="1"/>
  <c r="R5" i="65" s="1"/>
  <c r="A328" i="2"/>
  <c r="B8" i="23"/>
  <c r="B50" i="23" s="1"/>
  <c r="A469" i="2"/>
  <c r="C4" i="71" s="1"/>
  <c r="A476" i="2"/>
  <c r="G4" i="71" s="1"/>
  <c r="A166" i="2"/>
  <c r="A485" i="2"/>
  <c r="A496" i="2"/>
  <c r="A263" i="2"/>
  <c r="D29" i="39" s="1"/>
  <c r="A295" i="2"/>
  <c r="D61" i="39"/>
  <c r="A246" i="2"/>
  <c r="D12" i="39" s="1"/>
  <c r="A190" i="2"/>
  <c r="D13" i="38" s="1"/>
  <c r="A188" i="2"/>
  <c r="D11" i="38" s="1"/>
  <c r="A241" i="2"/>
  <c r="A220" i="2"/>
  <c r="D43" i="38"/>
  <c r="A195" i="2"/>
  <c r="D18" i="38" s="1"/>
  <c r="A512" i="2"/>
  <c r="A509" i="2"/>
  <c r="C23" i="77" s="1"/>
  <c r="A58" i="2"/>
  <c r="G16" i="13" s="1"/>
  <c r="A51" i="2"/>
  <c r="B1" i="13" s="1"/>
  <c r="A130" i="2"/>
  <c r="I3" i="37" s="1"/>
  <c r="A350" i="2"/>
  <c r="C6" i="1" s="1"/>
  <c r="A344" i="2"/>
  <c r="A372" i="2"/>
  <c r="A389" i="2"/>
  <c r="D5" i="59" s="1"/>
  <c r="A404" i="2"/>
  <c r="B1" i="74" s="1"/>
  <c r="A429" i="2"/>
  <c r="A459" i="2"/>
  <c r="A498" i="2"/>
  <c r="A251" i="2"/>
  <c r="D17" i="39" s="1"/>
  <c r="A283" i="2"/>
  <c r="D49" i="39" s="1"/>
  <c r="A276" i="2"/>
  <c r="D42" i="39"/>
  <c r="A292" i="2"/>
  <c r="D58" i="39"/>
  <c r="A242" i="2"/>
  <c r="A224" i="2"/>
  <c r="D47" i="38" s="1"/>
  <c r="A212" i="2"/>
  <c r="D35" i="38" s="1"/>
  <c r="A208" i="2"/>
  <c r="D31" i="38" s="1"/>
  <c r="A182" i="2"/>
  <c r="B1" i="38" s="1"/>
  <c r="A516" i="2"/>
  <c r="A45" i="2"/>
  <c r="A38" i="2"/>
  <c r="A366" i="2"/>
  <c r="A378" i="2"/>
  <c r="A413" i="2"/>
  <c r="G4" i="55"/>
  <c r="A419" i="2"/>
  <c r="D4" i="60" s="1"/>
  <c r="A438" i="2"/>
  <c r="K5" i="65"/>
  <c r="V5" i="65"/>
  <c r="A433" i="2"/>
  <c r="P5" i="65"/>
  <c r="A334" i="2"/>
  <c r="H8" i="23"/>
  <c r="H22" i="23" s="1"/>
  <c r="H36" i="23" s="1"/>
  <c r="H50" i="23" s="1"/>
  <c r="H64" i="23" s="1"/>
  <c r="H78" i="23" s="1"/>
  <c r="A465" i="2"/>
  <c r="A499" i="2"/>
  <c r="A478" i="2"/>
  <c r="C1" i="76" s="1"/>
  <c r="A480" i="2"/>
  <c r="E3" i="76" s="1"/>
  <c r="A286" i="2"/>
  <c r="D52" i="39" s="1"/>
  <c r="A271" i="2"/>
  <c r="D37" i="39"/>
  <c r="A274" i="2"/>
  <c r="A206" i="2"/>
  <c r="A238" i="2"/>
  <c r="A233" i="2"/>
  <c r="D56" i="38" s="1"/>
  <c r="A196" i="2"/>
  <c r="D19" i="38" s="1"/>
  <c r="A511" i="2"/>
  <c r="E23" i="77" s="1"/>
  <c r="A520" i="2"/>
  <c r="A368" i="2"/>
  <c r="A379" i="2"/>
  <c r="A388" i="2"/>
  <c r="B1" i="59" s="1"/>
  <c r="A403" i="2"/>
  <c r="G4" i="53" s="1"/>
  <c r="A441" i="2"/>
  <c r="I5" i="66" s="1"/>
  <c r="A471" i="2"/>
  <c r="D4" i="71" s="1"/>
  <c r="A456" i="2"/>
  <c r="A494" i="2"/>
  <c r="A490" i="2"/>
  <c r="A492" i="2"/>
  <c r="A301" i="2"/>
  <c r="D67" i="39" s="1"/>
  <c r="A305" i="2"/>
  <c r="D71" i="39"/>
  <c r="A268" i="2"/>
  <c r="D34" i="39" s="1"/>
  <c r="A204" i="2"/>
  <c r="D27" i="38" s="1"/>
  <c r="A240" i="2"/>
  <c r="A200" i="2"/>
  <c r="D23" i="38" s="1"/>
  <c r="A221" i="2"/>
  <c r="D44" i="38"/>
  <c r="A183" i="2"/>
  <c r="P3" i="39" s="1"/>
  <c r="A506" i="2"/>
  <c r="B6" i="77" s="1"/>
  <c r="A527" i="2"/>
  <c r="A44" i="2"/>
  <c r="A173" i="2"/>
  <c r="A32" i="2"/>
  <c r="A362" i="2"/>
  <c r="A400" i="2"/>
  <c r="D2" i="53" s="1"/>
  <c r="D2" i="55"/>
  <c r="A416" i="2"/>
  <c r="F4" i="55"/>
  <c r="A445" i="2"/>
  <c r="K5" i="66"/>
  <c r="A430" i="2"/>
  <c r="A453" i="2"/>
  <c r="A332" i="2"/>
  <c r="F8" i="23" s="1"/>
  <c r="A333" i="2"/>
  <c r="G8" i="23" s="1"/>
  <c r="A468" i="2"/>
  <c r="B15" i="24" s="1"/>
  <c r="A463" i="2"/>
  <c r="A391" i="2"/>
  <c r="D5" i="75" s="1"/>
  <c r="A497" i="2"/>
  <c r="A502" i="2"/>
  <c r="A266" i="2"/>
  <c r="D32" i="39" s="1"/>
  <c r="A296" i="2"/>
  <c r="D62" i="39" s="1"/>
  <c r="A247" i="2"/>
  <c r="D13" i="39" s="1"/>
  <c r="A293" i="2"/>
  <c r="D59" i="39"/>
  <c r="A256" i="2"/>
  <c r="D22" i="39" s="1"/>
  <c r="A214" i="2"/>
  <c r="D37" i="38" s="1"/>
  <c r="A234" i="2"/>
  <c r="D57" i="38" s="1"/>
  <c r="A209" i="2"/>
  <c r="D32" i="38" s="1"/>
  <c r="A508" i="2"/>
  <c r="B23" i="77" s="1"/>
  <c r="A155" i="2"/>
  <c r="A74" i="2"/>
  <c r="D8" i="17" s="1"/>
  <c r="A10" i="2"/>
  <c r="A5" i="2"/>
  <c r="C1" i="69" s="1"/>
  <c r="A355" i="2"/>
  <c r="D3" i="46" s="1"/>
  <c r="A374" i="2"/>
  <c r="A365" i="2"/>
  <c r="A399" i="2"/>
  <c r="B2" i="54" s="1"/>
  <c r="A428" i="2"/>
  <c r="A466" i="2"/>
  <c r="A460" i="2"/>
  <c r="A487" i="2"/>
  <c r="A298" i="2"/>
  <c r="D64" i="39" s="1"/>
  <c r="A284" i="2"/>
  <c r="D50" i="39" s="1"/>
  <c r="A277" i="2"/>
  <c r="D43" i="39" s="1"/>
  <c r="A254" i="2"/>
  <c r="D20" i="39" s="1"/>
  <c r="A202" i="2"/>
  <c r="D25" i="38" s="1"/>
  <c r="A226" i="2"/>
  <c r="D49" i="38" s="1"/>
  <c r="A222" i="2"/>
  <c r="D45" i="38" s="1"/>
  <c r="A197" i="2"/>
  <c r="D20" i="38"/>
  <c r="A228" i="2"/>
  <c r="D51" i="38" s="1"/>
  <c r="A515" i="2"/>
  <c r="A525" i="2"/>
  <c r="A505" i="2"/>
  <c r="B1" i="77" s="1"/>
  <c r="A330" i="2"/>
  <c r="A458" i="2"/>
  <c r="A6" i="2"/>
  <c r="A500" i="2"/>
  <c r="A486" i="2"/>
  <c r="A260" i="2"/>
  <c r="D26" i="39" s="1"/>
  <c r="A306" i="2"/>
  <c r="D72" i="39" s="1"/>
  <c r="A257" i="2"/>
  <c r="D23" i="39" s="1"/>
  <c r="A230" i="2"/>
  <c r="D53" i="38"/>
  <c r="A235" i="2"/>
  <c r="S3" i="39" s="1"/>
  <c r="S3" i="38"/>
  <c r="A198" i="2"/>
  <c r="D21" i="38" s="1"/>
  <c r="A193" i="2"/>
  <c r="D16" i="38"/>
  <c r="A236" i="2"/>
  <c r="A477" i="2"/>
  <c r="A363" i="2"/>
  <c r="A396" i="2"/>
  <c r="G4" i="52" s="1"/>
  <c r="A412" i="2"/>
  <c r="D4" i="55" s="1"/>
  <c r="A417" i="2"/>
  <c r="A422" i="2"/>
  <c r="A452" i="2"/>
  <c r="C1" i="66" s="1"/>
  <c r="A454" i="2"/>
  <c r="B1" i="71" s="1"/>
  <c r="A489" i="2"/>
  <c r="A479" i="2"/>
  <c r="C3" i="76" s="1"/>
  <c r="A311" i="2"/>
  <c r="D77" i="39"/>
  <c r="A285" i="2"/>
  <c r="D51" i="39"/>
  <c r="A248" i="2"/>
  <c r="D14" i="39" s="1"/>
  <c r="A245" i="2"/>
  <c r="D11" i="39"/>
  <c r="A291" i="2"/>
  <c r="D57" i="39" s="1"/>
  <c r="A217" i="2"/>
  <c r="D40" i="38" s="1"/>
  <c r="A223" i="2"/>
  <c r="A185" i="2"/>
  <c r="L3" i="39" s="1"/>
  <c r="A203" i="2"/>
  <c r="D26" i="38" s="1"/>
  <c r="A243" i="2"/>
  <c r="A507" i="2"/>
  <c r="C6" i="77"/>
  <c r="A329" i="2"/>
  <c r="C8" i="23" s="1"/>
  <c r="A470" i="2"/>
  <c r="F4" i="71" s="1"/>
  <c r="A473" i="2"/>
  <c r="H4" i="71"/>
  <c r="A461" i="2"/>
  <c r="A359" i="2"/>
  <c r="B5" i="46" s="1"/>
  <c r="A406" i="2"/>
  <c r="C4" i="54" s="1"/>
  <c r="A501" i="2"/>
  <c r="A491" i="2"/>
  <c r="A273" i="2"/>
  <c r="D39" i="39" s="1"/>
  <c r="A265" i="2"/>
  <c r="A282" i="2"/>
  <c r="A253" i="2"/>
  <c r="D19" i="39" s="1"/>
  <c r="A191" i="2"/>
  <c r="D14" i="38" s="1"/>
  <c r="A211" i="2"/>
  <c r="D34" i="38"/>
  <c r="A218" i="2"/>
  <c r="A231" i="2"/>
  <c r="D54" i="38"/>
  <c r="A518" i="2"/>
  <c r="A93" i="2"/>
  <c r="D27" i="17"/>
  <c r="A142" i="2"/>
  <c r="G24" i="18" s="1"/>
  <c r="A82" i="2"/>
  <c r="D16" i="17"/>
  <c r="A357" i="2"/>
  <c r="I3" i="46"/>
  <c r="A354" i="2"/>
  <c r="C3" i="46" s="1"/>
  <c r="A380" i="2"/>
  <c r="A394" i="2"/>
  <c r="C4" i="52" s="1"/>
  <c r="A411" i="2"/>
  <c r="C4" i="55"/>
  <c r="A424" i="2"/>
  <c r="A449" i="2"/>
  <c r="D467" i="67" s="1"/>
  <c r="A432" i="2"/>
  <c r="N5" i="65"/>
  <c r="A464" i="2"/>
  <c r="A52" i="2"/>
  <c r="C5" i="13" s="1"/>
  <c r="A493" i="2"/>
  <c r="A503" i="2"/>
  <c r="A287" i="2"/>
  <c r="D53" i="39" s="1"/>
  <c r="A261" i="2"/>
  <c r="A264" i="2"/>
  <c r="D30" i="39" s="1"/>
  <c r="A270" i="2"/>
  <c r="D36" i="39" s="1"/>
  <c r="A252" i="2"/>
  <c r="A213" i="2"/>
  <c r="D36" i="38"/>
  <c r="A199" i="2"/>
  <c r="D22" i="38"/>
  <c r="A244" i="2"/>
  <c r="B1" i="39"/>
  <c r="A219" i="2"/>
  <c r="D42" i="38" s="1"/>
  <c r="A521" i="2"/>
  <c r="A94" i="2"/>
  <c r="D28" i="17" s="1"/>
  <c r="A34" i="2"/>
  <c r="A348" i="2"/>
  <c r="B1" i="1" s="1"/>
  <c r="A369" i="2"/>
  <c r="A370" i="2"/>
  <c r="A393" i="2"/>
  <c r="E4" i="53" s="1"/>
  <c r="A386" i="2"/>
  <c r="B1" i="50" s="1"/>
  <c r="A451" i="2"/>
  <c r="C1" i="67" s="1"/>
  <c r="A462" i="2"/>
  <c r="A408" i="2"/>
  <c r="D4" i="54" s="1"/>
  <c r="A495" i="2"/>
  <c r="A275" i="2"/>
  <c r="D41" i="39" s="1"/>
  <c r="A249" i="2"/>
  <c r="D15" i="39" s="1"/>
  <c r="A307" i="2"/>
  <c r="D73" i="39" s="1"/>
  <c r="A255" i="2"/>
  <c r="D21" i="39" s="1"/>
  <c r="A201" i="2"/>
  <c r="A186" i="2"/>
  <c r="J3" i="38" s="1"/>
  <c r="A227" i="2"/>
  <c r="A232" i="2"/>
  <c r="A207" i="2"/>
  <c r="D30" i="38" s="1"/>
  <c r="D935" i="68"/>
  <c r="D803" i="68"/>
  <c r="D635" i="68"/>
  <c r="D287" i="68"/>
  <c r="D155" i="68"/>
  <c r="D851" i="68"/>
  <c r="D287" i="67"/>
  <c r="D347" i="68"/>
  <c r="D107" i="68"/>
  <c r="D335" i="68"/>
  <c r="D215" i="68"/>
  <c r="J3" i="39"/>
  <c r="D64" i="23"/>
  <c r="F4" i="34"/>
  <c r="D36" i="23"/>
  <c r="D839" i="68"/>
  <c r="D71" i="68"/>
  <c r="D143" i="67"/>
  <c r="D731" i="68"/>
  <c r="D443" i="67"/>
  <c r="D395" i="67"/>
  <c r="D59" i="68"/>
  <c r="D407" i="68"/>
  <c r="D119" i="67"/>
  <c r="D275" i="68"/>
  <c r="D167" i="67"/>
  <c r="D299" i="68"/>
  <c r="D527" i="68"/>
  <c r="D719" i="68"/>
  <c r="D419" i="67"/>
  <c r="D587" i="68"/>
  <c r="D455" i="68"/>
  <c r="D515" i="68"/>
  <c r="D227" i="67"/>
  <c r="D383" i="68"/>
  <c r="D23" i="67"/>
  <c r="D59" i="67"/>
  <c r="D131" i="67"/>
  <c r="D275" i="67"/>
  <c r="D83" i="68"/>
  <c r="D923" i="68"/>
  <c r="D95" i="68"/>
  <c r="D827" i="68"/>
  <c r="D743" i="68"/>
  <c r="C43" i="13"/>
  <c r="C7" i="13"/>
  <c r="D695" i="68"/>
  <c r="D767" i="68"/>
  <c r="D479" i="68"/>
  <c r="D623" i="68"/>
  <c r="D395" i="68"/>
  <c r="D83" i="67"/>
  <c r="D203" i="67"/>
  <c r="D311" i="68"/>
  <c r="B4" i="71"/>
  <c r="D371" i="67"/>
  <c r="D407" i="67"/>
  <c r="D479" i="67"/>
  <c r="D107" i="67"/>
  <c r="D119" i="68"/>
  <c r="D599" i="68"/>
  <c r="D47" i="67"/>
  <c r="D155" i="67"/>
  <c r="D443" i="68"/>
  <c r="D191" i="67"/>
  <c r="C64" i="23" l="1"/>
  <c r="C36" i="23"/>
  <c r="C78" i="23"/>
  <c r="C8" i="13"/>
  <c r="A33" i="2"/>
  <c r="A431" i="2"/>
  <c r="A161" i="2"/>
  <c r="C4" i="19" s="1"/>
  <c r="A78" i="2"/>
  <c r="D12" i="17" s="1"/>
  <c r="A17" i="2"/>
  <c r="A126" i="2"/>
  <c r="B1" i="37" s="1"/>
  <c r="A337" i="2"/>
  <c r="A36" i="2"/>
  <c r="A68" i="2"/>
  <c r="F3" i="17" s="1"/>
  <c r="A358" i="2"/>
  <c r="F5" i="46" s="1"/>
  <c r="F7" i="46" s="1"/>
  <c r="A436" i="2"/>
  <c r="I5" i="65" s="1"/>
  <c r="T5" i="65" s="1"/>
  <c r="B78" i="23"/>
  <c r="D11" i="67"/>
  <c r="D71" i="67"/>
  <c r="A267" i="2"/>
  <c r="D33" i="39" s="1"/>
  <c r="A385" i="2"/>
  <c r="D5" i="45" s="1"/>
  <c r="A299" i="2"/>
  <c r="D65" i="39" s="1"/>
  <c r="A294" i="2"/>
  <c r="D60" i="39" s="1"/>
  <c r="A510" i="2"/>
  <c r="E6" i="77" s="1"/>
  <c r="A522" i="2"/>
  <c r="D27" i="13" s="1"/>
  <c r="D83" i="13" s="1"/>
  <c r="A152" i="2"/>
  <c r="B4" i="6" s="1"/>
  <c r="A504" i="2"/>
  <c r="A156" i="2"/>
  <c r="A450" i="2"/>
  <c r="E539" i="68" s="1"/>
  <c r="A360" i="2"/>
  <c r="B13" i="46" s="1"/>
  <c r="A216" i="2"/>
  <c r="D39" i="38" s="1"/>
  <c r="A124" i="2"/>
  <c r="A409" i="2"/>
  <c r="G4" i="54" s="1"/>
  <c r="A59" i="2"/>
  <c r="H16" i="13" s="1"/>
  <c r="D237" i="68"/>
  <c r="D477" i="67"/>
  <c r="D345" i="67"/>
  <c r="A475" i="2"/>
  <c r="J4" i="71" s="1"/>
  <c r="D453" i="68"/>
  <c r="A66" i="2"/>
  <c r="A317" i="2"/>
  <c r="A114" i="2"/>
  <c r="A111" i="2"/>
  <c r="A24" i="2"/>
  <c r="A21" i="2"/>
  <c r="A164" i="2"/>
  <c r="H4" i="19" s="1"/>
  <c r="A439" i="2"/>
  <c r="B36" i="23"/>
  <c r="D69" i="68"/>
  <c r="D33" i="68"/>
  <c r="D381" i="68"/>
  <c r="D693" i="68"/>
  <c r="A269" i="2"/>
  <c r="D35" i="39" s="1"/>
  <c r="D837" i="68"/>
  <c r="A67" i="2"/>
  <c r="A139" i="2"/>
  <c r="C5" i="18" s="1"/>
  <c r="A321" i="2"/>
  <c r="B7" i="23" s="1"/>
  <c r="A143" i="2"/>
  <c r="B1" i="6" s="1"/>
  <c r="A25" i="2"/>
  <c r="A151" i="2"/>
  <c r="G4" i="6" s="1"/>
  <c r="A63" i="2"/>
  <c r="C71" i="13" s="1"/>
  <c r="A384" i="2"/>
  <c r="B1" i="45" s="1"/>
  <c r="H4" i="52"/>
  <c r="A137" i="2"/>
  <c r="A13" i="2"/>
  <c r="A121" i="2"/>
  <c r="D4" i="34" s="1"/>
  <c r="A20" i="2"/>
  <c r="A367" i="2"/>
  <c r="D791" i="68"/>
  <c r="D383" i="67"/>
  <c r="D191" i="68"/>
  <c r="D525" i="68"/>
  <c r="D897" i="68"/>
  <c r="D237" i="67"/>
  <c r="D597" i="68"/>
  <c r="A189" i="2"/>
  <c r="D12" i="38" s="1"/>
  <c r="A272" i="2"/>
  <c r="D38" i="39" s="1"/>
  <c r="A43" i="2"/>
  <c r="A101" i="2"/>
  <c r="D35" i="17" s="1"/>
  <c r="A340" i="2"/>
  <c r="E16" i="24" s="1"/>
  <c r="O16" i="24" s="1"/>
  <c r="A125" i="2"/>
  <c r="G4" i="60" s="1"/>
  <c r="A133" i="2"/>
  <c r="B1" i="18" s="1"/>
  <c r="A109" i="2"/>
  <c r="A28" i="2"/>
  <c r="A361" i="2"/>
  <c r="D647" i="68"/>
  <c r="D611" i="68"/>
  <c r="D959" i="68"/>
  <c r="A86" i="2"/>
  <c r="D20" i="17" s="1"/>
  <c r="A407" i="2"/>
  <c r="E4" i="54" s="1"/>
  <c r="A523" i="2"/>
  <c r="A405" i="2"/>
  <c r="B1" i="54" s="1"/>
  <c r="A303" i="2"/>
  <c r="A281" i="2"/>
  <c r="D47" i="39" s="1"/>
  <c r="A194" i="2"/>
  <c r="D17" i="38" s="1"/>
  <c r="A437" i="2"/>
  <c r="J5" i="65" s="1"/>
  <c r="U5" i="65" s="1"/>
  <c r="A443" i="2"/>
  <c r="L5" i="66" s="1"/>
  <c r="A288" i="2"/>
  <c r="D54" i="39" s="1"/>
  <c r="A237" i="2"/>
  <c r="A446" i="2"/>
  <c r="C1" i="68" s="1"/>
  <c r="D189" i="68"/>
  <c r="D369" i="68"/>
  <c r="D213" i="67"/>
  <c r="D933" i="68"/>
  <c r="D513" i="68"/>
  <c r="A457" i="2"/>
  <c r="A31" i="2"/>
  <c r="A65" i="2"/>
  <c r="B1" i="17" s="1"/>
  <c r="A113" i="2"/>
  <c r="A107" i="2"/>
  <c r="B32" i="17" s="1"/>
  <c r="A95" i="2"/>
  <c r="D29" i="17" s="1"/>
  <c r="A149" i="2"/>
  <c r="F4" i="6" s="1"/>
  <c r="A375" i="2"/>
  <c r="C15" i="13"/>
  <c r="D273" i="67"/>
  <c r="D801" i="68"/>
  <c r="D153" i="67"/>
  <c r="D405" i="67"/>
  <c r="D141" i="67"/>
  <c r="A49" i="2"/>
  <c r="A19" i="2"/>
  <c r="A54" i="2"/>
  <c r="C16" i="13" s="1"/>
  <c r="C86" i="13" s="1"/>
  <c r="A323" i="2"/>
  <c r="B35" i="23" s="1"/>
  <c r="A99" i="2"/>
  <c r="D33" i="17" s="1"/>
  <c r="A60" i="2"/>
  <c r="A14" i="2"/>
  <c r="A377" i="2"/>
  <c r="E4" i="52"/>
  <c r="A526" i="2"/>
  <c r="A455" i="2"/>
  <c r="A517" i="2"/>
  <c r="A302" i="2"/>
  <c r="D68" i="39" s="1"/>
  <c r="A259" i="2"/>
  <c r="D25" i="39" s="1"/>
  <c r="A229" i="2"/>
  <c r="D52" i="38" s="1"/>
  <c r="A401" i="2"/>
  <c r="B1" i="53" s="1"/>
  <c r="A484" i="2"/>
  <c r="A351" i="2"/>
  <c r="D297" i="67"/>
  <c r="D93" i="67"/>
  <c r="D153" i="68"/>
  <c r="D609" i="68"/>
  <c r="A309" i="2"/>
  <c r="D75" i="39" s="1"/>
  <c r="A519" i="2"/>
  <c r="A178" i="2"/>
  <c r="E25" i="31" s="1"/>
  <c r="A326" i="2"/>
  <c r="B77" i="23" s="1"/>
  <c r="A64" i="2"/>
  <c r="A11" i="2"/>
  <c r="A57" i="2"/>
  <c r="F16" i="13" s="1"/>
  <c r="F44" i="13" s="1"/>
  <c r="A387" i="2"/>
  <c r="D5" i="50" s="1"/>
  <c r="D659" i="68"/>
  <c r="D179" i="67"/>
  <c r="D899" i="68"/>
  <c r="A262" i="2"/>
  <c r="D28" i="39" s="1"/>
  <c r="A427" i="2"/>
  <c r="A297" i="2"/>
  <c r="A239" i="2"/>
  <c r="A88" i="2"/>
  <c r="D22" i="17" s="1"/>
  <c r="D551" i="68"/>
  <c r="D35" i="68"/>
  <c r="D707" i="68"/>
  <c r="A258" i="2"/>
  <c r="D24" i="39" s="1"/>
  <c r="A467" i="2"/>
  <c r="A225" i="2"/>
  <c r="D48" i="38" s="1"/>
  <c r="A513" i="2"/>
  <c r="C3" i="77" s="1"/>
  <c r="A448" i="2"/>
  <c r="D763" i="68" s="1"/>
  <c r="A300" i="2"/>
  <c r="D66" i="39" s="1"/>
  <c r="A481" i="2"/>
  <c r="G3" i="76" s="1"/>
  <c r="A421" i="2"/>
  <c r="C4" i="60" s="1"/>
  <c r="A308" i="2"/>
  <c r="D74" i="39" s="1"/>
  <c r="A280" i="2"/>
  <c r="D46" i="39" s="1"/>
  <c r="A392" i="2"/>
  <c r="B1" i="52" s="1"/>
  <c r="A474" i="2"/>
  <c r="I4" i="71" s="1"/>
  <c r="A304" i="2"/>
  <c r="D70" i="39" s="1"/>
  <c r="A381" i="2"/>
  <c r="D393" i="68"/>
  <c r="D69" i="67"/>
  <c r="D585" i="68"/>
  <c r="D81" i="67"/>
  <c r="D81" i="68"/>
  <c r="A171" i="2"/>
  <c r="A40" i="2"/>
  <c r="A383" i="2"/>
  <c r="D5" i="41" s="1"/>
  <c r="A39" i="2"/>
  <c r="A346" i="2"/>
  <c r="B1" i="78" s="1"/>
  <c r="A106" i="2"/>
  <c r="B26" i="17" s="1"/>
  <c r="A136" i="2"/>
  <c r="A395" i="2"/>
  <c r="B4" i="34"/>
  <c r="A179" i="2"/>
  <c r="B25" i="31" s="1"/>
  <c r="F4" i="54"/>
  <c r="A181" i="2"/>
  <c r="F25" i="31" s="1"/>
  <c r="D717" i="68"/>
  <c r="D2" i="54"/>
  <c r="D911" i="68"/>
  <c r="D299" i="67"/>
  <c r="D143" i="68"/>
  <c r="A482" i="2"/>
  <c r="A205" i="2"/>
  <c r="D28" i="38" s="1"/>
  <c r="A180" i="2"/>
  <c r="G25" i="31" s="1"/>
  <c r="A279" i="2"/>
  <c r="D45" i="39" s="1"/>
  <c r="A397" i="2"/>
  <c r="H4" i="54" s="1"/>
  <c r="A472" i="2"/>
  <c r="E4" i="71" s="1"/>
  <c r="A415" i="2"/>
  <c r="A373" i="2"/>
  <c r="A335" i="2"/>
  <c r="I8" i="23" s="1"/>
  <c r="A290" i="2"/>
  <c r="A16" i="2"/>
  <c r="A376" i="2"/>
  <c r="A278" i="2"/>
  <c r="D44" i="39" s="1"/>
  <c r="D633" i="68"/>
  <c r="D9" i="68"/>
  <c r="D753" i="68"/>
  <c r="A390" i="2"/>
  <c r="B1" i="75" s="1"/>
  <c r="D885" i="68"/>
  <c r="A115" i="2"/>
  <c r="A165" i="2"/>
  <c r="G7" i="19" s="1"/>
  <c r="A122" i="2"/>
  <c r="A22" i="2"/>
  <c r="A131" i="2"/>
  <c r="E3" i="37" s="1"/>
  <c r="A420" i="2"/>
  <c r="E4" i="60" s="1"/>
  <c r="F33" i="46"/>
  <c r="F17" i="46"/>
  <c r="F21" i="46"/>
  <c r="F13" i="46"/>
  <c r="F15" i="46"/>
  <c r="F9" i="46"/>
  <c r="F25" i="46"/>
  <c r="D41" i="13"/>
  <c r="D69" i="13"/>
  <c r="D97" i="13"/>
  <c r="D55" i="13"/>
  <c r="D86" i="13"/>
  <c r="D72" i="13"/>
  <c r="D44" i="13"/>
  <c r="D58" i="13"/>
  <c r="D30" i="13"/>
  <c r="E22" i="23"/>
  <c r="E64" i="23"/>
  <c r="E30" i="13"/>
  <c r="E58" i="13"/>
  <c r="E44" i="13"/>
  <c r="E86" i="13"/>
  <c r="E72" i="13"/>
  <c r="C58" i="13"/>
  <c r="U6" i="39"/>
  <c r="U6" i="38"/>
  <c r="K16" i="24"/>
  <c r="D263" i="67"/>
  <c r="D491" i="68"/>
  <c r="E11" i="67"/>
  <c r="E923" i="68"/>
  <c r="D359" i="67"/>
  <c r="D467" i="68"/>
  <c r="D2" i="52"/>
  <c r="E599" i="68"/>
  <c r="B2" i="53"/>
  <c r="D359" i="68"/>
  <c r="D779" i="68"/>
  <c r="D323" i="68"/>
  <c r="F86" i="13"/>
  <c r="D203" i="68"/>
  <c r="D431" i="68"/>
  <c r="D957" i="68"/>
  <c r="D861" i="68"/>
  <c r="D873" i="68"/>
  <c r="D309" i="67"/>
  <c r="D93" i="68"/>
  <c r="A141" i="2"/>
  <c r="C24" i="18" s="1"/>
  <c r="A327" i="2"/>
  <c r="A158" i="2"/>
  <c r="E4" i="19" s="1"/>
  <c r="A110" i="2"/>
  <c r="A70" i="2"/>
  <c r="D5" i="17" s="1"/>
  <c r="A150" i="2"/>
  <c r="A423" i="2"/>
  <c r="G16" i="24"/>
  <c r="E635" i="68"/>
  <c r="D371" i="68"/>
  <c r="E155" i="67"/>
  <c r="D251" i="67"/>
  <c r="E827" i="68"/>
  <c r="D47" i="68"/>
  <c r="E323" i="67"/>
  <c r="F5" i="66"/>
  <c r="F30" i="13"/>
  <c r="D95" i="67"/>
  <c r="D263" i="68"/>
  <c r="E167" i="67"/>
  <c r="E311" i="67"/>
  <c r="E731" i="68"/>
  <c r="D227" i="68"/>
  <c r="D79" i="68"/>
  <c r="D815" i="68"/>
  <c r="D23" i="68"/>
  <c r="E887" i="68"/>
  <c r="D621" i="68"/>
  <c r="D333" i="68"/>
  <c r="D345" i="68"/>
  <c r="D285" i="67"/>
  <c r="A250" i="2"/>
  <c r="D16" i="39" s="1"/>
  <c r="D189" i="67"/>
  <c r="A129" i="2"/>
  <c r="D3" i="37" s="1"/>
  <c r="A102" i="2"/>
  <c r="B6" i="17" s="1"/>
  <c r="A314" i="2"/>
  <c r="A324" i="2"/>
  <c r="B49" i="23" s="1"/>
  <c r="A53" i="2"/>
  <c r="A135" i="2"/>
  <c r="A26" i="2"/>
  <c r="A353" i="2"/>
  <c r="B3" i="46" s="1"/>
  <c r="A425" i="2"/>
  <c r="E215" i="67"/>
  <c r="E335" i="68"/>
  <c r="D391" i="68"/>
  <c r="D239" i="67"/>
  <c r="D671" i="68"/>
  <c r="E659" i="68"/>
  <c r="D335" i="67"/>
  <c r="D431" i="67"/>
  <c r="D323" i="67"/>
  <c r="D179" i="68"/>
  <c r="E719" i="68"/>
  <c r="E395" i="67"/>
  <c r="B2" i="52"/>
  <c r="D167" i="68"/>
  <c r="L3" i="38"/>
  <c r="D285" i="68"/>
  <c r="D765" i="68"/>
  <c r="D777" i="68"/>
  <c r="D225" i="67"/>
  <c r="A514" i="2"/>
  <c r="D21" i="68"/>
  <c r="A325" i="2"/>
  <c r="B63" i="23" s="1"/>
  <c r="A123" i="2"/>
  <c r="A96" i="2"/>
  <c r="D30" i="17" s="1"/>
  <c r="A108" i="2"/>
  <c r="B1" i="34" s="1"/>
  <c r="A349" i="2"/>
  <c r="B2" i="55"/>
  <c r="M16" i="24"/>
  <c r="D503" i="68"/>
  <c r="D11" i="68"/>
  <c r="E479" i="67"/>
  <c r="F72" i="13"/>
  <c r="D539" i="68"/>
  <c r="D215" i="67"/>
  <c r="C9" i="13"/>
  <c r="D683" i="68"/>
  <c r="D751" i="68"/>
  <c r="D239" i="68"/>
  <c r="E383" i="68"/>
  <c r="E419" i="68"/>
  <c r="E863" i="68"/>
  <c r="D131" i="68"/>
  <c r="P3" i="38"/>
  <c r="D947" i="68"/>
  <c r="E587" i="68"/>
  <c r="E251" i="68"/>
  <c r="E11" i="68"/>
  <c r="D863" i="68"/>
  <c r="A163" i="2"/>
  <c r="F4" i="19" s="1"/>
  <c r="A46" i="2"/>
  <c r="A352" i="2"/>
  <c r="B1" i="46" s="1"/>
  <c r="A435" i="2"/>
  <c r="H5" i="65" s="1"/>
  <c r="S5" i="65" s="1"/>
  <c r="D875" i="68"/>
  <c r="D419" i="68"/>
  <c r="D755" i="68"/>
  <c r="E35" i="68"/>
  <c r="E263" i="67"/>
  <c r="E671" i="68"/>
  <c r="D35" i="67"/>
  <c r="D887" i="68"/>
  <c r="E575" i="68"/>
  <c r="E503" i="68"/>
  <c r="E371" i="67"/>
  <c r="D563" i="68"/>
  <c r="N3" i="39"/>
  <c r="E455" i="67"/>
  <c r="E203" i="67"/>
  <c r="E191" i="68"/>
  <c r="D311" i="67"/>
  <c r="D455" i="67"/>
  <c r="E743" i="68"/>
  <c r="E107" i="68"/>
  <c r="D347" i="67"/>
  <c r="D575" i="68"/>
  <c r="D251" i="68"/>
  <c r="E695" i="68"/>
  <c r="E815" i="68"/>
  <c r="G64" i="23"/>
  <c r="G50" i="23"/>
  <c r="G22" i="23"/>
  <c r="G78" i="23"/>
  <c r="G36" i="23"/>
  <c r="F50" i="23"/>
  <c r="F36" i="23"/>
  <c r="F78" i="23"/>
  <c r="F22" i="23"/>
  <c r="F64" i="23"/>
  <c r="G58" i="13"/>
  <c r="G30" i="13"/>
  <c r="G72" i="13"/>
  <c r="G86" i="13"/>
  <c r="G44" i="13"/>
  <c r="H30" i="13"/>
  <c r="H44" i="13"/>
  <c r="I16" i="13"/>
  <c r="H72" i="13"/>
  <c r="H86" i="13"/>
  <c r="H58" i="13"/>
  <c r="I78" i="23"/>
  <c r="I36" i="23"/>
  <c r="I64" i="23"/>
  <c r="I50" i="23"/>
  <c r="I22" i="23"/>
  <c r="F8" i="1"/>
  <c r="E19" i="1"/>
  <c r="L25" i="24"/>
  <c r="B45" i="52"/>
  <c r="C40" i="52"/>
  <c r="B29" i="53"/>
  <c r="E36" i="23"/>
  <c r="E78" i="23"/>
  <c r="E50" i="23"/>
  <c r="D535" i="68"/>
  <c r="B64" i="23"/>
  <c r="E11" i="1"/>
  <c r="E20" i="1"/>
  <c r="F16" i="24"/>
  <c r="B42" i="52"/>
  <c r="C37" i="52"/>
  <c r="B36" i="53"/>
  <c r="C40" i="54"/>
  <c r="B39" i="52"/>
  <c r="B36" i="52"/>
  <c r="C31" i="52"/>
  <c r="C41" i="53"/>
  <c r="B46" i="54"/>
  <c r="D631" i="68"/>
  <c r="D223" i="68"/>
  <c r="E12" i="1"/>
  <c r="F20" i="1"/>
  <c r="B43" i="52"/>
  <c r="B40" i="54"/>
  <c r="F12" i="1"/>
  <c r="I16" i="24"/>
  <c r="C50" i="23"/>
  <c r="H3" i="38"/>
  <c r="C22" i="23"/>
  <c r="D427" i="68"/>
  <c r="C44" i="13"/>
  <c r="D247" i="67"/>
  <c r="D955" i="68"/>
  <c r="I4" i="53"/>
  <c r="I4" i="19"/>
  <c r="F7" i="1"/>
  <c r="F22" i="1"/>
  <c r="B30" i="52"/>
  <c r="B37" i="52"/>
  <c r="C39" i="53"/>
  <c r="B34" i="54"/>
  <c r="D343" i="68"/>
  <c r="B22" i="23"/>
  <c r="E9" i="1"/>
  <c r="F23" i="1"/>
  <c r="C29" i="52"/>
  <c r="C31" i="53"/>
  <c r="B45" i="53"/>
  <c r="C39" i="54"/>
  <c r="C31" i="55"/>
  <c r="F10" i="1"/>
  <c r="F58" i="13"/>
  <c r="C84" i="39"/>
  <c r="C47" i="52"/>
  <c r="B40" i="52"/>
  <c r="C42" i="54"/>
  <c r="C33" i="54"/>
  <c r="E8" i="1"/>
  <c r="F9" i="1"/>
  <c r="E25" i="1"/>
  <c r="C38" i="52"/>
  <c r="B35" i="53"/>
  <c r="B31" i="54"/>
  <c r="B33" i="54"/>
  <c r="D811" i="68"/>
  <c r="D463" i="67"/>
  <c r="E13" i="1"/>
  <c r="F26" i="1"/>
  <c r="C62" i="38"/>
  <c r="C35" i="52"/>
  <c r="B29" i="55"/>
  <c r="E14" i="1"/>
  <c r="E26" i="1"/>
  <c r="D5" i="24"/>
  <c r="C32" i="52"/>
  <c r="C46" i="53"/>
  <c r="B42" i="54"/>
  <c r="C38" i="54"/>
  <c r="B47" i="52"/>
  <c r="C42" i="53"/>
  <c r="B36" i="54"/>
  <c r="C32" i="54"/>
  <c r="C48" i="53"/>
  <c r="D163" i="67"/>
  <c r="D307" i="68"/>
  <c r="D439" i="67"/>
  <c r="F15" i="1"/>
  <c r="B44" i="52"/>
  <c r="B30" i="54"/>
  <c r="B44" i="54"/>
  <c r="B31" i="55"/>
  <c r="E15" i="1"/>
  <c r="C47" i="54"/>
  <c r="B38" i="54"/>
  <c r="F16" i="1"/>
  <c r="B38" i="52"/>
  <c r="C30" i="53"/>
  <c r="C41" i="54"/>
  <c r="B32" i="54"/>
  <c r="D127" i="68"/>
  <c r="B35" i="52"/>
  <c r="C44" i="53"/>
  <c r="B37" i="53"/>
  <c r="C35" i="54"/>
  <c r="B43" i="54"/>
  <c r="F29" i="46"/>
  <c r="F17" i="1"/>
  <c r="C42" i="52"/>
  <c r="B32" i="52"/>
  <c r="C40" i="53"/>
  <c r="B46" i="53"/>
  <c r="C29" i="54"/>
  <c r="C43" i="54"/>
  <c r="F18" i="1"/>
  <c r="C39" i="52"/>
  <c r="B29" i="52"/>
  <c r="C36" i="53"/>
  <c r="B42" i="53"/>
  <c r="B47" i="54"/>
  <c r="C37" i="54"/>
  <c r="C30" i="55"/>
  <c r="E18" i="1"/>
  <c r="C36" i="52"/>
  <c r="C43" i="52"/>
  <c r="C32" i="53"/>
  <c r="B38" i="53"/>
  <c r="B41" i="54"/>
  <c r="C31" i="54"/>
  <c r="B31" i="52"/>
  <c r="B48" i="53"/>
  <c r="B34" i="53"/>
  <c r="B35" i="54"/>
  <c r="B37" i="54"/>
  <c r="E7" i="1"/>
  <c r="B44" i="53"/>
  <c r="B29" i="54"/>
  <c r="G4" i="34" l="1"/>
  <c r="H4" i="60"/>
  <c r="D331" i="68"/>
  <c r="D895" i="68"/>
  <c r="D331" i="67"/>
  <c r="D871" i="68"/>
  <c r="C5" i="66"/>
  <c r="C5" i="65"/>
  <c r="D667" i="68"/>
  <c r="D283" i="67"/>
  <c r="D583" i="68"/>
  <c r="D451" i="67"/>
  <c r="F4" i="53"/>
  <c r="F4" i="52"/>
  <c r="D4" i="53"/>
  <c r="D6" i="1"/>
  <c r="D4" i="52"/>
  <c r="D415" i="67"/>
  <c r="D559" i="68"/>
  <c r="D451" i="68"/>
  <c r="D475" i="68"/>
  <c r="D235" i="68"/>
  <c r="D91" i="68"/>
  <c r="D799" i="68"/>
  <c r="D427" i="67"/>
  <c r="D175" i="67"/>
  <c r="D403" i="68"/>
  <c r="D19" i="68"/>
  <c r="D103" i="67"/>
  <c r="D283" i="68"/>
  <c r="D259" i="67"/>
  <c r="D163" i="68"/>
  <c r="D523" i="68"/>
  <c r="D19" i="67"/>
  <c r="D199" i="68"/>
  <c r="D31" i="68"/>
  <c r="D43" i="67"/>
  <c r="D403" i="67"/>
  <c r="D619" i="68"/>
  <c r="D79" i="67"/>
  <c r="D859" i="68"/>
  <c r="D475" i="67"/>
  <c r="D943" i="68"/>
  <c r="D775" i="68"/>
  <c r="D319" i="68"/>
  <c r="D703" i="68"/>
  <c r="D199" i="67"/>
  <c r="D295" i="68"/>
  <c r="D739" i="68"/>
  <c r="D67" i="68"/>
  <c r="D439" i="68"/>
  <c r="D907" i="68"/>
  <c r="D847" i="68"/>
  <c r="D103" i="68"/>
  <c r="D679" i="68"/>
  <c r="D139" i="68"/>
  <c r="D223" i="67"/>
  <c r="D379" i="68"/>
  <c r="D367" i="67"/>
  <c r="D175" i="68"/>
  <c r="D691" i="68"/>
  <c r="D355" i="67"/>
  <c r="D127" i="67"/>
  <c r="I4" i="52"/>
  <c r="D235" i="67"/>
  <c r="D211" i="67"/>
  <c r="D499" i="68"/>
  <c r="D835" i="68"/>
  <c r="D823" i="68"/>
  <c r="D55" i="68"/>
  <c r="E95" i="67"/>
  <c r="D151" i="67"/>
  <c r="C30" i="13"/>
  <c r="F27" i="46"/>
  <c r="D247" i="68"/>
  <c r="D7" i="68"/>
  <c r="D31" i="67"/>
  <c r="E443" i="68"/>
  <c r="C72" i="13"/>
  <c r="F31" i="46"/>
  <c r="D7" i="67"/>
  <c r="D187" i="68"/>
  <c r="D271" i="68"/>
  <c r="E755" i="68"/>
  <c r="E107" i="67"/>
  <c r="E767" i="68"/>
  <c r="F35" i="46"/>
  <c r="D271" i="67"/>
  <c r="D727" i="68"/>
  <c r="D931" i="68"/>
  <c r="D307" i="67"/>
  <c r="E239" i="68"/>
  <c r="E611" i="68"/>
  <c r="D883" i="68"/>
  <c r="D787" i="68"/>
  <c r="D43" i="68"/>
  <c r="D91" i="67"/>
  <c r="F23" i="46"/>
  <c r="D259" i="68"/>
  <c r="D463" i="68"/>
  <c r="E551" i="68"/>
  <c r="E935" i="68"/>
  <c r="E203" i="68"/>
  <c r="F11" i="46"/>
  <c r="D547" i="68"/>
  <c r="D115" i="67"/>
  <c r="D415" i="68"/>
  <c r="D487" i="68"/>
  <c r="D367" i="68"/>
  <c r="D379" i="67"/>
  <c r="E563" i="68"/>
  <c r="F19" i="46"/>
  <c r="J4" i="60"/>
  <c r="I4" i="34"/>
  <c r="D295" i="67"/>
  <c r="D391" i="67"/>
  <c r="B5" i="65"/>
  <c r="B5" i="66"/>
  <c r="D67" i="67"/>
  <c r="D595" i="68"/>
  <c r="D571" i="68"/>
  <c r="D655" i="68"/>
  <c r="D151" i="68"/>
  <c r="C29" i="13"/>
  <c r="C6" i="13"/>
  <c r="E83" i="67"/>
  <c r="E71" i="68"/>
  <c r="E371" i="68"/>
  <c r="E179" i="67"/>
  <c r="E23" i="67"/>
  <c r="E479" i="68"/>
  <c r="E467" i="67"/>
  <c r="E119" i="67"/>
  <c r="E227" i="67"/>
  <c r="E35" i="67"/>
  <c r="E299" i="67"/>
  <c r="E239" i="67"/>
  <c r="E323" i="68"/>
  <c r="E347" i="67"/>
  <c r="E311" i="68"/>
  <c r="E407" i="67"/>
  <c r="E131" i="67"/>
  <c r="E527" i="68"/>
  <c r="E899" i="68"/>
  <c r="E47" i="68"/>
  <c r="E287" i="68"/>
  <c r="E395" i="68"/>
  <c r="E875" i="68"/>
  <c r="E383" i="67"/>
  <c r="E155" i="68"/>
  <c r="E23" i="68"/>
  <c r="E59" i="68"/>
  <c r="E95" i="68"/>
  <c r="E275" i="67"/>
  <c r="E515" i="68"/>
  <c r="E299" i="68"/>
  <c r="E647" i="68"/>
  <c r="E131" i="68"/>
  <c r="E167" i="68"/>
  <c r="E359" i="67"/>
  <c r="E251" i="67"/>
  <c r="E407" i="68"/>
  <c r="E215" i="68"/>
  <c r="E623" i="68"/>
  <c r="E839" i="68"/>
  <c r="E779" i="68"/>
  <c r="E851" i="68"/>
  <c r="E335" i="67"/>
  <c r="E947" i="68"/>
  <c r="E83" i="68"/>
  <c r="E491" i="68"/>
  <c r="E287" i="67"/>
  <c r="E683" i="68"/>
  <c r="E467" i="68"/>
  <c r="E707" i="68"/>
  <c r="E419" i="67"/>
  <c r="E227" i="68"/>
  <c r="E191" i="67"/>
  <c r="E275" i="68"/>
  <c r="E47" i="67"/>
  <c r="E803" i="68"/>
  <c r="E143" i="68"/>
  <c r="E455" i="68"/>
  <c r="E911" i="68"/>
  <c r="E347" i="68"/>
  <c r="E359" i="68"/>
  <c r="E71" i="67"/>
  <c r="E791" i="68"/>
  <c r="E263" i="68"/>
  <c r="E143" i="67"/>
  <c r="D343" i="67"/>
  <c r="H4" i="55"/>
  <c r="D919" i="68"/>
  <c r="D139" i="67"/>
  <c r="D715" i="68"/>
  <c r="D115" i="68"/>
  <c r="E443" i="67"/>
  <c r="E959" i="68"/>
  <c r="E179" i="68"/>
  <c r="D319" i="67"/>
  <c r="D187" i="67"/>
  <c r="E431" i="68"/>
  <c r="E59" i="67"/>
  <c r="E431" i="67"/>
  <c r="E119" i="68"/>
  <c r="D511" i="68"/>
  <c r="D55" i="67"/>
  <c r="D643" i="68"/>
  <c r="D211" i="68"/>
  <c r="D607" i="68"/>
  <c r="D355" i="68"/>
  <c r="C85" i="13"/>
  <c r="C10" i="13"/>
  <c r="H4" i="34"/>
  <c r="I4" i="60"/>
  <c r="B16" i="13"/>
  <c r="B4" i="19"/>
  <c r="B6" i="1"/>
  <c r="B4" i="53"/>
  <c r="B4" i="55"/>
  <c r="B4" i="54"/>
  <c r="B4" i="52"/>
  <c r="I72" i="13"/>
  <c r="I74" i="13"/>
  <c r="I73" i="13"/>
  <c r="I44" i="13"/>
  <c r="I46" i="13"/>
  <c r="I45" i="13"/>
  <c r="E30" i="55"/>
  <c r="E31" i="55" s="1"/>
  <c r="I30" i="13"/>
  <c r="I31" i="13"/>
  <c r="I32" i="13"/>
  <c r="I59" i="13"/>
  <c r="I60" i="13"/>
  <c r="I58" i="13"/>
  <c r="E29" i="55"/>
  <c r="E29" i="53"/>
  <c r="E30" i="53" s="1"/>
  <c r="E31" i="53" s="1"/>
  <c r="E32" i="53" s="1"/>
  <c r="E33" i="53" s="1"/>
  <c r="E34" i="53" s="1"/>
  <c r="E35" i="53" s="1"/>
  <c r="E36" i="53" s="1"/>
  <c r="E37" i="53" s="1"/>
  <c r="E38" i="53" s="1"/>
  <c r="E39" i="53" s="1"/>
  <c r="E40" i="53" s="1"/>
  <c r="E41" i="53" s="1"/>
  <c r="E42" i="53" s="1"/>
  <c r="E43" i="53" s="1"/>
  <c r="E44" i="53" s="1"/>
  <c r="E45" i="53" s="1"/>
  <c r="E46" i="53" s="1"/>
  <c r="E47" i="53" s="1"/>
  <c r="E48" i="53" s="1"/>
  <c r="H7" i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I86" i="13"/>
  <c r="I88" i="13"/>
  <c r="I87" i="13"/>
  <c r="E29" i="54"/>
  <c r="E30" i="54" s="1"/>
  <c r="E31" i="54" s="1"/>
  <c r="E32" i="54" s="1"/>
  <c r="E33" i="54" s="1"/>
  <c r="E34" i="54" s="1"/>
  <c r="E35" i="54" s="1"/>
  <c r="E36" i="54" s="1"/>
  <c r="E37" i="54" s="1"/>
  <c r="E38" i="54" s="1"/>
  <c r="E39" i="54" s="1"/>
  <c r="E40" i="54" s="1"/>
  <c r="E41" i="54" s="1"/>
  <c r="E42" i="54" s="1"/>
  <c r="E43" i="54" s="1"/>
  <c r="E44" i="54" s="1"/>
  <c r="E45" i="54" s="1"/>
  <c r="E46" i="54" s="1"/>
  <c r="E47" i="54" s="1"/>
  <c r="E48" i="54" s="1"/>
  <c r="N16" i="24"/>
  <c r="J16" i="24"/>
  <c r="H16" i="24"/>
  <c r="L16" i="24"/>
  <c r="P16" i="24"/>
  <c r="E29" i="52"/>
  <c r="E30" i="52" s="1"/>
  <c r="E31" i="52" s="1"/>
  <c r="E32" i="52" s="1"/>
  <c r="E33" i="52" s="1"/>
  <c r="E34" i="52" s="1"/>
  <c r="E35" i="52" s="1"/>
  <c r="E36" i="52" s="1"/>
  <c r="E37" i="52" s="1"/>
  <c r="E38" i="52" s="1"/>
  <c r="E39" i="52" s="1"/>
  <c r="E40" i="52" s="1"/>
  <c r="E41" i="52" s="1"/>
  <c r="E42" i="52" s="1"/>
  <c r="E43" i="52" s="1"/>
  <c r="E44" i="52" s="1"/>
  <c r="E45" i="52" s="1"/>
  <c r="E46" i="52" s="1"/>
  <c r="E47" i="52" s="1"/>
  <c r="D5" i="66" l="1"/>
  <c r="H5" i="66"/>
  <c r="O5" i="65"/>
  <c r="M5" i="65"/>
  <c r="D5" i="65"/>
  <c r="B30" i="13"/>
  <c r="B86" i="13"/>
  <c r="B72" i="13"/>
  <c r="B44" i="13"/>
  <c r="B58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1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falls zu "probabilité" gehörend: weibliche Form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iSerge</author>
  </authors>
  <commentList>
    <comment ref="G4" authorId="0" shapeId="0" xr:uid="{00000000-0006-0000-0900-000001000000}">
      <text>
        <r>
          <rPr>
            <sz val="9"/>
            <color indexed="81"/>
            <rFont val="Tahoma"/>
            <family val="2"/>
          </rPr>
          <t>min. 1
max. 3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H30" authorId="0" shapeId="0" xr:uid="{00000000-0006-0000-0C00-000001000000}">
      <text>
        <r>
          <rPr>
            <sz val="9"/>
            <color indexed="81"/>
            <rFont val="Tahoma"/>
            <family val="2"/>
          </rPr>
          <t>1=grün
2=orange
3=rot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H44" authorId="0" shapeId="0" xr:uid="{00000000-0006-0000-0C00-000002000000}">
      <text>
        <r>
          <rPr>
            <sz val="9"/>
            <color indexed="81"/>
            <rFont val="Tahoma"/>
            <family val="2"/>
          </rPr>
          <t xml:space="preserve">1=grün
2=orange
3=rot
</t>
        </r>
      </text>
    </comment>
    <comment ref="H58" authorId="0" shapeId="0" xr:uid="{00000000-0006-0000-0C00-000003000000}">
      <text>
        <r>
          <rPr>
            <sz val="9"/>
            <color indexed="81"/>
            <rFont val="Tahoma"/>
            <family val="2"/>
          </rPr>
          <t>1=grün
2=orange
3=rot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H72" authorId="0" shapeId="0" xr:uid="{00000000-0006-0000-0C00-000004000000}">
      <text>
        <r>
          <rPr>
            <sz val="9"/>
            <color indexed="81"/>
            <rFont val="Tahoma"/>
            <family val="2"/>
          </rPr>
          <t>1=grün
2=orange
3=rot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H86" authorId="0" shapeId="0" xr:uid="{00000000-0006-0000-0C00-000005000000}">
      <text>
        <r>
          <rPr>
            <sz val="9"/>
            <color indexed="81"/>
            <rFont val="Tahoma"/>
            <family val="2"/>
          </rPr>
          <t xml:space="preserve">1=grün
2=orange
3=rot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E25" authorId="0" shapeId="0" xr:uid="{00000000-0006-0000-1800-000001000000}">
      <text>
        <r>
          <rPr>
            <sz val="9"/>
            <color indexed="81"/>
            <rFont val="Tahoma"/>
            <family val="2"/>
          </rPr>
          <t>min. = 0
max. = 4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G36" authorId="0" shapeId="0" xr:uid="{00000000-0006-0000-1D00-000001000000}">
      <text>
        <r>
          <rPr>
            <sz val="9"/>
            <color indexed="81"/>
            <rFont val="Tahoma"/>
            <family val="2"/>
          </rPr>
          <t>min. = 0
max. = 4</t>
        </r>
      </text>
    </comment>
    <comment ref="G50" authorId="0" shapeId="0" xr:uid="{00000000-0006-0000-1D00-000002000000}">
      <text>
        <r>
          <rPr>
            <sz val="9"/>
            <color indexed="81"/>
            <rFont val="Tahoma"/>
            <family val="2"/>
          </rPr>
          <t>min. = 0
max. = 4</t>
        </r>
      </text>
    </comment>
    <comment ref="G64" authorId="0" shapeId="0" xr:uid="{00000000-0006-0000-1D00-000003000000}">
      <text>
        <r>
          <rPr>
            <sz val="9"/>
            <color indexed="81"/>
            <rFont val="Tahoma"/>
            <family val="2"/>
          </rPr>
          <t>min. = 0
max. = 4</t>
        </r>
      </text>
    </comment>
    <comment ref="G78" authorId="0" shapeId="0" xr:uid="{00000000-0006-0000-1D00-000004000000}">
      <text>
        <r>
          <rPr>
            <sz val="9"/>
            <color indexed="81"/>
            <rFont val="Tahoma"/>
            <family val="2"/>
          </rPr>
          <t>min. = 0
max. = 4</t>
        </r>
      </text>
    </comment>
  </commentList>
</comments>
</file>

<file path=xl/sharedStrings.xml><?xml version="1.0" encoding="utf-8"?>
<sst xmlns="http://schemas.openxmlformats.org/spreadsheetml/2006/main" count="3369" uniqueCount="2012">
  <si>
    <t>Pareto X Axis</t>
  </si>
  <si>
    <t>Bars</t>
  </si>
  <si>
    <t>Ordered Rank</t>
  </si>
  <si>
    <t>Percentage</t>
  </si>
  <si>
    <t>Reason 1</t>
  </si>
  <si>
    <t>Deutsch</t>
  </si>
  <si>
    <t>Français</t>
  </si>
  <si>
    <t>English</t>
  </si>
  <si>
    <t>Italiano</t>
  </si>
  <si>
    <t>Aktuelle Sprache</t>
  </si>
  <si>
    <t>Sprache 1</t>
  </si>
  <si>
    <t>Sprache 2</t>
  </si>
  <si>
    <t>Sprache 3</t>
  </si>
  <si>
    <t>Sprache 4</t>
  </si>
  <si>
    <t>Sprache 5</t>
  </si>
  <si>
    <t>Aktuell angezeigte Sprache</t>
  </si>
  <si>
    <t>5_???</t>
  </si>
  <si>
    <t>contact info@2imanagement.ch</t>
  </si>
  <si>
    <t>intern</t>
  </si>
  <si>
    <t>interne</t>
  </si>
  <si>
    <t>Ziele &amp; Strategien</t>
  </si>
  <si>
    <t>Stakeholder</t>
  </si>
  <si>
    <t>Parties prenantes</t>
  </si>
  <si>
    <t>Konkurrenz</t>
  </si>
  <si>
    <t>Concurrence</t>
  </si>
  <si>
    <t>Potenzial</t>
  </si>
  <si>
    <t>Potentiel</t>
  </si>
  <si>
    <t>Kunden</t>
  </si>
  <si>
    <t>Clients</t>
  </si>
  <si>
    <t>Benchmark</t>
  </si>
  <si>
    <t>Umsetzung &amp; Controlling</t>
  </si>
  <si>
    <t>Réalisation &amp; Controlling</t>
  </si>
  <si>
    <t>Kommunikation</t>
  </si>
  <si>
    <t>Communication</t>
  </si>
  <si>
    <t>Gestion de projets</t>
  </si>
  <si>
    <t>Wir</t>
  </si>
  <si>
    <t>Nous</t>
  </si>
  <si>
    <t>hoch</t>
  </si>
  <si>
    <t>gering</t>
  </si>
  <si>
    <t>Nr.</t>
  </si>
  <si>
    <t>No.</t>
  </si>
  <si>
    <t>House of Quality</t>
  </si>
  <si>
    <t>Mögliche Massnahmen</t>
  </si>
  <si>
    <t>Mesures possibles</t>
  </si>
  <si>
    <t>Status</t>
  </si>
  <si>
    <t>Statut</t>
  </si>
  <si>
    <t>Einflussfaktoren</t>
  </si>
  <si>
    <t>Facteurs d'influence</t>
  </si>
  <si>
    <t>Auswirkungen</t>
  </si>
  <si>
    <t>Impact</t>
  </si>
  <si>
    <t>Stärke der Auswirkungen</t>
  </si>
  <si>
    <t>Intensité de l'impact</t>
  </si>
  <si>
    <t>Trend</t>
  </si>
  <si>
    <t>Ten-
dance</t>
  </si>
  <si>
    <t>Umsatz</t>
  </si>
  <si>
    <t>Bemerkungen</t>
  </si>
  <si>
    <t>Remarques</t>
  </si>
  <si>
    <t>Produit 3</t>
  </si>
  <si>
    <t>Produit 4</t>
  </si>
  <si>
    <t>Produit 5</t>
  </si>
  <si>
    <t xml:space="preserve">                                                                Vorteil</t>
  </si>
  <si>
    <t xml:space="preserve">                                                             Avantage</t>
  </si>
  <si>
    <t xml:space="preserve">                    Nachteil</t>
  </si>
  <si>
    <t xml:space="preserve">                    Désavantage</t>
  </si>
  <si>
    <t>Schlüsselfaktor</t>
  </si>
  <si>
    <t>Facteur clé</t>
  </si>
  <si>
    <t>Produkt, Sortiment</t>
  </si>
  <si>
    <t>Produit, assortiment</t>
  </si>
  <si>
    <t>Preise, Konditionen</t>
  </si>
  <si>
    <t>Prix, conditions</t>
  </si>
  <si>
    <t>Marktanteil, Marktwachstum, Marktstruktur</t>
  </si>
  <si>
    <t>Part du marché, croissance, structure</t>
  </si>
  <si>
    <t>Markenname, Markenimage</t>
  </si>
  <si>
    <t>Nom de marque, image de marque</t>
  </si>
  <si>
    <t>Vertriebsorganisation</t>
  </si>
  <si>
    <t>Organisation de la distribution</t>
  </si>
  <si>
    <t>Kundendienst</t>
  </si>
  <si>
    <t>Service clients</t>
  </si>
  <si>
    <t>Lieferzeiten, Termintreue, Zuverlässigkeit</t>
  </si>
  <si>
    <t>Délais de livraison, respect des délais, fiabilité</t>
  </si>
  <si>
    <t>Qualität</t>
  </si>
  <si>
    <t>Qualité</t>
  </si>
  <si>
    <t>Kostenniveau</t>
  </si>
  <si>
    <t>Niveau de coût</t>
  </si>
  <si>
    <t>Modernität der Anlagen</t>
  </si>
  <si>
    <t>Modernité de l'équipement</t>
  </si>
  <si>
    <t>Produktivität</t>
  </si>
  <si>
    <t>Productivité</t>
  </si>
  <si>
    <t>Umweltbelastung, Energieverbrauch</t>
  </si>
  <si>
    <t>Pollution, consommation d'énergie</t>
  </si>
  <si>
    <t>Standort, Logistik</t>
  </si>
  <si>
    <t>Emplacement, logistique</t>
  </si>
  <si>
    <t>Versorgungsengpässe</t>
  </si>
  <si>
    <t>Pénuries d'approvisionnement</t>
  </si>
  <si>
    <t>Preisabhängigkeit</t>
  </si>
  <si>
    <t>Dépendance des prix</t>
  </si>
  <si>
    <t xml:space="preserve">Wechselkursabhängigkeit </t>
  </si>
  <si>
    <t>Dépendance du taux de change</t>
  </si>
  <si>
    <t>Zulieferqualität</t>
  </si>
  <si>
    <t>Qualité des fournisseurs</t>
  </si>
  <si>
    <t>Innovation, Patente</t>
  </si>
  <si>
    <t>Innovation, brevets</t>
  </si>
  <si>
    <t>Know-how</t>
  </si>
  <si>
    <t>Savoir-faire</t>
  </si>
  <si>
    <t>Ausstattung</t>
  </si>
  <si>
    <t>Équipement</t>
  </si>
  <si>
    <t>Motivation und Engagement der MA</t>
  </si>
  <si>
    <t>Motivation et engagement des collab.</t>
  </si>
  <si>
    <t xml:space="preserve">Führungsinstrumente, Management </t>
  </si>
  <si>
    <t>Outils de gestion, management</t>
  </si>
  <si>
    <t>Schlanke, flexible Organisation</t>
  </si>
  <si>
    <t>Organisation "lean" et flexible</t>
  </si>
  <si>
    <t>Ausbildung, Qualifikation der MA</t>
  </si>
  <si>
    <t>Formation, qualification des collab.</t>
  </si>
  <si>
    <t>Altersstruktur</t>
  </si>
  <si>
    <t>Pyramide des âges</t>
  </si>
  <si>
    <t>Fluktuationsrate, Krankenstand</t>
  </si>
  <si>
    <t>Taux de fluctuation, absentéisme</t>
  </si>
  <si>
    <t>Finanzkraft, Liquidität</t>
  </si>
  <si>
    <t>Solidité financière, liquidité</t>
  </si>
  <si>
    <t>Standort, Raumreserven</t>
  </si>
  <si>
    <t>Emplacement, espaces à disposition</t>
  </si>
  <si>
    <t>Controlling</t>
  </si>
  <si>
    <t>Entscheidungswege</t>
  </si>
  <si>
    <t>Processus de décision</t>
  </si>
  <si>
    <t>Absatz</t>
  </si>
  <si>
    <t>Distribution</t>
  </si>
  <si>
    <t>Produktion</t>
  </si>
  <si>
    <t>Production</t>
  </si>
  <si>
    <t>Beschaffung</t>
  </si>
  <si>
    <t>Approvisionne.</t>
  </si>
  <si>
    <t>F&amp;E</t>
  </si>
  <si>
    <t>R &amp; D</t>
  </si>
  <si>
    <t>Personal</t>
  </si>
  <si>
    <t>Personnel</t>
  </si>
  <si>
    <t>Verwaltung</t>
  </si>
  <si>
    <t>Administration</t>
  </si>
  <si>
    <t>Quelle</t>
  </si>
  <si>
    <t>Source</t>
  </si>
  <si>
    <t>R I S I K O M A N A G E M E N T</t>
  </si>
  <si>
    <t>G E S T I O N   D U   R I S Q U E</t>
  </si>
  <si>
    <t>Eintretenswahrscheinlichkeit</t>
  </si>
  <si>
    <t>Probabilité d'occurrence</t>
  </si>
  <si>
    <t>élevée</t>
  </si>
  <si>
    <t>mittel</t>
  </si>
  <si>
    <t>moyenne</t>
  </si>
  <si>
    <t>faible</t>
  </si>
  <si>
    <t>Schadensausmass</t>
  </si>
  <si>
    <t>Étendue des dégâts</t>
  </si>
  <si>
    <t>Kein Handlungsbedarf</t>
  </si>
  <si>
    <t>Aucune action nécessaire</t>
  </si>
  <si>
    <t>Handlungsbedarf</t>
  </si>
  <si>
    <t>Action nécessaire</t>
  </si>
  <si>
    <t>Akuter Handlungsbedarf</t>
  </si>
  <si>
    <t>Action urgente</t>
  </si>
  <si>
    <t>Risiko</t>
  </si>
  <si>
    <t>Risque</t>
  </si>
  <si>
    <t>Eintretens-wahrscheinlich-keit</t>
  </si>
  <si>
    <t>Schadens-ausmass</t>
  </si>
  <si>
    <t>Étendue des dommages</t>
  </si>
  <si>
    <t>Ausmass der Auswirkungen</t>
  </si>
  <si>
    <t>Étendue de l'impact</t>
  </si>
  <si>
    <t>B E N C H M A R K I N G</t>
  </si>
  <si>
    <t>Vergleichsobjekte</t>
  </si>
  <si>
    <t>Objets de comparaison</t>
  </si>
  <si>
    <t>S W O T - A N A L Y S E</t>
  </si>
  <si>
    <t>A N A L Y S E   S W O T</t>
  </si>
  <si>
    <t>Stärken / Schwächen -&gt; interne Faktoren</t>
  </si>
  <si>
    <t>Forces / faiblesses -&gt; facteurs internes</t>
  </si>
  <si>
    <t>Stärken / Schwächen</t>
  </si>
  <si>
    <t>Forces / faiblesses</t>
  </si>
  <si>
    <t>Chancen / Gefahren</t>
  </si>
  <si>
    <t>Opportunités / menaces</t>
  </si>
  <si>
    <t>Gewichtung</t>
  </si>
  <si>
    <t>Pondération</t>
  </si>
  <si>
    <t>Chancen / Gefahren -&gt; externe Faktoren</t>
  </si>
  <si>
    <t>Opportunités / menaces -&gt; facteurs externes</t>
  </si>
  <si>
    <t>Stärken</t>
  </si>
  <si>
    <t>Forces</t>
  </si>
  <si>
    <t>Schwächen</t>
  </si>
  <si>
    <t>Faiblesses</t>
  </si>
  <si>
    <t>Chancen</t>
  </si>
  <si>
    <t>Opportunités</t>
  </si>
  <si>
    <t>Gefahren</t>
  </si>
  <si>
    <t>Menaces</t>
  </si>
  <si>
    <t>H A U P T P R O D U K T E   &amp;   D I E N S T L E I S T U N G E N</t>
  </si>
  <si>
    <t>P R O D U I T S   &amp;   P R E S T A T I O N S   C L É</t>
  </si>
  <si>
    <t>Produkt/Dienstleistung</t>
  </si>
  <si>
    <t>Produit/Prestations de service</t>
  </si>
  <si>
    <t>Nachfrage des Produktes</t>
  </si>
  <si>
    <t>Demande du produit</t>
  </si>
  <si>
    <t>Alleinstellungsmerkmal (USP)</t>
  </si>
  <si>
    <t>Argument publicitaire unique (USP)</t>
  </si>
  <si>
    <t>USP</t>
  </si>
  <si>
    <t>Nachfrage</t>
  </si>
  <si>
    <t>Demande</t>
  </si>
  <si>
    <t>Chiffre d'affaire</t>
  </si>
  <si>
    <t>Total</t>
  </si>
  <si>
    <t>Totale</t>
  </si>
  <si>
    <t>Rentabilité</t>
  </si>
  <si>
    <t>S T R A T E G I S C H E   G E S C H Ä F T S E I N H E I T E N   (SGE)</t>
  </si>
  <si>
    <t>D O M A I N E   D' A C T I V I T É   S T R A T É G I Q U E   (DAS)</t>
  </si>
  <si>
    <t>Strategische Geschäftseinheiten</t>
  </si>
  <si>
    <t>Domaine d'activité stratégique</t>
  </si>
  <si>
    <t>SGE</t>
  </si>
  <si>
    <t>DAS</t>
  </si>
  <si>
    <t>Synergieeffekte</t>
  </si>
  <si>
    <t>Effets de synergies</t>
  </si>
  <si>
    <t>Marktsegmente</t>
  </si>
  <si>
    <t>Segments du marché</t>
  </si>
  <si>
    <t>Eigenständigkeit</t>
  </si>
  <si>
    <t>Indépendance</t>
  </si>
  <si>
    <t>in %</t>
  </si>
  <si>
    <t>en %</t>
  </si>
  <si>
    <t>Kostenträger</t>
  </si>
  <si>
    <t>Coûts</t>
  </si>
  <si>
    <t>Beinfluss-barkeit?</t>
  </si>
  <si>
    <t>Influença-bilité?</t>
  </si>
  <si>
    <t>trifft voll zu</t>
  </si>
  <si>
    <t xml:space="preserve">correspond tout à fait </t>
  </si>
  <si>
    <t>trifft eher zu</t>
  </si>
  <si>
    <t xml:space="preserve">correspond plutôt </t>
  </si>
  <si>
    <t>trifft teilweise zu</t>
  </si>
  <si>
    <t xml:space="preserve">correspond partiellement </t>
  </si>
  <si>
    <t>trifft eher nicht zu</t>
  </si>
  <si>
    <t>correspond peu</t>
  </si>
  <si>
    <t>trifft überhaupt nicht zu</t>
  </si>
  <si>
    <t xml:space="preserve">ne correspond pas du tout </t>
  </si>
  <si>
    <t>Nos propositions de valeur correspondent aux besoins de nos clients</t>
  </si>
  <si>
    <t>Nos propositions de valeur ont de forts effets sur le réseau (Networking)</t>
  </si>
  <si>
    <t>Unsere Margen sind hoch</t>
  </si>
  <si>
    <t>Nos marges sont élevées</t>
  </si>
  <si>
    <t>Unsere Erträge sind vorhersehbar</t>
  </si>
  <si>
    <t>Nos revenus sont prévisibles</t>
  </si>
  <si>
    <t>Wir haben wiederkehrende Einnahmen und häufige wiederholte Käufe</t>
  </si>
  <si>
    <t>Nous avons des flux de revenus récurrents et des achats répétés fréquents</t>
  </si>
  <si>
    <t>Unsere Einnahmequellen sind diversifiziert</t>
  </si>
  <si>
    <t>Nos flux de revenus sont diversifiés</t>
  </si>
  <si>
    <t>Unsere Einnahmequellen sind nachhaltig</t>
  </si>
  <si>
    <t>Nos flux de revenus sont durables</t>
  </si>
  <si>
    <t>Wir ziehen die Erträge ein bevor wir weitere Verpflichtungen eingehen</t>
  </si>
  <si>
    <t>Nous encaissons nos revenus avant d'engager nos dépenses</t>
  </si>
  <si>
    <t>Die Höhe der Rechnungsbeträge entsprechen dem, was der Kunde bereit ist zu bezahlen</t>
  </si>
  <si>
    <t>Nous facturons ce pour quoi les clients ont réellement envie de payer</t>
  </si>
  <si>
    <t>Unsere Preisgestaltung entspricht dem, was der Kunde bereit ist zu bezahlen</t>
  </si>
  <si>
    <t>Nos mécanismes de fixation des prix permettent de capter tout ce que le client est prêt à payer</t>
  </si>
  <si>
    <t>Unsere Kosten sind vorhersehbar</t>
  </si>
  <si>
    <t>Nos coûts sont prévisibles</t>
  </si>
  <si>
    <t>Unsere Kostenstruktur ist richtig auf unser Geschäftsmodell abgestimmt</t>
  </si>
  <si>
    <t>Notre structure de coûts est correctement adaptée à notre modèle d'affaires</t>
  </si>
  <si>
    <t>Wir profitieren von Skaleneffekten</t>
  </si>
  <si>
    <t>Nous bénéficions d'économies d'échelle</t>
  </si>
  <si>
    <t>Die Fluktuationsrate der Kunden ist gering</t>
  </si>
  <si>
    <t>Le taux de roulement de la clientèle est faible</t>
  </si>
  <si>
    <t>Die Kundensegmentierung ist gut</t>
  </si>
  <si>
    <t>La clientèle est bien segmentée</t>
  </si>
  <si>
    <t>Wir gewinnen regelmässig neue Kunden</t>
  </si>
  <si>
    <t>Nous acquérons régulièrement de nouveaux clients</t>
  </si>
  <si>
    <t>La pénétration des canaux est bonne</t>
  </si>
  <si>
    <t xml:space="preserve">Die Vertriebskanäle werden von unseren Kunden einfach identifiziert </t>
  </si>
  <si>
    <t>Les clients repèrent facilement nos canaux de distribution</t>
  </si>
  <si>
    <t>Die Vertriebskanäle sind sehr stark integriert</t>
  </si>
  <si>
    <t>Les canaux sont très intégrés</t>
  </si>
  <si>
    <t>Les canaux sont sources d'économie d'envergure (economies of scope)</t>
  </si>
  <si>
    <t>Die Qualität der Beziehung entspricht der Kundensegmentierung</t>
  </si>
  <si>
    <t>Unsere Marke ist stark</t>
  </si>
  <si>
    <t>Notre marque est forte</t>
  </si>
  <si>
    <t>Unsere wichtigsten Ressourcen sind für Konkurrenten schwierig zu kopieren</t>
  </si>
  <si>
    <t>Nos ressources clés sont difficiles à reproduire pour nos concurrents</t>
  </si>
  <si>
    <t>Der Bedarf an Ressourcen ist vorhersehbar</t>
  </si>
  <si>
    <t>Les besoins en ressources sont prévisibles</t>
  </si>
  <si>
    <t xml:space="preserve">Wir setzen unser Kerngeschäft effektiv um </t>
  </si>
  <si>
    <t>Nous exécutons efficacement nos activités clés</t>
  </si>
  <si>
    <t>Unsere Kernaktivitäten sind schwierig zu kopieren</t>
  </si>
  <si>
    <t>Nos activités clés sont difficilement copiables</t>
  </si>
  <si>
    <t>Die Ausführungsqualität ist hoch</t>
  </si>
  <si>
    <t xml:space="preserve">La qualité d'exécution est élevée </t>
  </si>
  <si>
    <t>Die Balance zwischen internen und ausgelagerten Tätigkeiten ist ideal</t>
  </si>
  <si>
    <t>L'équilibre entre les exécutions internes et les activités sous-traitées est idéale</t>
  </si>
  <si>
    <t>Nous sommes orientés partenaires et nous travaillons avec eux lorsque cela est nécessaire</t>
  </si>
  <si>
    <t>Wir pflegen eine gute Zusammenarbeit mit unseren wichtigsten Partnern</t>
  </si>
  <si>
    <t>Nous entretenons de bonnes relations de travail avec nos partenaires clés</t>
  </si>
  <si>
    <t>Impact (1 - 10)</t>
  </si>
  <si>
    <t>Fragen:</t>
  </si>
  <si>
    <t>Questions:</t>
  </si>
  <si>
    <t>Auswirkung:</t>
  </si>
  <si>
    <t>Impact:</t>
  </si>
  <si>
    <t>Total Punkte :</t>
  </si>
  <si>
    <t>Total points :</t>
  </si>
  <si>
    <t xml:space="preserve"> von </t>
  </si>
  <si>
    <t xml:space="preserve"> de </t>
  </si>
  <si>
    <t>Zusammenfassung</t>
  </si>
  <si>
    <t>Résumé</t>
  </si>
  <si>
    <t>Wir können wiederkehrende Einnahmen generieren, indem wir von Produkte Dienstleistungen ableiten</t>
  </si>
  <si>
    <t>Nous pouvons générer des revenus récurrents en convertissant des produits en services</t>
  </si>
  <si>
    <t>Il existe des compléments ou des extensions possibles de notre proposition de valeur</t>
  </si>
  <si>
    <t>Nous pourrions accomplir d'autres tâches pour nos clients</t>
  </si>
  <si>
    <t>Es gibt Ersatzprodukte und -dienstleistungen</t>
  </si>
  <si>
    <t>Des produits et des services de substitution sont disponibles</t>
  </si>
  <si>
    <t>Les concurrents menacent d'offrir de meilleurs prix ou plus de valeur</t>
  </si>
  <si>
    <t>Nous pourrions remplacer des revenus de transactions ponctuels par des revenus récurrents</t>
  </si>
  <si>
    <t>Unsere Kunden sind bereit für zusätzliche Produkte oder Dienstleistungen zu bezahlen</t>
  </si>
  <si>
    <t>Nos clients seraient disposés à payer pour d'autres produits et services</t>
  </si>
  <si>
    <t>Nous avons des occasions de ventes croisées/associées soit en interne, soit avec des partenaires</t>
  </si>
  <si>
    <t>Wir können zusätzliche Einnahmequellen generieren oder neu entwickeln</t>
  </si>
  <si>
    <t>Nous pourrions rajouter ou créer d'autres flux de revenus</t>
  </si>
  <si>
    <t>Wir können die Preise erhöhen</t>
  </si>
  <si>
    <t>Nous pouvons augmenter les prix</t>
  </si>
  <si>
    <t>Nos marges sont menacées par des concurrents, et/ou des nouvelles technologies</t>
  </si>
  <si>
    <t>Wir sind von einem oder mehreren Einkommensquellen abhängig</t>
  </si>
  <si>
    <t>Wir haben Einnahmequellen, die bald versiegen werden</t>
  </si>
  <si>
    <t xml:space="preserve">Nous avons des flux de revenus appelés à disparaître </t>
  </si>
  <si>
    <t>Wir können unsere Kosten senken</t>
  </si>
  <si>
    <t>Nous pouvons réduire nos coûts</t>
  </si>
  <si>
    <t>Einige Kosten können unberechenbar werden</t>
  </si>
  <si>
    <t>Certains coûts risquent de devenir imprévisibles</t>
  </si>
  <si>
    <t>Einige Kosten drohen schneller zu wachsen als die entsprechenden Einkünfte</t>
  </si>
  <si>
    <t>Certains coûts menacent d'augmenter plus rapidement que les revenus correspondants</t>
  </si>
  <si>
    <t>Wir können neue Kundensegemente bedienen</t>
  </si>
  <si>
    <t>Nous pourrions servir de nouveaux segments de clientèle</t>
  </si>
  <si>
    <t>Aufgrund einer feineren Segmentierung,  können wir unsere Kunden besser bedienen</t>
  </si>
  <si>
    <t>Nous pourrions mieux servir nos clients grâce à une segmentation plus fine</t>
  </si>
  <si>
    <t>Es besteht die Gefahr, dass unser Markt bald gesättigt ist</t>
  </si>
  <si>
    <t>Notre marché risque d'être bientôt saturé</t>
  </si>
  <si>
    <t>Unsere Konkurrenten bedrohen unseren Marktanteil</t>
  </si>
  <si>
    <t>Nos concurrents menacent nos parts de marché</t>
  </si>
  <si>
    <t>Es besteht die Möglichkeit, dass wir Kunden verlieren</t>
  </si>
  <si>
    <t>Il y a une probabilité que nos clients nous quittent</t>
  </si>
  <si>
    <t>Es besteht die Gefahr, dass unsere Kunden in Zahlungsverzug geraten</t>
  </si>
  <si>
    <t>Il y a des chances que nos clients sont en défaut de paiement</t>
  </si>
  <si>
    <t>Es besteht das Risiko, dass sich der Wettbewerb verschärft</t>
  </si>
  <si>
    <t>Nous pourrions améliorer l'intégration de nos canaux</t>
  </si>
  <si>
    <t>Nous pourrions trouver de nouveaux canaux partenaires complémentaires</t>
  </si>
  <si>
    <t>Wir können unsere Margen steigern indem wir unsere Kunden direkt bedienen</t>
  </si>
  <si>
    <t>Nous pourrions augmenter nos marges en servant directement nos clients</t>
  </si>
  <si>
    <t>Nous pouvons améliorer l'adéquation des canaux et des segments de clients</t>
  </si>
  <si>
    <t>Unsere Konkurrenten bedrohen unsere Vertriebskanäle</t>
  </si>
  <si>
    <t>Nos concurrents menacent nos canaux de distribution</t>
  </si>
  <si>
    <t>Nos canaux de distribution risquent de ne plus être pertinents/adaptés pour nos clients</t>
  </si>
  <si>
    <t>Die Kundenbetreuung kann verbessert werden</t>
  </si>
  <si>
    <t>Le suivi clients recèle un potentiel d'amélioration</t>
  </si>
  <si>
    <t>Wir können die Beziehungen zu unseren Kunden stärken</t>
  </si>
  <si>
    <t>Nous pourrions resserrer nos relations avec nos clients</t>
  </si>
  <si>
    <t>Nous pourrions améliorer la personnalisation</t>
  </si>
  <si>
    <t>Wir haben die unrentablen Kunden identifiziert und "beseitigt"</t>
  </si>
  <si>
    <t>Nous avons identifié et "éliminé" les clients non rentables</t>
  </si>
  <si>
    <t>Wir haben gewisse Beziehungen automatisiert</t>
  </si>
  <si>
    <t>Nous avons automatisé certaines relations</t>
  </si>
  <si>
    <t>Es besteht das Risiko, dass sich die Beziehungen zu unseren Kunden verschlechtert</t>
  </si>
  <si>
    <t>Nos relations avec les clients risquent de se détériorer</t>
  </si>
  <si>
    <t>Wir können billigere Ressourcen einsetzen um das gleiche Resultat zu erzielen</t>
  </si>
  <si>
    <t>Nous pouvons utiliser moins de ressources coûteuses pour arriver au même résultat</t>
  </si>
  <si>
    <t>Wir besitzen Kernressourcen, die zu wenig genutzt werden</t>
  </si>
  <si>
    <t>Nous avons des ressources clés qui sont sous-exploitées</t>
  </si>
  <si>
    <t>Wir besitzen Patente oder andere ungenutzte Erfindungen, die für andere von Wert sein könnten</t>
  </si>
  <si>
    <t>Nous avons des brevets ou d'autres découvertes inexploités qui pourraient avoir de la valeur pour d'autres</t>
  </si>
  <si>
    <t>Es besteht das Risiko, dass einige Ressourcen knapp werden könnten</t>
  </si>
  <si>
    <t>Nous risquons d'être confrontés à une rupture de l'offre de certaines ressources</t>
  </si>
  <si>
    <t>Die Qualität unserer Ressourcen sind in Gefahr</t>
  </si>
  <si>
    <t>La qualité de nos ressources est menacée</t>
  </si>
  <si>
    <t>Wir können einige Kernaktivitäten standardisieren</t>
  </si>
  <si>
    <t>Nous pouvons standardiser certaines activités clés</t>
  </si>
  <si>
    <t>Wir können allgemein unsere Leistung verbessern</t>
  </si>
  <si>
    <t>Nous pourrions améliorer notre performance de manière générale</t>
  </si>
  <si>
    <t>Eine Informatikunterstützung könnte unsere Leistung steigern</t>
  </si>
  <si>
    <t>Un support informatique pourrait améliorer notre performance</t>
  </si>
  <si>
    <t>Kernaktivitäten könnten gestört werden</t>
  </si>
  <si>
    <t>Die Qualität unserer Aktivitäten ist in Gefahr</t>
  </si>
  <si>
    <t>La qualité de nos activités est menacée</t>
  </si>
  <si>
    <t>Eine verstärkte Zusammenarbeit mit unseren Partnern würde helfen, uns auf unser Kerngeschäft zu konzentrieren</t>
  </si>
  <si>
    <t>Es bestehen Möglichkeiten Gegengeschäfte mit unseren Partnern zu tätigen</t>
  </si>
  <si>
    <t>Il existe des opportunités de ventes-croisées/associées avec nos partenaires</t>
  </si>
  <si>
    <t>Die Vertriebskanäle unserer Partner könnten uns helfen, zusätzliche Kunden zu erreichen</t>
  </si>
  <si>
    <t>Les canaux de distribution de partenaires pourraient nous aider à toucher davantage de clients</t>
  </si>
  <si>
    <t>Nos partenaires pourraient compléter notre proposition de valeur</t>
  </si>
  <si>
    <t>Wir riskieren, Partner zu verlieren</t>
  </si>
  <si>
    <t>Nous risquons de perdre des partenaires</t>
  </si>
  <si>
    <t>Unser Partner könnten mit den Konkurrenten zusammenarbeiten</t>
  </si>
  <si>
    <t>Nos partenaires pourraient collaborer avec des concurrents</t>
  </si>
  <si>
    <t>Wir sind von einigen Partnern zu stark abhängig</t>
  </si>
  <si>
    <t>Nous sommes trop dépendants de certains partenaires</t>
  </si>
  <si>
    <t>Risikomanagement</t>
  </si>
  <si>
    <t>Gestion du risque</t>
  </si>
  <si>
    <t>Strategien</t>
  </si>
  <si>
    <t>Stratégies</t>
  </si>
  <si>
    <t>Alles anzeigen</t>
  </si>
  <si>
    <t>Afficher tout</t>
  </si>
  <si>
    <t>Filter Druck</t>
  </si>
  <si>
    <t>Filtre impression</t>
  </si>
  <si>
    <t>Links zu Dokumenten</t>
  </si>
  <si>
    <t>Liens vers des documents</t>
  </si>
  <si>
    <t>E I N G A B E M A S K E</t>
  </si>
  <si>
    <t>M A S Q U E   D E   S A I S I E</t>
  </si>
  <si>
    <t>Strategische Indikatoren</t>
  </si>
  <si>
    <t>Indicateurs stratégiques</t>
  </si>
  <si>
    <t>IST</t>
  </si>
  <si>
    <t>ÊTRE</t>
  </si>
  <si>
    <t>SOLL</t>
  </si>
  <si>
    <t>DOIT</t>
  </si>
  <si>
    <t>erreicht</t>
  </si>
  <si>
    <t>atteint</t>
  </si>
  <si>
    <t>rot</t>
  </si>
  <si>
    <t>rouge</t>
  </si>
  <si>
    <t>gelb</t>
  </si>
  <si>
    <t>jaune</t>
  </si>
  <si>
    <t>Indikatoren</t>
  </si>
  <si>
    <t>Indicateurs</t>
  </si>
  <si>
    <t>Projekte</t>
  </si>
  <si>
    <t>Projets</t>
  </si>
  <si>
    <t>Link zum Projekt</t>
  </si>
  <si>
    <t>Lien vers projet</t>
  </si>
  <si>
    <t>Beginn</t>
  </si>
  <si>
    <t>Début</t>
  </si>
  <si>
    <t>Ende</t>
  </si>
  <si>
    <t>Fin</t>
  </si>
  <si>
    <t>Wer?</t>
  </si>
  <si>
    <t>Qui?</t>
  </si>
  <si>
    <t>S T R A T E G I S C H E   I N D I K A T O R E N</t>
  </si>
  <si>
    <t>I N D I C A T E U R S   S T R A T É G I Q U E</t>
  </si>
  <si>
    <t>Berechnung</t>
  </si>
  <si>
    <t>Calcul</t>
  </si>
  <si>
    <t>Beschreibung/Bemerkungen</t>
  </si>
  <si>
    <t>Description/Remarques</t>
  </si>
  <si>
    <t>Erhebungszeitpunkt &amp; Branchenvergleich</t>
  </si>
  <si>
    <t>Moment de l'enquête &amp; Comparaison avec la branche</t>
  </si>
  <si>
    <t>I N D I K A T O R E N   Z I E L E</t>
  </si>
  <si>
    <t>I N D I C A T E U R S   O B J E C T I F S</t>
  </si>
  <si>
    <t>K O M M U N I K A T I O N</t>
  </si>
  <si>
    <t>C O M M U N I C A T I O N</t>
  </si>
  <si>
    <t>Internet</t>
  </si>
  <si>
    <t>Social Medias</t>
  </si>
  <si>
    <t>Public Relations</t>
  </si>
  <si>
    <t>Relations publiques</t>
  </si>
  <si>
    <t>Diverses</t>
  </si>
  <si>
    <t>Divers</t>
  </si>
  <si>
    <t>Kriterium</t>
  </si>
  <si>
    <t>Critère</t>
  </si>
  <si>
    <t>Bewertung</t>
  </si>
  <si>
    <t>Evaluation</t>
  </si>
  <si>
    <t>U R S A C H E  -  W I R K U N G S  -  D I A G R A M M</t>
  </si>
  <si>
    <t>D I A G R A M M E   D E   C A U S E S   E T   E F F E T S</t>
  </si>
  <si>
    <t>P1</t>
  </si>
  <si>
    <t>Produit 1</t>
  </si>
  <si>
    <t>P2</t>
  </si>
  <si>
    <t>Produit2</t>
  </si>
  <si>
    <t>P3</t>
  </si>
  <si>
    <t>P4</t>
  </si>
  <si>
    <t>P5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</si>
  <si>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</si>
  <si>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</si>
  <si>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</si>
  <si>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</si>
  <si>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</si>
  <si>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</si>
  <si>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</si>
  <si>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</si>
  <si>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</si>
  <si>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</si>
  <si>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</si>
  <si>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</si>
  <si>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</si>
  <si>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</si>
  <si>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</si>
  <si>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</si>
  <si>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</si>
  <si>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</si>
  <si>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TOTAL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</si>
  <si>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</si>
  <si>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</si>
  <si>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</si>
  <si>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</si>
  <si>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</si>
  <si>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</si>
  <si>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</si>
  <si>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</si>
  <si>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</si>
  <si>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</si>
  <si>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</si>
  <si>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</si>
  <si>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x!A236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</si>
  <si>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</si>
  <si>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</si>
  <si>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</si>
  <si>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</si>
  <si>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</si>
  <si>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</si>
  <si>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</si>
  <si>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</si>
  <si>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</si>
  <si>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</si>
  <si>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</si>
  <si>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</si>
  <si>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</si>
  <si>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</si>
  <si>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</si>
  <si>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</si>
  <si>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</si>
  <si>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</si>
  <si>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o1</t>
  </si>
  <si>
    <t>t1</t>
  </si>
  <si>
    <t>o2</t>
  </si>
  <si>
    <t>t2</t>
  </si>
  <si>
    <t>o3</t>
  </si>
  <si>
    <t>t3</t>
  </si>
  <si>
    <t>o4</t>
  </si>
  <si>
    <t>t4</t>
  </si>
  <si>
    <t>o5</t>
  </si>
  <si>
    <t>t5</t>
  </si>
  <si>
    <t>o6</t>
  </si>
  <si>
    <t>t6</t>
  </si>
  <si>
    <t>o7</t>
  </si>
  <si>
    <t>t7</t>
  </si>
  <si>
    <t>o8</t>
  </si>
  <si>
    <t>t8</t>
  </si>
  <si>
    <t>o9</t>
  </si>
  <si>
    <t>t9</t>
  </si>
  <si>
    <t>o10</t>
  </si>
  <si>
    <t>t10</t>
  </si>
  <si>
    <t>o11</t>
  </si>
  <si>
    <t>t11</t>
  </si>
  <si>
    <t>o12</t>
  </si>
  <si>
    <t>t12</t>
  </si>
  <si>
    <t>o13</t>
  </si>
  <si>
    <t>t13</t>
  </si>
  <si>
    <t>o14</t>
  </si>
  <si>
    <t>t14</t>
  </si>
  <si>
    <t>o15</t>
  </si>
  <si>
    <t>t15</t>
  </si>
  <si>
    <t>o16</t>
  </si>
  <si>
    <t>t16</t>
  </si>
  <si>
    <t>o17</t>
  </si>
  <si>
    <t>t17</t>
  </si>
  <si>
    <t>o18</t>
  </si>
  <si>
    <t>t18</t>
  </si>
  <si>
    <t>x!A192</t>
  </si>
  <si>
    <t>Kriterium 1</t>
  </si>
  <si>
    <t>Kriterium 2</t>
  </si>
  <si>
    <t>Coût 1</t>
  </si>
  <si>
    <t>Coût 2</t>
  </si>
  <si>
    <t>R13</t>
  </si>
  <si>
    <t>R14</t>
  </si>
  <si>
    <t>R15</t>
  </si>
  <si>
    <t>l</t>
  </si>
  <si>
    <t>u</t>
  </si>
  <si>
    <t>Comparaison 1</t>
  </si>
  <si>
    <t>Comparaison 2</t>
  </si>
  <si>
    <t>CUSTOMER RELATIONSHIP</t>
  </si>
  <si>
    <t>/</t>
  </si>
  <si>
    <t>REVENUE STREAMS</t>
  </si>
  <si>
    <t>COST STRUCTURE</t>
  </si>
  <si>
    <t>CUSTOMER SEGMENTS</t>
  </si>
  <si>
    <t>CHANNELS</t>
  </si>
  <si>
    <t>KEY RESSOURCES</t>
  </si>
  <si>
    <t>KEY ACTIVITIES</t>
  </si>
  <si>
    <t>KEY PARTNERSHIP</t>
  </si>
  <si>
    <t>Kreisgrösse</t>
  </si>
  <si>
    <t>Anzahl</t>
  </si>
  <si>
    <t>Reason 2</t>
  </si>
  <si>
    <t>Reason 3</t>
  </si>
  <si>
    <t>Reason 4</t>
  </si>
  <si>
    <t>Reason 5</t>
  </si>
  <si>
    <t>Reason 6</t>
  </si>
  <si>
    <t>Reason 7</t>
  </si>
  <si>
    <t>Reason 8</t>
  </si>
  <si>
    <t>Reason 9</t>
  </si>
  <si>
    <t>Reason 10</t>
  </si>
  <si>
    <t>Reason 11</t>
  </si>
  <si>
    <t>Reason 12</t>
  </si>
  <si>
    <t>Reason 13</t>
  </si>
  <si>
    <t>Reason 14</t>
  </si>
  <si>
    <t>Reason 15</t>
  </si>
  <si>
    <t>Reason 16</t>
  </si>
  <si>
    <t>Reason 17</t>
  </si>
  <si>
    <t>Reason 18</t>
  </si>
  <si>
    <t>Reason 19</t>
  </si>
  <si>
    <t>Reason 20</t>
  </si>
  <si>
    <t>Ursachen des Problems</t>
  </si>
  <si>
    <t>Ranking</t>
  </si>
  <si>
    <t>P A R E T O   D I A G R A M M</t>
  </si>
  <si>
    <t>D I A G R A M M E   D E   P A R E T O</t>
  </si>
  <si>
    <t>Kundenzufriedenheit</t>
  </si>
  <si>
    <t>Rentabilität</t>
  </si>
  <si>
    <t>Möchten Sie das Programm "Strategisches Management" öffnen?</t>
  </si>
  <si>
    <t>Prozess</t>
  </si>
  <si>
    <t>Einheit</t>
  </si>
  <si>
    <t>Aktueller Wert</t>
  </si>
  <si>
    <t>Verbesserung / Verschlechterung</t>
  </si>
  <si>
    <t>Idee 1</t>
  </si>
  <si>
    <t>Idee 2</t>
  </si>
  <si>
    <t>Idee 3</t>
  </si>
  <si>
    <t>Idee 4</t>
  </si>
  <si>
    <t>Idee 5</t>
  </si>
  <si>
    <t>absolut</t>
  </si>
  <si>
    <t>%</t>
  </si>
  <si>
    <t>Gewinnmarge</t>
  </si>
  <si>
    <t>Anzahl Kunden</t>
  </si>
  <si>
    <t>STK</t>
  </si>
  <si>
    <t>Vertriebskosten</t>
  </si>
  <si>
    <t>Mio. SFr.</t>
  </si>
  <si>
    <t>Processus</t>
  </si>
  <si>
    <t>Unité</t>
  </si>
  <si>
    <t>Valeur actuelle</t>
  </si>
  <si>
    <t>Amélioration / détérioration</t>
  </si>
  <si>
    <t>absolue</t>
  </si>
  <si>
    <t>Stellen Sie sicher, dass die Datei "02_StrategicManagement.exe" im selben Verzeichnis abgelegt ist!</t>
  </si>
  <si>
    <t xml:space="preserve">P R O Z E S S </t>
  </si>
  <si>
    <t>P R O C E S S U S</t>
  </si>
  <si>
    <t>Name</t>
  </si>
  <si>
    <t>Nom</t>
  </si>
  <si>
    <t>Verantwortung</t>
  </si>
  <si>
    <t>Responsable</t>
  </si>
  <si>
    <t>aktualisiert am:</t>
  </si>
  <si>
    <t>actualisé le :</t>
  </si>
  <si>
    <t>Anderer Prozess</t>
  </si>
  <si>
    <t>Autre Processus</t>
  </si>
  <si>
    <t>Nächste Seite</t>
  </si>
  <si>
    <t>Page suivante</t>
  </si>
  <si>
    <t>Beginn/Ende</t>
  </si>
  <si>
    <t>Début/Fin</t>
  </si>
  <si>
    <t>Anschluss</t>
  </si>
  <si>
    <t>Lien</t>
  </si>
  <si>
    <t>Dokument</t>
  </si>
  <si>
    <t>Document</t>
  </si>
  <si>
    <t>Entscheid</t>
  </si>
  <si>
    <t>Décision</t>
  </si>
  <si>
    <t>Forts.</t>
  </si>
  <si>
    <t>Suite</t>
  </si>
  <si>
    <t>ja</t>
  </si>
  <si>
    <t>oui</t>
  </si>
  <si>
    <t>nein</t>
  </si>
  <si>
    <t xml:space="preserve">non </t>
  </si>
  <si>
    <t>S. 2</t>
  </si>
  <si>
    <t>p. 2</t>
  </si>
  <si>
    <t>Nr. Prozess</t>
  </si>
  <si>
    <t>No. processus</t>
  </si>
  <si>
    <t>Text</t>
  </si>
  <si>
    <t>Texte</t>
  </si>
  <si>
    <t>Voulez-vous ouvrir le programme "Tableau de bord"?</t>
  </si>
  <si>
    <t>Stellen Sie sicher, dass die Datei "01_Cockpit.exe" im selben Verzeichnis abgelegt ist!</t>
  </si>
  <si>
    <t>Assurez-vous, que le fichier "01_Cockpit.exe" se touve dans le même répertoire!</t>
  </si>
  <si>
    <t>Ideen</t>
  </si>
  <si>
    <t>Idées</t>
  </si>
  <si>
    <t>Gestion des idées</t>
  </si>
  <si>
    <t>Andere Dokumente öffen</t>
  </si>
  <si>
    <t>Ouvrir autres documents</t>
  </si>
  <si>
    <t>Idee</t>
  </si>
  <si>
    <t>Idée</t>
  </si>
  <si>
    <t>Idee 6</t>
  </si>
  <si>
    <t>I D E E   V E R G L E I C H S  - M A T R I X</t>
  </si>
  <si>
    <t>M A T R I C E  D E  C O M P A R A I S O N   D' I D É E S</t>
  </si>
  <si>
    <t>F E H L E R A N A L Y S E</t>
  </si>
  <si>
    <t>A N A L Y S E   D E S   E R R E U R E S</t>
  </si>
  <si>
    <t>Prozess / Produkt / Dienstleistung</t>
  </si>
  <si>
    <t>Processus / Produit / Prestation de service</t>
  </si>
  <si>
    <t>Fehler</t>
  </si>
  <si>
    <t>Erreur</t>
  </si>
  <si>
    <t>Raisons du problème</t>
  </si>
  <si>
    <t>Error 1</t>
  </si>
  <si>
    <t>Error 2</t>
  </si>
  <si>
    <t>Error 3</t>
  </si>
  <si>
    <t>Error 4</t>
  </si>
  <si>
    <t>Error 5</t>
  </si>
  <si>
    <t>Error 6</t>
  </si>
  <si>
    <t>Error 7</t>
  </si>
  <si>
    <t>Error 8</t>
  </si>
  <si>
    <t>Error 9</t>
  </si>
  <si>
    <t>Error 10</t>
  </si>
  <si>
    <t>Error 11</t>
  </si>
  <si>
    <t>Error 12</t>
  </si>
  <si>
    <t>Error 13</t>
  </si>
  <si>
    <t>Error 14</t>
  </si>
  <si>
    <t>Error 15</t>
  </si>
  <si>
    <t>Error 16</t>
  </si>
  <si>
    <t>Error 17</t>
  </si>
  <si>
    <t>Error 18</t>
  </si>
  <si>
    <t>Error 19</t>
  </si>
  <si>
    <t>Raisons</t>
  </si>
  <si>
    <t>Ursachen</t>
  </si>
  <si>
    <t>Probabilité d'occurence</t>
  </si>
  <si>
    <t>Auftretenswahr-scheinlichkeit</t>
  </si>
  <si>
    <t>Häufig-keit</t>
  </si>
  <si>
    <t>Fré-quence</t>
  </si>
  <si>
    <t>Réclamations</t>
  </si>
  <si>
    <t>Reklamationen</t>
  </si>
  <si>
    <t>Reklamation 1</t>
  </si>
  <si>
    <t>Reklamation 2</t>
  </si>
  <si>
    <t>Reklamation 3</t>
  </si>
  <si>
    <t>Reklamation 4</t>
  </si>
  <si>
    <t>Reklamation 5</t>
  </si>
  <si>
    <t>Reklamation 6</t>
  </si>
  <si>
    <t>Reklamation 7</t>
  </si>
  <si>
    <t>Reklamation 8</t>
  </si>
  <si>
    <t>Reklamation 9</t>
  </si>
  <si>
    <t>Reklamation 10</t>
  </si>
  <si>
    <t>Reklamation 11</t>
  </si>
  <si>
    <t>Reklamation 12</t>
  </si>
  <si>
    <t>Reklamation 13</t>
  </si>
  <si>
    <t>Reklamation 14</t>
  </si>
  <si>
    <t>Reklamation 15</t>
  </si>
  <si>
    <t>Reklamation 16</t>
  </si>
  <si>
    <t>Reklamation 17</t>
  </si>
  <si>
    <t>Reklamation 18</t>
  </si>
  <si>
    <t>Reklamation 19</t>
  </si>
  <si>
    <t>R É C L A M A T I O N S   D E S   C L I E N T S</t>
  </si>
  <si>
    <t>K U N D E N R E K L A M A T I O N E N</t>
  </si>
  <si>
    <t>du:</t>
  </si>
  <si>
    <t>bis:</t>
  </si>
  <si>
    <t>au:</t>
  </si>
  <si>
    <t>Process 1</t>
  </si>
  <si>
    <t>Process 2</t>
  </si>
  <si>
    <t>Process 3</t>
  </si>
  <si>
    <t>Process 4</t>
  </si>
  <si>
    <t>Process 5</t>
  </si>
  <si>
    <t>Process 6</t>
  </si>
  <si>
    <t>Process 7</t>
  </si>
  <si>
    <t>Process 8</t>
  </si>
  <si>
    <t>Process 9</t>
  </si>
  <si>
    <t>Process 10</t>
  </si>
  <si>
    <t>Process 11</t>
  </si>
  <si>
    <t>Process 12</t>
  </si>
  <si>
    <t>Process 13</t>
  </si>
  <si>
    <t>Process 14</t>
  </si>
  <si>
    <t>Process 15</t>
  </si>
  <si>
    <t>Process 16</t>
  </si>
  <si>
    <t>Process 17</t>
  </si>
  <si>
    <t>Process 18</t>
  </si>
  <si>
    <t>Process 19</t>
  </si>
  <si>
    <t>Process 20</t>
  </si>
  <si>
    <t>vom:</t>
  </si>
  <si>
    <t>Idee 7</t>
  </si>
  <si>
    <t>Idee 8</t>
  </si>
  <si>
    <t>Idee 9</t>
  </si>
  <si>
    <t>Idee 10</t>
  </si>
  <si>
    <t>Idee 11</t>
  </si>
  <si>
    <t>Idee 12</t>
  </si>
  <si>
    <t>Idee 13</t>
  </si>
  <si>
    <t>Idee 14</t>
  </si>
  <si>
    <t>Idee 15</t>
  </si>
  <si>
    <t>Idee 16</t>
  </si>
  <si>
    <t>Idee 17</t>
  </si>
  <si>
    <t>Idee 18</t>
  </si>
  <si>
    <t>Idee 19</t>
  </si>
  <si>
    <t>Kunden-nutzen</t>
  </si>
  <si>
    <t>Idee 20</t>
  </si>
  <si>
    <t>Kosten-einsparung</t>
  </si>
  <si>
    <t>Économies</t>
  </si>
  <si>
    <t>KUNDENNUTZEN</t>
  </si>
  <si>
    <t>PLUS VALUE POUR LES CLIENTS</t>
  </si>
  <si>
    <t>Investitionen</t>
  </si>
  <si>
    <t>Investisse-ments</t>
  </si>
  <si>
    <t>EINSPARUNGEN - INVESTITIONEN</t>
  </si>
  <si>
    <t>ÉCONOMIES - INVESTISSEMENTS</t>
  </si>
  <si>
    <t>Mesures</t>
  </si>
  <si>
    <t>Massnahmen</t>
  </si>
  <si>
    <t>Möchten Sie das Programm "Balanced Scorecard" öffnen?</t>
  </si>
  <si>
    <t>Voulez-vous ouvrir le programme "Balanced Scorcard"?</t>
  </si>
  <si>
    <t>Selektive Strategien</t>
  </si>
  <si>
    <t>Stratégies sélectives</t>
  </si>
  <si>
    <t>Prozesse</t>
  </si>
  <si>
    <t>Analyse des erreurs</t>
  </si>
  <si>
    <t>Interne</t>
  </si>
  <si>
    <t>Externe</t>
  </si>
  <si>
    <t>Intern</t>
  </si>
  <si>
    <t>Extern</t>
  </si>
  <si>
    <t>Innovation</t>
  </si>
  <si>
    <t>Finanzen</t>
  </si>
  <si>
    <t>Finances</t>
  </si>
  <si>
    <t>Ziel 1</t>
  </si>
  <si>
    <t>Indikator 1</t>
  </si>
  <si>
    <t>Strategie 1</t>
  </si>
  <si>
    <t>Ziel 2</t>
  </si>
  <si>
    <t>Ziel 3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</si>
  <si>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</si>
  <si>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</si>
  <si>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</si>
  <si>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</si>
  <si>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</si>
  <si>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</si>
  <si>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</si>
  <si>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</si>
  <si>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</si>
  <si>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</si>
  <si>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</si>
  <si>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</si>
  <si>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</si>
  <si>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</si>
  <si>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</si>
  <si>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</si>
  <si>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</si>
  <si>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</si>
  <si>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s19</t>
  </si>
  <si>
    <t>o37</t>
  </si>
  <si>
    <t>o38</t>
  </si>
  <si>
    <t>s20</t>
  </si>
  <si>
    <t>o39</t>
  </si>
  <si>
    <t>o40</t>
  </si>
  <si>
    <t>s21</t>
  </si>
  <si>
    <t>o41</t>
  </si>
  <si>
    <t>o42</t>
  </si>
  <si>
    <t>s22</t>
  </si>
  <si>
    <t>o43</t>
  </si>
  <si>
    <t>o44</t>
  </si>
  <si>
    <t>s23</t>
  </si>
  <si>
    <t>o45</t>
  </si>
  <si>
    <t>o46</t>
  </si>
  <si>
    <t>s24</t>
  </si>
  <si>
    <t>o47</t>
  </si>
  <si>
    <t>o48</t>
  </si>
  <si>
    <t>s25</t>
  </si>
  <si>
    <t>o49</t>
  </si>
  <si>
    <t>o50</t>
  </si>
  <si>
    <t>s26</t>
  </si>
  <si>
    <t>o51</t>
  </si>
  <si>
    <t>o52</t>
  </si>
  <si>
    <t>s27</t>
  </si>
  <si>
    <t>o53</t>
  </si>
  <si>
    <t>o54</t>
  </si>
  <si>
    <t>s28</t>
  </si>
  <si>
    <t>o55</t>
  </si>
  <si>
    <t>o56</t>
  </si>
  <si>
    <t>s29</t>
  </si>
  <si>
    <t>o57</t>
  </si>
  <si>
    <t>o58</t>
  </si>
  <si>
    <t>s30</t>
  </si>
  <si>
    <t>o59</t>
  </si>
  <si>
    <t>o60</t>
  </si>
  <si>
    <t>s31</t>
  </si>
  <si>
    <t>o61</t>
  </si>
  <si>
    <t>o62</t>
  </si>
  <si>
    <t>s32</t>
  </si>
  <si>
    <t>o63</t>
  </si>
  <si>
    <t>o64</t>
  </si>
  <si>
    <t>s33</t>
  </si>
  <si>
    <t>o65</t>
  </si>
  <si>
    <t>o66</t>
  </si>
  <si>
    <t>s34</t>
  </si>
  <si>
    <t>o67</t>
  </si>
  <si>
    <t>o68</t>
  </si>
  <si>
    <t>s35</t>
  </si>
  <si>
    <t>o69</t>
  </si>
  <si>
    <t>o70</t>
  </si>
  <si>
    <t>s36</t>
  </si>
  <si>
    <t>o71</t>
  </si>
  <si>
    <t>o72</t>
  </si>
  <si>
    <t>s37</t>
  </si>
  <si>
    <t>o73</t>
  </si>
  <si>
    <t>o74</t>
  </si>
  <si>
    <t>s38</t>
  </si>
  <si>
    <t>o75</t>
  </si>
  <si>
    <t>o76</t>
  </si>
  <si>
    <t>s39</t>
  </si>
  <si>
    <t>o77</t>
  </si>
  <si>
    <t>o78</t>
  </si>
  <si>
    <t>s40</t>
  </si>
  <si>
    <t>o79</t>
  </si>
  <si>
    <t>o80</t>
  </si>
  <si>
    <t>Projet 1</t>
  </si>
  <si>
    <t xml:space="preserve">
</t>
  </si>
  <si>
    <t>Bezeichnung</t>
  </si>
  <si>
    <t>Désignation</t>
  </si>
  <si>
    <t>Hauptstärken</t>
  </si>
  <si>
    <t>Forces principales</t>
  </si>
  <si>
    <t>Hauptschwächen</t>
  </si>
  <si>
    <t>Faiblesses principales</t>
  </si>
  <si>
    <t>I N N O V A T I O N S M A N A G E M E N T</t>
  </si>
  <si>
    <t>G E S T I O N   D E    L ' I N N O V A T I O N</t>
  </si>
  <si>
    <t>A N A L Y S E</t>
  </si>
  <si>
    <t>S T A K E H O L D E R - A N A L Y S E</t>
  </si>
  <si>
    <t>A N A L Y S E   D E S   P A R T I E S   P R E N A N T E S</t>
  </si>
  <si>
    <t>weites Umfeld</t>
  </si>
  <si>
    <t>Contexte large</t>
  </si>
  <si>
    <t>nahes Umfeld</t>
  </si>
  <si>
    <t>Contexte restreint</t>
  </si>
  <si>
    <t>häufiger Kontakt</t>
  </si>
  <si>
    <t>contacts fréquents</t>
  </si>
  <si>
    <t>regelmässiger Kontakt</t>
  </si>
  <si>
    <t>contacts réguliers</t>
  </si>
  <si>
    <t>seltener Kontakt</t>
  </si>
  <si>
    <t>contacts rares</t>
  </si>
  <si>
    <t>grande</t>
  </si>
  <si>
    <t>gross</t>
  </si>
  <si>
    <t>grand</t>
  </si>
  <si>
    <t>Einfluss der Stakeholder</t>
  </si>
  <si>
    <t>Influence des parties prenantes</t>
  </si>
  <si>
    <t>petite</t>
  </si>
  <si>
    <t>klein</t>
  </si>
  <si>
    <t>petit</t>
  </si>
  <si>
    <t>Intersse der Stakeholder</t>
  </si>
  <si>
    <t>Intérêt des parties prenantes</t>
  </si>
  <si>
    <t>Anspruchsgruppe</t>
  </si>
  <si>
    <t>Groupe de parties prenantes</t>
  </si>
  <si>
    <t>Interessen, Erwartungen</t>
  </si>
  <si>
    <t>Intérêt, attentes</t>
  </si>
  <si>
    <t>Stärke der Interessen</t>
  </si>
  <si>
    <t>Etendue de l'intérêt</t>
  </si>
  <si>
    <t>Höhe des Einflusses</t>
  </si>
  <si>
    <t>Etendue de l'influence</t>
  </si>
  <si>
    <t>Chancen (+) und 
Gefahren (-)</t>
  </si>
  <si>
    <t>Chances (+) et 
Dangers (-)</t>
  </si>
  <si>
    <t>Grösse der Gruppe</t>
  </si>
  <si>
    <t>Taille du groupe</t>
  </si>
  <si>
    <t>Groupe 1</t>
  </si>
  <si>
    <t>Z I E L E  &amp;  S T R A T E G I E N    I N N O V A T I O N</t>
  </si>
  <si>
    <t>S T R A T E G I E S  &amp;  O B J E C T I F S   I N N O V A T I O N</t>
  </si>
  <si>
    <t>Möchten Sie das Programm "Business Plan" öffnen?</t>
  </si>
  <si>
    <t>Voulez-vous ouvrir le programme "Business Plan"?</t>
  </si>
  <si>
    <t>Stellen Sie sicher, dass die Datei "04_BusinessPlan.exe" im selben Verzeichnis abgelegt ist!</t>
  </si>
  <si>
    <t>Assurez-vous, que le fichier  "04_BusinessPlan.exe" se touve dans le même répertoire!</t>
  </si>
  <si>
    <t>U M S E T Z U N G  &amp;  C O N T R O L L I N G</t>
  </si>
  <si>
    <t>N U T Z E N</t>
  </si>
  <si>
    <t>P L U S   V A L U E</t>
  </si>
  <si>
    <t>E N T W I C K L U N G S T R E N D S</t>
  </si>
  <si>
    <t>T E N D A N C E S   D E   D É V E L O P P E M E N T</t>
  </si>
  <si>
    <t>Auswirkungen auf die Innovation</t>
  </si>
  <si>
    <t>Impact sur l'innovation</t>
  </si>
  <si>
    <t>Politische Trends</t>
  </si>
  <si>
    <t>Tendances politiques</t>
  </si>
  <si>
    <t>Ökonomische Trends</t>
  </si>
  <si>
    <t>Tendances économiques</t>
  </si>
  <si>
    <t>Soziologische Trends</t>
  </si>
  <si>
    <t>Tendances sociologiques</t>
  </si>
  <si>
    <t>Technologische Trends</t>
  </si>
  <si>
    <t>Tendances technologiques</t>
  </si>
  <si>
    <t>Rechtliche Trends</t>
  </si>
  <si>
    <t>Tendances légales</t>
  </si>
  <si>
    <t>Ökologische Trends</t>
  </si>
  <si>
    <t>Tendances écologiques</t>
  </si>
  <si>
    <t>Mögliche Massnahmen / Innovationen</t>
  </si>
  <si>
    <t>Mesures / innovations possibles</t>
  </si>
  <si>
    <t xml:space="preserve">I N N O V A T I O N S P O T E N Z I A L </t>
  </si>
  <si>
    <t>P O T E N T I E L   D ' I N N O V A T I O N</t>
  </si>
  <si>
    <t>Mögliche Innovationen</t>
  </si>
  <si>
    <t>Innovations possibles</t>
  </si>
  <si>
    <t>Mögliche Innovationsstrategie</t>
  </si>
  <si>
    <t>Stratégie d'innovation possible</t>
  </si>
  <si>
    <t>Innovations</t>
  </si>
  <si>
    <t>Innovationen</t>
  </si>
  <si>
    <t>Innovations possibles pour éviter les erreurs</t>
  </si>
  <si>
    <t>Mögliche Innovationen zur Vermeidung der Fehler</t>
  </si>
  <si>
    <t>Mögliche Innovationen zur Vermeidung der Reklamationen</t>
  </si>
  <si>
    <t>Innovations possibles pour éviter les réclamations</t>
  </si>
  <si>
    <t>Reklamation 20</t>
  </si>
  <si>
    <t>Bereich</t>
  </si>
  <si>
    <t>Domaine</t>
  </si>
  <si>
    <t>??</t>
  </si>
  <si>
    <t>Quotient</t>
  </si>
  <si>
    <t>?</t>
  </si>
  <si>
    <t>I N N O V A T I O N S P O R T F O L I O</t>
  </si>
  <si>
    <t>Inno. 1</t>
  </si>
  <si>
    <t>Inno. 2</t>
  </si>
  <si>
    <t>K O S T E N  -  N U T Z E N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</si>
  <si>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</si>
  <si>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</si>
  <si>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</si>
  <si>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</si>
  <si>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</si>
  <si>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</si>
  <si>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</si>
  <si>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</si>
  <si>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</si>
  <si>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</si>
  <si>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</si>
  <si>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</si>
  <si>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</si>
  <si>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</si>
  <si>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</si>
  <si>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</si>
  <si>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</si>
  <si>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</si>
  <si>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</si>
  <si>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</si>
  <si>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Innovation 1</t>
  </si>
  <si>
    <t>Innovation 2</t>
  </si>
  <si>
    <t>Kosten</t>
  </si>
  <si>
    <t>Nutzen</t>
  </si>
  <si>
    <t>Avantages</t>
  </si>
  <si>
    <t>Produkteinnovation</t>
  </si>
  <si>
    <t>Prozessinnovation</t>
  </si>
  <si>
    <t>Organisatorische Innovation</t>
  </si>
  <si>
    <t>Innovation produit</t>
  </si>
  <si>
    <t>Dienstleistungs-innovation</t>
  </si>
  <si>
    <t>Efforts</t>
  </si>
  <si>
    <t>Innovation prest. service</t>
  </si>
  <si>
    <t>Innovation organisationnelle</t>
  </si>
  <si>
    <t>grands</t>
  </si>
  <si>
    <t>petits</t>
  </si>
  <si>
    <t>fördern</t>
  </si>
  <si>
    <t>promouvoir</t>
  </si>
  <si>
    <t>Risiko vermindern</t>
  </si>
  <si>
    <t>Diminuer le risque</t>
  </si>
  <si>
    <t>Rentabilität erhöhen</t>
  </si>
  <si>
    <t>Augmenter la rentabilité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</si>
  <si>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</si>
  <si>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</si>
  <si>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</si>
  <si>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</si>
  <si>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</si>
  <si>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</si>
  <si>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</si>
  <si>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</si>
  <si>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</si>
  <si>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</si>
  <si>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</si>
  <si>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</si>
  <si>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</si>
  <si>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</si>
  <si>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</si>
  <si>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Aufwand</t>
  </si>
  <si>
    <t>Innovationsziele</t>
  </si>
  <si>
    <t>Objectifs Innovation</t>
  </si>
  <si>
    <t>C O C K P I T   I N N O V A T I O N</t>
  </si>
  <si>
    <t>Möchten Sie das Programm "Projektmanagement" öffnen?</t>
  </si>
  <si>
    <t>Voulez-vous ouvrir le programme "Gestion de projets"?</t>
  </si>
  <si>
    <t>Stellen Sie sicher, dass die Datei "03_ProjectManagement.exe" im selben Verzeichnis abgelegt ist!</t>
  </si>
  <si>
    <t>Assurez-vous, que le fichier "03_ProjectManagement.exe" se touve dans le même répertoire!</t>
  </si>
  <si>
    <t>Möchten Sie das Programm "Führungsockpit" öffnen?</t>
  </si>
  <si>
    <t>I N N O V A T I O N S K O S T E N</t>
  </si>
  <si>
    <t>C O Û T S   D E   L ' I N N O V A T I O N</t>
  </si>
  <si>
    <t>Vision &amp;  Strategien</t>
  </si>
  <si>
    <t>Explorationsphase</t>
  </si>
  <si>
    <t>Kreativphase</t>
  </si>
  <si>
    <t>Innovationsphase</t>
  </si>
  <si>
    <t>Phase d'exploration</t>
  </si>
  <si>
    <t>Phase créative</t>
  </si>
  <si>
    <t>Phase de l'innovation</t>
  </si>
  <si>
    <t>Analyse</t>
  </si>
  <si>
    <t>Innovationsstrategien</t>
  </si>
  <si>
    <t>Ideenmanagement</t>
  </si>
  <si>
    <t>Business Plan</t>
  </si>
  <si>
    <t>Objectifs &amp; stratégies</t>
  </si>
  <si>
    <t>INNOVATIONSKULTUR</t>
  </si>
  <si>
    <t>CULTURE  D'INNOVATION</t>
  </si>
  <si>
    <t>Produkte</t>
  </si>
  <si>
    <t>Produits</t>
  </si>
  <si>
    <t>Fehleranalyse</t>
  </si>
  <si>
    <t>Ursache - Wirkung</t>
  </si>
  <si>
    <t>Causes et effets</t>
  </si>
  <si>
    <t>Kundenreklamationen</t>
  </si>
  <si>
    <t>Réclamations clients</t>
  </si>
  <si>
    <t>Trends</t>
  </si>
  <si>
    <t>SWOT</t>
  </si>
  <si>
    <t>Ideenfindung</t>
  </si>
  <si>
    <t>Entscheidung</t>
  </si>
  <si>
    <t>Recherche d'idées</t>
  </si>
  <si>
    <t>I D E E N M A N A G E M E N T</t>
  </si>
  <si>
    <t>G E S T I O N   D E S   I D É E S</t>
  </si>
  <si>
    <t>Kreativitätstechniken</t>
  </si>
  <si>
    <t>Kundennutzen</t>
  </si>
  <si>
    <t>Bewertungsmatix</t>
  </si>
  <si>
    <t>Matrice d'évaluation</t>
  </si>
  <si>
    <t>Innovationskosten</t>
  </si>
  <si>
    <t>Varianten</t>
  </si>
  <si>
    <t>Variantes</t>
  </si>
  <si>
    <t>Kosten - Nutzen</t>
  </si>
  <si>
    <t>V A R I A N T E N B E W E R T U N G</t>
  </si>
  <si>
    <t>É V A L U A T I O N   D E S   V A R I A N T E S</t>
  </si>
  <si>
    <t>Indikator</t>
  </si>
  <si>
    <t>Indicateur</t>
  </si>
  <si>
    <t>Cockpit</t>
  </si>
  <si>
    <t>Tableau de bord</t>
  </si>
  <si>
    <t>Projektmanagement</t>
  </si>
  <si>
    <t>Innovationscockpit</t>
  </si>
  <si>
    <t>Tableau de bord innovation</t>
  </si>
  <si>
    <t>Portfolio</t>
  </si>
  <si>
    <t>Portfeuil</t>
  </si>
  <si>
    <t>Pareto-Diagramm</t>
  </si>
  <si>
    <t>Diagramme de Pareto</t>
  </si>
  <si>
    <t>Balanced Scorecard</t>
  </si>
  <si>
    <t>Führungscockpit</t>
  </si>
  <si>
    <t>Tableau de bord direction</t>
  </si>
  <si>
    <t>P O R T F E U I L   D E S    I N N O V A T I O N S</t>
  </si>
  <si>
    <t>T A B L E A U   D E   B O R D   I N N O V A T I O N</t>
  </si>
  <si>
    <t>R É A L I S A T I O N   &amp;  C O N T R O L L I N G</t>
  </si>
  <si>
    <t>Verbesserungen</t>
  </si>
  <si>
    <t>Améliorations</t>
  </si>
  <si>
    <t>Anz. Verbes.</t>
  </si>
  <si>
    <t>Nbr. amélio.</t>
  </si>
  <si>
    <t>Datum</t>
  </si>
  <si>
    <t>Date</t>
  </si>
  <si>
    <t>A N A L Y S E   D E S   P R O C E S S U S</t>
  </si>
  <si>
    <t>A N A L Y S E   D E R   P R O Z E S S E</t>
  </si>
  <si>
    <t>Key Partnerships</t>
  </si>
  <si>
    <t>Key Activities</t>
  </si>
  <si>
    <t>Value Propositions</t>
  </si>
  <si>
    <t>Customer Relationship</t>
  </si>
  <si>
    <t>Customer Segments</t>
  </si>
  <si>
    <t>Key Resources</t>
  </si>
  <si>
    <t>Channels</t>
  </si>
  <si>
    <t>Cost Structure</t>
  </si>
  <si>
    <t>Revenue Streams</t>
  </si>
  <si>
    <t xml:space="preserve"> T H E   B U S I N E S S   M O D E L   C A N V A S</t>
  </si>
  <si>
    <t>T H E   B U S I N E S S   M O D E L   C A N V A S</t>
  </si>
  <si>
    <t>T H E   B U S I N E S S    M O D E L   C A N V A S</t>
  </si>
  <si>
    <t>Entwickelt für:</t>
  </si>
  <si>
    <t>Conçu pour:</t>
  </si>
  <si>
    <t>Creato per:</t>
  </si>
  <si>
    <t>Entwickelt von:</t>
  </si>
  <si>
    <t>Conçu par:</t>
  </si>
  <si>
    <t>Creato da:</t>
  </si>
  <si>
    <t>Aktualisiert am:</t>
  </si>
  <si>
    <t>Mis à jour le :</t>
  </si>
  <si>
    <t>Aggiornato in data:</t>
  </si>
  <si>
    <t xml:space="preserve">Was bieten Sie den Kunden an? </t>
  </si>
  <si>
    <t>Qu’offrez vous aux clients ?</t>
  </si>
  <si>
    <t>Che cosa offrite ai clienti?</t>
  </si>
  <si>
    <t>Welche Produkte wünschen sie wirklich?</t>
  </si>
  <si>
    <t>Quels sont les produits qu’ils désirent véritablement ?</t>
  </si>
  <si>
    <t>Quali prodotti desiderano veramente?</t>
  </si>
  <si>
    <t>Sind sie interessiert?</t>
  </si>
  <si>
    <t>Sont-ils intéressés ?</t>
  </si>
  <si>
    <t>Sono interessati?</t>
  </si>
  <si>
    <t>Welche Beziehungen bauen Sie mit den einzelnen Kundensegmenten auf? persönlich? virtuell? zurückhaltend? etc.</t>
  </si>
  <si>
    <t>Quelles sont les relations que vous souhaitez entretenir avec les différents segments de clients ? Relations personnelles ? Virtuelles ? Réservées ? etc.</t>
  </si>
  <si>
    <t>Che genere di relazioni intrattenete con i vari segmenti di clientela? Relazioni personali? Virtuali? Confidenziali? Ecc.</t>
  </si>
  <si>
    <t xml:space="preserve"> </t>
  </si>
  <si>
    <t>Wie erreichen Sie den Kunden?</t>
  </si>
  <si>
    <t>Comment atteindre le client ?</t>
  </si>
  <si>
    <t>Come raggiungete i clienti?</t>
  </si>
  <si>
    <t>Wer sind die Kunden?</t>
  </si>
  <si>
    <t>Qui sont nos clients ?</t>
  </si>
  <si>
    <t>Chi sono i clienti?</t>
  </si>
  <si>
    <t>Was sind ihre Bedürfnisse?</t>
  </si>
  <si>
    <t>Quels sont leurs besoins ?</t>
  </si>
  <si>
    <t>Quali sono le loro esigenze?</t>
  </si>
  <si>
    <t>Was sind die Kunden bereit zu zahlen? Wie will der Kunde bezahlen? Wie werden Einnahmen generiert?</t>
  </si>
  <si>
    <t>Quel montant le client est-il d’accord de payer ? Comment le client veut-il payer ? Comment générer des rentrées ?</t>
  </si>
  <si>
    <t>Quanto sono disposti a pagare i clienti? Come preferiscono pagare i clienti? Come generare entrate?</t>
  </si>
  <si>
    <t xml:space="preserve">Wie möchten die Kunden beliefert werden? </t>
  </si>
  <si>
    <t xml:space="preserve">Comment les clients souhaitent-ils être fournis ? </t>
  </si>
  <si>
    <t xml:space="preserve">Come vogliono essere forniti i clienti? </t>
  </si>
  <si>
    <t>Welche Distributionskanäle?</t>
  </si>
  <si>
    <t>Quels sont les canaux de distribution ?</t>
  </si>
  <si>
    <t>Quali sono i canali di distribuzione?</t>
  </si>
  <si>
    <t>Welche Kernkompetenzen sind nötig?</t>
  </si>
  <si>
    <t>Quelles sont les compétences clés indispensables?</t>
  </si>
  <si>
    <t>Quali competenze chiave sono indispensabili?</t>
  </si>
  <si>
    <t>Welche Ressourcen sind unbedingt nötig?</t>
  </si>
  <si>
    <t>Quelles sont les ressources indispensables?</t>
  </si>
  <si>
    <t>Quali risorse sono indispensabili?</t>
  </si>
  <si>
    <t>Welche Trümpfe habe ich?</t>
  </si>
  <si>
    <t>Quels sont mes « atouts » ?</t>
  </si>
  <si>
    <t>Quali sono i miei "atout" ?</t>
  </si>
  <si>
    <t xml:space="preserve">Welche Partner und Lieferanten bringen mir einen Mehrwert? </t>
  </si>
  <si>
    <t xml:space="preserve">Quels sont les partenaires et les fournisseurs qui m’apportent une plus-value ? </t>
  </si>
  <si>
    <t xml:space="preserve">Quali partner e fornitori mi garantiscono un plusvalore? </t>
  </si>
  <si>
    <t>Von wem bin ich abhängig?</t>
  </si>
  <si>
    <t>De qui suis-je dépendant ?</t>
  </si>
  <si>
    <t>Da chi dipendo?</t>
  </si>
  <si>
    <t>Was ist die Kostenstruktur? Welche Kernelemente verursachen die höchsten Kosten?</t>
  </si>
  <si>
    <t>Quelle est la structure des coûts ? Quels sont les éléments clés qui génèrent le plus de coûts ?</t>
  </si>
  <si>
    <t>Qual è la struttura dei costi? Quali sono gli elementi chiave che generano i costi maggiori?</t>
  </si>
  <si>
    <t xml:space="preserve">Welches sind meine Kernaktivitäten? </t>
  </si>
  <si>
    <t>Quelles sont mes activités principales ?</t>
  </si>
  <si>
    <t>Quali sono le mie principali attività?</t>
  </si>
  <si>
    <t xml:space="preserve">Welche Expertise brauche ich? </t>
  </si>
  <si>
    <t>Quelle est l’expertise nécessaire ?</t>
  </si>
  <si>
    <t>Quali competenze mi servono?</t>
  </si>
  <si>
    <t>Was ist unverzichtbar?</t>
  </si>
  <si>
    <t>Qu’est-ce qui est indispensable ?</t>
  </si>
  <si>
    <t>Che cosa è indispensabile?</t>
  </si>
  <si>
    <t>C A N V A S :  S T Ä R K E N   &amp;   S C H W Ä C H E N</t>
  </si>
  <si>
    <t>C A N V A S :   F O R C E S   &amp;   F A I B L E S S E S</t>
  </si>
  <si>
    <t>C A N V A S :   S T R E N G T H   &amp;   W E A K N E S S E S</t>
  </si>
  <si>
    <t>Unsere Wertangebote (Value Proposition) entsprechen den Bedürfnissen der Kunden</t>
  </si>
  <si>
    <t>Our Value Propositions are well aligned with customer needs</t>
  </si>
  <si>
    <t>Unsere Wertangebote haben einen grossen Einfluss auf unser  Networking</t>
  </si>
  <si>
    <t>Our Value Propositions have strong network effects</t>
  </si>
  <si>
    <t>Es bestehen grosse Synergien zwischen unseren Produkten und unseren Dienstleistungen</t>
  </si>
  <si>
    <t>Il existe des synergies fortes entre nos produits et nos services</t>
  </si>
  <si>
    <t>Unsere Kunden sind  zufrieden</t>
  </si>
  <si>
    <t>Nos clients sont satisfaits</t>
  </si>
  <si>
    <t>Our customer are satisfied</t>
  </si>
  <si>
    <t>We benefit from strong margins</t>
  </si>
  <si>
    <t>Our revenues are predictable</t>
  </si>
  <si>
    <t>We have recurring Revenue Streams and frequent repeat purchases</t>
  </si>
  <si>
    <t>Our Revenue Streams are diversified</t>
  </si>
  <si>
    <t>Our Revenue Streams are sustainable</t>
  </si>
  <si>
    <t>We collect revenues before we incur expenses</t>
  </si>
  <si>
    <t>We charge for what customers are really willing to pay for</t>
  </si>
  <si>
    <t>Our pricing mechanismes capture full willingness to pay</t>
  </si>
  <si>
    <t>Our costs are predictable</t>
  </si>
  <si>
    <t>Our Cost Structure is correctly matched to our business model</t>
  </si>
  <si>
    <t>Unsere Aktivitäten sind Kosteneffizient</t>
  </si>
  <si>
    <t>Nos activités sont efficace par rapport aux coûts</t>
  </si>
  <si>
    <t>Our operations are cost-efficient</t>
  </si>
  <si>
    <t>We benefit from economies of scale</t>
  </si>
  <si>
    <t>Customer churn rates are low</t>
  </si>
  <si>
    <t>Customer base is well segmented</t>
  </si>
  <si>
    <t>We are continuously acquiring new customers</t>
  </si>
  <si>
    <t>Unsere Vertriebskanäle sind effizient</t>
  </si>
  <si>
    <t xml:space="preserve">Nos canaux de distribution sont efficients </t>
  </si>
  <si>
    <t>Our Channels are efficient</t>
  </si>
  <si>
    <t>Unsere Vertriebskanäle sind wirksam (effektiv)</t>
  </si>
  <si>
    <t>Nos canaux de distribution sont efficaces (effective)</t>
  </si>
  <si>
    <t>Our Channels are effective</t>
  </si>
  <si>
    <t>Die Penetration (Reichweite) der Vertriebskanäle ist gut</t>
  </si>
  <si>
    <t>Channel reach ist strong among customers</t>
  </si>
  <si>
    <t>Customers can easily see our Channels</t>
  </si>
  <si>
    <t>Channels are strongly integrated</t>
  </si>
  <si>
    <t xml:space="preserve">Mit den Vertriebskanäle können Synergien und Kostenvorteile realisiert werden (economies of scope, Verbundvorteile) </t>
  </si>
  <si>
    <t>Channels provide economies of scope</t>
  </si>
  <si>
    <t>Die Vertriebskanäle sind auf die Kundensegmente abgestimmt</t>
  </si>
  <si>
    <t>Les canaux de distribution sont  adaptés aux segments clients</t>
  </si>
  <si>
    <t>Channels are matched to Customer Segments</t>
  </si>
  <si>
    <t>Starke Kundenbeziehung</t>
  </si>
  <si>
    <t>Forte relations avec les clients</t>
  </si>
  <si>
    <t>Strong Customer Relationships</t>
  </si>
  <si>
    <t>La qualité de la relation correspond à la segmentation de la clientèle</t>
  </si>
  <si>
    <t>Relationship quality matches Customers Segements</t>
  </si>
  <si>
    <t>Die Kundenbindung ist so stark, dass ein Wechsel hohe Kosten für den Kunden bringt</t>
  </si>
  <si>
    <t>Les relations avec les clients sont forte. Pour le client, un changement a des coûts élevés</t>
  </si>
  <si>
    <t>Relationship bind customers through high switching costs</t>
  </si>
  <si>
    <t>Our brand is strong</t>
  </si>
  <si>
    <t>Our Key Resources are difficulte for competitiors to replicate</t>
  </si>
  <si>
    <t>Resource needs are predictable</t>
  </si>
  <si>
    <t>Wir setzen die unsere Kernressourcen zum richtigen Zeitpunkt und in der richtigen Menge ein</t>
  </si>
  <si>
    <t>Nous savons déployer nos ressources clés au bon moment et dans les bonnes quantités</t>
  </si>
  <si>
    <t>We deploy Key Resources in the right amount at the right time</t>
  </si>
  <si>
    <t>We efficiently execute Key Activities</t>
  </si>
  <si>
    <t>Our Key Activities are difficult to copy</t>
  </si>
  <si>
    <t>Execution quality is high</t>
  </si>
  <si>
    <t>Balance of in-house versus outsourced execution is ideal</t>
  </si>
  <si>
    <t>Wir sind Partnerorientiert und arbeiten falls notwendig mit ihnen zusammen.</t>
  </si>
  <si>
    <t>We are focused and work with partners when necessary</t>
  </si>
  <si>
    <t>We enjoy good working relationships with Key Partners</t>
  </si>
  <si>
    <t>Auswirkung 
(1 - 10)</t>
  </si>
  <si>
    <t>SW</t>
  </si>
  <si>
    <t>OT</t>
  </si>
  <si>
    <t>C A N V A S : C H A N C E N   &amp;   G E F A H R E N</t>
  </si>
  <si>
    <t>C A N V A S : O P P O R T U N I T É S   &amp;  D A N G E R S</t>
  </si>
  <si>
    <t>We generate recurring revenues by converting products into services</t>
  </si>
  <si>
    <t xml:space="preserve">Wir integrieren unsere Produkte und Dienstleistungen </t>
  </si>
  <si>
    <t>Nous intégrons nos produits ou services</t>
  </si>
  <si>
    <t>We integrate our products or services</t>
  </si>
  <si>
    <t>Wir befriedigen zusätzliche Kundenbedürfnisse</t>
  </si>
  <si>
    <t>Nous satisfaisons les besoins supplémentaires de nos clients</t>
  </si>
  <si>
    <t>We satisfy additional customer needs</t>
  </si>
  <si>
    <t>Es gibt Ergänzungen oder mögliche Erweiterungen für unsere Wertangebote (Value Propositions)</t>
  </si>
  <si>
    <t>A complement or  extensions of our Value Proposition is possible</t>
  </si>
  <si>
    <t>Wir können unserer Kunden zusätzliche Dienstleistungen anbieten</t>
  </si>
  <si>
    <t>We could do other jobs on behalf of our customers</t>
  </si>
  <si>
    <t>There are substitute products and services available</t>
  </si>
  <si>
    <t>Wettbewerber können den Kunden tiefere Preise und Mehrwert anbieten</t>
  </si>
  <si>
    <t>Competitors are threatening to offer better prices or value</t>
  </si>
  <si>
    <t>Wir können einmalige Umsätze  durch wiederkehrenden Einkommen ersetzen</t>
  </si>
  <si>
    <t>We can replace one-time transaction revenues with recurring revenues</t>
  </si>
  <si>
    <t>Our customers are willing to pay for other elements</t>
  </si>
  <si>
    <t>Wir haben Cross-Selling-Möglichkeit intern oder mit Partner zu tätigen</t>
  </si>
  <si>
    <t>We have cross-selling opportunities either internally or with partners</t>
  </si>
  <si>
    <t>We can add or create other Revenue Streams</t>
  </si>
  <si>
    <t>We can increase prices</t>
  </si>
  <si>
    <t>Unsere Margen sind durch Konkurrenten und/oder neuen Technologien gefährdet</t>
  </si>
  <si>
    <t>Our margins are threatened by competitors and/or by new technology</t>
  </si>
  <si>
    <t>Nous dépendons d'un ou de plusieurs flux de revenus</t>
  </si>
  <si>
    <t>We depend on one or more Revenues Streams</t>
  </si>
  <si>
    <t>There are Revenue Streams which are likely to disappear in the future</t>
  </si>
  <si>
    <t>We can reduce costs</t>
  </si>
  <si>
    <t>Some costs threaten to become unpredictable</t>
  </si>
  <si>
    <t>Some costs threaten to grow more quickly than the revenues they support</t>
  </si>
  <si>
    <t>Wir können von einem wachsenden Markt profitieren</t>
  </si>
  <si>
    <t>Nous pourrions bénéficier d'un marché en pleine croissance</t>
  </si>
  <si>
    <t>We can benefit from a growing market</t>
  </si>
  <si>
    <t>We can serve new Customer Segments</t>
  </si>
  <si>
    <t xml:space="preserve">We can better serve our customer through finer segmentation </t>
  </si>
  <si>
    <t>Our market will be saturated soon</t>
  </si>
  <si>
    <t>Our competitors are threatening our market share</t>
  </si>
  <si>
    <t>It is likely that we loose customers</t>
  </si>
  <si>
    <t>It is likely that customers are to defect</t>
  </si>
  <si>
    <t>La concurrence risque de s'intensifier sur notre marché</t>
  </si>
  <si>
    <t>Competition will intensify in our market</t>
  </si>
  <si>
    <t>Wir können die Effizienz und Effektivität unserer Vertriebskanäle verbessern</t>
  </si>
  <si>
    <t>Nous pourrions améliorer l'efficacité et l'efficience de nos canaux de distribution</t>
  </si>
  <si>
    <t>We can improve channel efficiency and effectiveness</t>
  </si>
  <si>
    <t>Wir können unserer Vertriebskanäle besser integrieren</t>
  </si>
  <si>
    <t>We can better integrate our Channels</t>
  </si>
  <si>
    <t>Wir können zusätzliche Partner-Vertriebskanäle finden</t>
  </si>
  <si>
    <t>We can find new complementary partner Channels</t>
  </si>
  <si>
    <t>We can increase margins by directly serving customers</t>
  </si>
  <si>
    <t>Wir können die Vertriebskanälen besser mit den Kundensegmenten abstimmen</t>
  </si>
  <si>
    <t>We can better align Channels with Customer Segments</t>
  </si>
  <si>
    <t>Competitors threaten our Channels</t>
  </si>
  <si>
    <t>Unsere Vertriebswege laufen Gefahr irrelevant für unsere Kunden zu werden.</t>
  </si>
  <si>
    <t>Our Channels are in danger of becoming irrelevant to customers</t>
  </si>
  <si>
    <t>There is potential to improve customer follow-up</t>
  </si>
  <si>
    <t>We can tighten our relationships with customers</t>
  </si>
  <si>
    <t>Wir können die Kundenpersonifizierung verbessern</t>
  </si>
  <si>
    <t>We can improve personalization</t>
  </si>
  <si>
    <t>Wir können für den Kunden die Kosten beim Wechsel zur Konkurrenz erhöhen (switching costs)</t>
  </si>
  <si>
    <t xml:space="preserve">Nous pourrions augmenter pour le client les coûts de changement vers un concurrent (switching costs) </t>
  </si>
  <si>
    <t>We can increase switching costs for  customers</t>
  </si>
  <si>
    <t>We have identified and "fired" unprofitable customers</t>
  </si>
  <si>
    <t>We have automate some relationships</t>
  </si>
  <si>
    <t>Some of our Customer Relationships are in danger of deteriorating</t>
  </si>
  <si>
    <t>We can use less costly resources to achieve the same results</t>
  </si>
  <si>
    <t>Wir besitzen Kernressourcen, die von unseren Partnern bezogen werden könnten</t>
  </si>
  <si>
    <t>Nous avons des ressources clés qui pourront être procuré auprès de partenaires</t>
  </si>
  <si>
    <t>Which Key Resources could be  sourced from partners</t>
  </si>
  <si>
    <t>Some Key Resources are under-exploited</t>
  </si>
  <si>
    <t>We have unused intellectual property of value to others</t>
  </si>
  <si>
    <t>We face a disruption in the supply of certain resources</t>
  </si>
  <si>
    <t>The quality of our resources are threatened</t>
  </si>
  <si>
    <t>We can standardize some Key Activities</t>
  </si>
  <si>
    <t>We can improve efficiency in general</t>
  </si>
  <si>
    <t>IT can support boost efficiency</t>
  </si>
  <si>
    <t>Des activités clés pourraient être perturbées</t>
  </si>
  <si>
    <t>Some Key Activities might be disrupted</t>
  </si>
  <si>
    <t>The quality of our activities are threatened</t>
  </si>
  <si>
    <t>Es bestehen Möglichkeiten zum Outsourcing</t>
  </si>
  <si>
    <t>Des opportunités d'externationalisation (outsourcing) existent</t>
  </si>
  <si>
    <t>There are outsourcing opportunities</t>
  </si>
  <si>
    <t>Une collaboration plus étroite avec nos partenaires nous aiderait à nous concentrer sur nos activités clés</t>
  </si>
  <si>
    <t>Greater collaboration with partners could help us focus on our core business</t>
  </si>
  <si>
    <t>There are cross-selling opportunities with partners</t>
  </si>
  <si>
    <t>Partner Channels help us reach better our customer</t>
  </si>
  <si>
    <t>Unsere Partner könnten unser Werteangebot (value proposition) vervollständigen</t>
  </si>
  <si>
    <t>Partner could complement our Value Proposition</t>
  </si>
  <si>
    <t>We are in danger of losing any partners</t>
  </si>
  <si>
    <t>Our partners might collaborate with competitors</t>
  </si>
  <si>
    <t>We dependent to much on certain partners</t>
  </si>
  <si>
    <t>Comments</t>
  </si>
  <si>
    <t xml:space="preserve"> from</t>
  </si>
  <si>
    <t>Summary</t>
  </si>
  <si>
    <t>Consumer Trend Canvas</t>
  </si>
  <si>
    <t>C O N S U M E R   T R E N D   C A N V A S</t>
  </si>
  <si>
    <t>Basic Needs</t>
  </si>
  <si>
    <t>Drivers of Change</t>
  </si>
  <si>
    <t>Emerging Consumer Expectations</t>
  </si>
  <si>
    <t>Inspiration</t>
  </si>
  <si>
    <t>Innovation Potential</t>
  </si>
  <si>
    <t>Who</t>
  </si>
  <si>
    <t>YOUR INNOVATION(S!)</t>
  </si>
  <si>
    <t>Trend:</t>
  </si>
  <si>
    <t>What deep consumer needs &amp; desires does this trend address?</t>
  </si>
  <si>
    <t>Why is this trend emerging now? What’s changing?</t>
  </si>
  <si>
    <t>Shifts: Long-term, widespread macro changes</t>
  </si>
  <si>
    <t>Triggers: Recent, short-term changes or technologies</t>
  </si>
  <si>
    <t>What new consumer needs, wants and expectations are created by the changes identified above? Where and how does this trend satisfy them?</t>
  </si>
  <si>
    <t>How are other businesses applying this trend?</t>
  </si>
  <si>
    <t>How and where could you apply this trend to your business?</t>
  </si>
  <si>
    <t>Which (new) customer groups could you apply this trend to? What would you have to change?</t>
  </si>
  <si>
    <t>Anz. &gt;= 3</t>
  </si>
  <si>
    <t>Nbr. &gt;= 3</t>
  </si>
  <si>
    <t>Num. &gt;= 3</t>
  </si>
  <si>
    <t>People</t>
  </si>
  <si>
    <t>Process</t>
  </si>
  <si>
    <t>Product</t>
  </si>
  <si>
    <t>Cause 1</t>
  </si>
  <si>
    <t>Cause 2</t>
  </si>
  <si>
    <t>Problem</t>
  </si>
  <si>
    <t>Management</t>
  </si>
  <si>
    <t>Equipement</t>
  </si>
  <si>
    <t>Environement</t>
  </si>
  <si>
    <t>Stratégies d'innovation</t>
  </si>
  <si>
    <t>P O T E N T I A L   A N A L Y S I S</t>
  </si>
  <si>
    <t xml:space="preserve">A N A L I S I   D E L  P O T E N Z I A L E </t>
  </si>
  <si>
    <t xml:space="preserve">                                            Advantage</t>
  </si>
  <si>
    <t xml:space="preserve">                                                      Vantaggio</t>
  </si>
  <si>
    <t>Competition</t>
  </si>
  <si>
    <t>Concorrenza</t>
  </si>
  <si>
    <t>N.</t>
  </si>
  <si>
    <t>Key factor</t>
  </si>
  <si>
    <t>Fattore chiave</t>
  </si>
  <si>
    <t>Remarks</t>
  </si>
  <si>
    <t>Osservazioni</t>
  </si>
  <si>
    <t>Product, range</t>
  </si>
  <si>
    <t>Prodotto, assortimento</t>
  </si>
  <si>
    <t>Prices, conditions</t>
  </si>
  <si>
    <t>Prezzi, condizioni</t>
  </si>
  <si>
    <t xml:space="preserve">Market share, market growth and market structure </t>
  </si>
  <si>
    <t>Quota di mercato, crescita e struttura del mercato</t>
  </si>
  <si>
    <t>Brand name, brand image</t>
  </si>
  <si>
    <t>Marchio, immagine di marca</t>
  </si>
  <si>
    <t>Sales organization</t>
  </si>
  <si>
    <t>Organizzazione della distribuzione</t>
  </si>
  <si>
    <t>Customer service</t>
  </si>
  <si>
    <t>Servizio clienti</t>
  </si>
  <si>
    <t>Delivery times, adherence to delivery dates, reliability</t>
  </si>
  <si>
    <t>Tempi di fornitura, osservanza dei termini, affidabilità</t>
  </si>
  <si>
    <t>Quality</t>
  </si>
  <si>
    <t>Qualità</t>
  </si>
  <si>
    <t>Cost level</t>
  </si>
  <si>
    <t>Livello dei costi</t>
  </si>
  <si>
    <t>Modernity of equipment</t>
  </si>
  <si>
    <t>Modernità degli impianti</t>
  </si>
  <si>
    <t>Productivity</t>
  </si>
  <si>
    <t>Produttività</t>
  </si>
  <si>
    <t>Environmental impact, energy consumption</t>
  </si>
  <si>
    <t>Inquinamento ambientale, consumo energetico</t>
  </si>
  <si>
    <t>Location, logistics</t>
  </si>
  <si>
    <t>Ubicazione, logistica</t>
  </si>
  <si>
    <t>Supply shortages</t>
  </si>
  <si>
    <t>Difficoltà di approvvigionamento</t>
  </si>
  <si>
    <t>Price dependency</t>
  </si>
  <si>
    <t>Dipendenza dei prezzi</t>
  </si>
  <si>
    <t>Exchange rate dependency</t>
  </si>
  <si>
    <t>Dipendenza del tasso di cambio</t>
  </si>
  <si>
    <t>Quality of suppliers</t>
  </si>
  <si>
    <t>Qualità dei fornitori</t>
  </si>
  <si>
    <t>Innovation, patents</t>
  </si>
  <si>
    <t>Innovazione, brevetti</t>
  </si>
  <si>
    <t>Expertise</t>
  </si>
  <si>
    <t>Equipment</t>
  </si>
  <si>
    <t>Equipaggiamento</t>
  </si>
  <si>
    <t>Motivation and commitment of employees</t>
  </si>
  <si>
    <t>Motivazione e impegno dei collaboratori</t>
  </si>
  <si>
    <t>Management instruments, management</t>
  </si>
  <si>
    <t>Strumenti di conduzione, gestione</t>
  </si>
  <si>
    <t>Lean, flexible organization</t>
  </si>
  <si>
    <t>Organizzazione snella e flessibile</t>
  </si>
  <si>
    <t>Training, qualification of employees</t>
  </si>
  <si>
    <t>Formazione, qualifica dei collaboratori</t>
  </si>
  <si>
    <t>Age structure</t>
  </si>
  <si>
    <t>Piramide delle età</t>
  </si>
  <si>
    <t>Fluctuation rate, absences</t>
  </si>
  <si>
    <t>Tasso di fluttuazione, assenze per malattia</t>
  </si>
  <si>
    <t>Financial strength, liquidity</t>
  </si>
  <si>
    <t>Solidità finanziaria, liquidità</t>
  </si>
  <si>
    <t>Location, surplus space</t>
  </si>
  <si>
    <t>Ubicazione, spazi a disposizione</t>
  </si>
  <si>
    <t>Decision-making processes</t>
  </si>
  <si>
    <t>Processo decisionale</t>
  </si>
  <si>
    <t>Distribuzione</t>
  </si>
  <si>
    <t>Produzione</t>
  </si>
  <si>
    <t>Procurement</t>
  </si>
  <si>
    <t>Approvvigionamento</t>
  </si>
  <si>
    <t>Personale</t>
  </si>
  <si>
    <t>Amministrazione</t>
  </si>
  <si>
    <t xml:space="preserve">                         Disadvantage</t>
  </si>
  <si>
    <t xml:space="preserve">                       Svantaggio</t>
  </si>
  <si>
    <t>R I S K   M A N A G E M E N T</t>
  </si>
  <si>
    <t>G E S T I O N E   D E L   R I S C H I O</t>
  </si>
  <si>
    <t>Probability of occurrence</t>
  </si>
  <si>
    <t>Probabilità di accadimento</t>
  </si>
  <si>
    <t>High</t>
  </si>
  <si>
    <t>elevata</t>
  </si>
  <si>
    <t>Medium</t>
  </si>
  <si>
    <t>media</t>
  </si>
  <si>
    <t>Low</t>
  </si>
  <si>
    <t>bassa</t>
  </si>
  <si>
    <t>Extent of damage</t>
  </si>
  <si>
    <t>Entità dei danni</t>
  </si>
  <si>
    <t>No need for action</t>
  </si>
  <si>
    <t>Nessun intervento necessario</t>
  </si>
  <si>
    <t>Need for action</t>
  </si>
  <si>
    <t>Intervento necessario</t>
  </si>
  <si>
    <t>Urgent need for action</t>
  </si>
  <si>
    <t>Intervento urgente</t>
  </si>
  <si>
    <t>Risk</t>
  </si>
  <si>
    <t>Rischio</t>
  </si>
  <si>
    <t>Consequences</t>
  </si>
  <si>
    <t>Impatto</t>
  </si>
  <si>
    <t>Ten-
denza</t>
  </si>
  <si>
    <t>Possible measures</t>
  </si>
  <si>
    <t>Misure possibili</t>
  </si>
  <si>
    <t>Statuto</t>
  </si>
  <si>
    <t>Extent of consequences</t>
  </si>
  <si>
    <t>Entità dell'impatto</t>
  </si>
  <si>
    <t>Compared objects</t>
  </si>
  <si>
    <t>Oggetti di paragone</t>
  </si>
  <si>
    <t>Us</t>
  </si>
  <si>
    <t>Noi</t>
  </si>
  <si>
    <t>S W O T   A N A L Y S I S</t>
  </si>
  <si>
    <t xml:space="preserve">A N A L I S I   S W O T </t>
  </si>
  <si>
    <t>Strengths / Weaknesses -&gt; internal factors</t>
  </si>
  <si>
    <t>Punti di forza / debolezza -&gt; fattori interni</t>
  </si>
  <si>
    <t>Strengths / weaknesses</t>
  </si>
  <si>
    <t>Punti di forza / debolezza</t>
  </si>
  <si>
    <t>Opportunities / Threats</t>
  </si>
  <si>
    <t>Opportunità / Minacce</t>
  </si>
  <si>
    <t>Emphasis</t>
  </si>
  <si>
    <t>Ponderazione</t>
  </si>
  <si>
    <t>Opportunities / Threats -&gt; external factors</t>
  </si>
  <si>
    <t>Opportunità / Minacce -&gt; fattori esterni</t>
  </si>
  <si>
    <t>Strengths</t>
  </si>
  <si>
    <t>Punti di forza</t>
  </si>
  <si>
    <t>Weaknesses</t>
  </si>
  <si>
    <t>Punti di debolezza</t>
  </si>
  <si>
    <t>Opportunities</t>
  </si>
  <si>
    <t>Opportunità</t>
  </si>
  <si>
    <t>Threats</t>
  </si>
  <si>
    <t>Minacce</t>
  </si>
  <si>
    <t>P R O D U C T S   &amp;   S E R V I C E S</t>
  </si>
  <si>
    <t xml:space="preserve"> P R O D O T T I   &amp;   S E R V I Z I</t>
  </si>
  <si>
    <t>Product/Service</t>
  </si>
  <si>
    <t>Prodotto / Servizio</t>
  </si>
  <si>
    <t>Demand for the product</t>
  </si>
  <si>
    <t>Domanda del prodotto</t>
  </si>
  <si>
    <t>Unique selling proposition (USP)</t>
  </si>
  <si>
    <t>Argomentazione esclusiva di vendita (USP)</t>
  </si>
  <si>
    <t>Demand</t>
  </si>
  <si>
    <t>Domanda</t>
  </si>
  <si>
    <t>Revenue</t>
  </si>
  <si>
    <t>Fatturato</t>
  </si>
  <si>
    <t>Possible innovation strategies</t>
  </si>
  <si>
    <t>Strategie d'innovazione possibile</t>
  </si>
  <si>
    <t>S T R A T E G I C   B U S I N E S S   
U N I T S   (SBU)</t>
  </si>
  <si>
    <t xml:space="preserve"> A R E E   S T R A T E G I C H E   D I   A F F A R I  (ASA)</t>
  </si>
  <si>
    <t xml:space="preserve">Strategic business units </t>
  </si>
  <si>
    <t>Aree strategiche di affari</t>
  </si>
  <si>
    <t>SBU</t>
  </si>
  <si>
    <t>ASA</t>
  </si>
  <si>
    <t>Synergetic effects</t>
  </si>
  <si>
    <t>Effetti sinergici</t>
  </si>
  <si>
    <t>Market segments</t>
  </si>
  <si>
    <t>Segmenti di mercato</t>
  </si>
  <si>
    <t>Independence</t>
  </si>
  <si>
    <t>Indipendenza</t>
  </si>
  <si>
    <t>totally applies</t>
  </si>
  <si>
    <t>corrisponde perfettamente</t>
  </si>
  <si>
    <t>rather applies</t>
  </si>
  <si>
    <t xml:space="preserve">corrisponde abbastanza </t>
  </si>
  <si>
    <t>partially applies</t>
  </si>
  <si>
    <t xml:space="preserve">corrisponde parzialmente </t>
  </si>
  <si>
    <t>rather doesn't applies</t>
  </si>
  <si>
    <t>corrisponde poco</t>
  </si>
  <si>
    <t>does not applie at all</t>
  </si>
  <si>
    <t>non corrisponde per nulla</t>
  </si>
  <si>
    <t xml:space="preserve">Il valore da noi creato corrisponde alle esigenze dei nostri clienti </t>
  </si>
  <si>
    <t>Il valore da noi creato ha un forte impatto sulla rete (networking)</t>
  </si>
  <si>
    <t>There are synergies between our products and services</t>
  </si>
  <si>
    <t xml:space="preserve">Sussistono sinergie tra i nostri prodotti e servizi </t>
  </si>
  <si>
    <t xml:space="preserve">I nostri clienti sono soddisfatti </t>
  </si>
  <si>
    <t xml:space="preserve">I nostri margini sono elevati </t>
  </si>
  <si>
    <t>I nostri ricavi sono prevedibili</t>
  </si>
  <si>
    <t xml:space="preserve">Abbiamo entrate ricorrenti e frequenti acquisti ripetuti </t>
  </si>
  <si>
    <t>I nostri flussi di entrate sono diversificati</t>
  </si>
  <si>
    <t>I nostri flussi di entrate sono durevoli</t>
  </si>
  <si>
    <t>Incassiamo ciò che ci spetta prima di effettuare nuove spese</t>
  </si>
  <si>
    <t>L’importo delle nostre fatture corrisponde alla cifra che il cliente è disposto a pagare</t>
  </si>
  <si>
    <t>I nostri prezzi sono strutturati in base a quanto il cliente è disposto a pagare</t>
  </si>
  <si>
    <t>I nostri costi sono prevedibili</t>
  </si>
  <si>
    <t>La nostra struttura dei costi è perfettamente adattata al nostro modello di business</t>
  </si>
  <si>
    <t>Le nostre attività sono redditizie</t>
  </si>
  <si>
    <t>Beneficiamo di economie di scala</t>
  </si>
  <si>
    <t>Il tasso di fluttuazione della clientela è basso</t>
  </si>
  <si>
    <t>La segmentazione della clientela è buona</t>
  </si>
  <si>
    <t xml:space="preserve">Acquisiamo regolarmente nuovi clienti </t>
  </si>
  <si>
    <t xml:space="preserve">I nostri canali di distribuzione sono molto efficaci </t>
  </si>
  <si>
    <t>I nostri canali di distribuzione sono redditizi</t>
  </si>
  <si>
    <t>La penetrazione dei canali di distribuzione è buona</t>
  </si>
  <si>
    <t>I nostri canali di distribuzione vengono facilmente identificati dai nostri clienti</t>
  </si>
  <si>
    <t>I canali di distribuzione sono fortemente integrati</t>
  </si>
  <si>
    <t>I canali di distribuzione permettono di generare sinergie e di risparmiare sui costi (economies of scope)</t>
  </si>
  <si>
    <t>I canali di distribuzione sono perfettamente adattati ai segmenti della clientela</t>
  </si>
  <si>
    <t>Le relazioni con i clienti sono molto solide</t>
  </si>
  <si>
    <t xml:space="preserve">La qualità della relazione corrisponde alla segmentazione della clientela </t>
  </si>
  <si>
    <t>Le relazioni con i clienti sono di natura tale da generare costi elevati in caso di cambiamento</t>
  </si>
  <si>
    <t>Il nostro marchio è forte</t>
  </si>
  <si>
    <t xml:space="preserve">Le nostre risorse più importanti sono difficili da riprodurre per la concorrenza </t>
  </si>
  <si>
    <t>Il fabbisogno di risorse è prevedibile</t>
  </si>
  <si>
    <t>Sappiamo mobilitare le risorse giuste al momento giusto e nella quantità giusta</t>
  </si>
  <si>
    <t>Svolgiamo le nostre attività chiave con efficacia</t>
  </si>
  <si>
    <t xml:space="preserve">Le nostre attività chiave sono difficilmente copiabili </t>
  </si>
  <si>
    <t>La qualità di attuazione è elevata</t>
  </si>
  <si>
    <t xml:space="preserve">L’equilibrio tra attività interne e subappaltate è ideale </t>
  </si>
  <si>
    <t xml:space="preserve">Crediamo nel partenariato e se necessario collaboriamo con i nostri partner </t>
  </si>
  <si>
    <t xml:space="preserve">Collaboriamo con piacere con i nostri partner più importanti </t>
  </si>
  <si>
    <t>Impatto (1 - 10)</t>
  </si>
  <si>
    <t>Domande:</t>
  </si>
  <si>
    <t>Impatto:</t>
  </si>
  <si>
    <t>Totale punti:</t>
  </si>
  <si>
    <t xml:space="preserve">di </t>
  </si>
  <si>
    <t>Riassunto</t>
  </si>
  <si>
    <t>C A N V A S : O P P O R T U N I T I E S   &amp;  T H R E A T S</t>
  </si>
  <si>
    <t>C A N V A S: O P P O R T U N I T À   &amp;   P E R I C O L I</t>
  </si>
  <si>
    <t>Possiamo generare ricavi ricorrenti convertendo prodotti in servizi</t>
  </si>
  <si>
    <t>Possiamo integrare meglio i nostri prodotti o servizi</t>
  </si>
  <si>
    <t>Possiamo soddisfare altre esigenze dei nostri clienti</t>
  </si>
  <si>
    <t>Ci sono complementi o possibili estensioni che creano un valore supplementare</t>
  </si>
  <si>
    <t xml:space="preserve">Possiamo offrire altre prestazioni ai nostri clienti </t>
  </si>
  <si>
    <t xml:space="preserve">Sono disponibili prodotti e servizi sostitutivi </t>
  </si>
  <si>
    <t>I concorrenti possono offrire ai clienti più valore e prezzi più bassi</t>
  </si>
  <si>
    <t xml:space="preserve">Possiamo generare puntualmente fatturato da transazioni partendo da entrate ricorrenti </t>
  </si>
  <si>
    <t>I nostri clienti sono disposti a pagare per prodotti o servizi supplementari</t>
  </si>
  <si>
    <t xml:space="preserve">Abbiamo la possibilità di effettuare vendite trasversali internamente o con partner </t>
  </si>
  <si>
    <t>Possiamo aggiungere o creare flussi di entrate supplementari</t>
  </si>
  <si>
    <t>Possiamo aumentare i prezzi</t>
  </si>
  <si>
    <t xml:space="preserve">I nostri margini sono messi sotto pressione dalla concorrenza e/o dalle nuove tecnologie </t>
  </si>
  <si>
    <t>Siamo troppo dipendenti da uno o più flussi di entrate</t>
  </si>
  <si>
    <t xml:space="preserve">Abbiamo dei flussi di entrate destinati ben presto ad esaurirsi </t>
  </si>
  <si>
    <t>Possiamo ridurre i nostri costi</t>
  </si>
  <si>
    <t>Determinati costi rischiano di diventare incalcolabili</t>
  </si>
  <si>
    <t xml:space="preserve">Determinati costi minacciano di aumentare più rapidamente delle corrispondenti entrate </t>
  </si>
  <si>
    <t>Possiamo beneficiare di un mercato in piena crescita/espansione</t>
  </si>
  <si>
    <t xml:space="preserve">Possiamo servire nuovi segmenti di clientela </t>
  </si>
  <si>
    <t>Grazie a una segmentazione più capillare, possiamo assistere meglio i nostri clienti</t>
  </si>
  <si>
    <t>Il nostro mercato rischia di essere ben presto saturo</t>
  </si>
  <si>
    <t>I nostri concorrenti minacciano le nostre quote di mercato</t>
  </si>
  <si>
    <t>Potremmo perdere i nostri clienti</t>
  </si>
  <si>
    <t>C'è il rischio che i nostri clienti non possano pagare entro i termini stabiliti</t>
  </si>
  <si>
    <t xml:space="preserve">La concorrenza rischia di intensificarsi rapidamente sul nostro mercato  </t>
  </si>
  <si>
    <t xml:space="preserve">Possiamo migliorare l'efficienza, l'efficacia, la redditività e le prestazioni dei nostri canali  </t>
  </si>
  <si>
    <t>Possiamo migliorare l'integrazione dei nostri canali di distribuzione</t>
  </si>
  <si>
    <t xml:space="preserve">Possiamo trovare nuovi canali di distribuzione </t>
  </si>
  <si>
    <t xml:space="preserve">Possiamo aumentare i nostri margini servendo direttamente i nostri clienti </t>
  </si>
  <si>
    <t xml:space="preserve">Possiamo migliorare la conformità dei canali e dei segmenti della clientela </t>
  </si>
  <si>
    <t xml:space="preserve">I nostri concorrenti minacciano i nostri canali di distribuzione </t>
  </si>
  <si>
    <t xml:space="preserve">I nostri canali di distribuzione potrebbero non più essere pertinenti/adatti ai nostri clienti </t>
  </si>
  <si>
    <t>L'assistenza alla clientela può essere migliorata</t>
  </si>
  <si>
    <t>Possiamo intensificare le relazioni con i nostri clienti</t>
  </si>
  <si>
    <t>Possiamo migliorare la personalizzazione</t>
  </si>
  <si>
    <t>Possiamo aumentare i costi di transizione (switching costs)</t>
  </si>
  <si>
    <t>Abbiamo identificato ed "eliminato" i clienti non redditizi</t>
  </si>
  <si>
    <t>Abbiamo automatizzato determinate relazioni</t>
  </si>
  <si>
    <t xml:space="preserve">Le nostre relazioni con i clienti rischiano di deteriorarsi </t>
  </si>
  <si>
    <t>Possiamo utilizzare risorse meno costose per ottenere lo stesso risultato</t>
  </si>
  <si>
    <t>Ci servono risorse chiave più accessibili ai nostri partner</t>
  </si>
  <si>
    <t>Abbiamo risorse chiave sottosfruttate</t>
  </si>
  <si>
    <t xml:space="preserve">Possediamo brevetti o altre invenzioni non utilizzate che potrebbero avere valore per altri </t>
  </si>
  <si>
    <t xml:space="preserve">Rischiamo di essere confrontati a una situazione di penuria per determinate risorse </t>
  </si>
  <si>
    <t>La qualità delle nostre risorse è minacciata</t>
  </si>
  <si>
    <t>Possiamo standardizzare alcune attività chiave</t>
  </si>
  <si>
    <t>Possiamo migliorare in generale la nostra performance</t>
  </si>
  <si>
    <t>Un supporto informatico potrebbe migliorare la nostra performance</t>
  </si>
  <si>
    <t xml:space="preserve">Alcune attività chiave potrebbero essere compromesse </t>
  </si>
  <si>
    <t xml:space="preserve">La qualità delle nostre attività è a rischio </t>
  </si>
  <si>
    <t xml:space="preserve">Esistono opportunità di esternalizzazione  </t>
  </si>
  <si>
    <t>Una maggiore collaborazione con i nostri partner ci aiuterebbe a concentrarci sulle nostre attività primarie</t>
  </si>
  <si>
    <t>Ci sono opportunità di vendite incrociate/associate con i nostri partner</t>
  </si>
  <si>
    <t xml:space="preserve">I canali di distribuzione dei nostri partner potrebbero aiutarci a raggiungere un maggior numero di clienti </t>
  </si>
  <si>
    <t>I nostri partner potrebbero completare la nostra proposta di valore</t>
  </si>
  <si>
    <t>Rischiamo di perdere i nostri partner</t>
  </si>
  <si>
    <t xml:space="preserve">I nostri partner potrebbero collaborare con la concorrenza </t>
  </si>
  <si>
    <t xml:space="preserve">Siamo troppo dipendenti da determinati partner  </t>
  </si>
  <si>
    <t>Internal</t>
  </si>
  <si>
    <t>External</t>
  </si>
  <si>
    <t>Social Media</t>
  </si>
  <si>
    <t>Public relations</t>
  </si>
  <si>
    <t>Diverse</t>
  </si>
  <si>
    <t>Description</t>
  </si>
  <si>
    <t>In %</t>
  </si>
  <si>
    <t>Main strengths</t>
  </si>
  <si>
    <t>Main weaknesses</t>
  </si>
  <si>
    <t>I D E A   C O M P A R I S O N   M A T R I X</t>
  </si>
  <si>
    <t>Idea</t>
  </si>
  <si>
    <t>Criteria</t>
  </si>
  <si>
    <t>Weighting</t>
  </si>
  <si>
    <t>Assessment</t>
  </si>
  <si>
    <t>Potential</t>
  </si>
  <si>
    <t>A N A L S S E</t>
  </si>
  <si>
    <t>interno</t>
  </si>
  <si>
    <t>Interno</t>
  </si>
  <si>
    <t>Esterno</t>
  </si>
  <si>
    <t>Potenziale</t>
  </si>
  <si>
    <t>C A U S E - A N D - E F F E C T   D I A G R A M</t>
  </si>
  <si>
    <t>P A R E T O   C H A R T</t>
  </si>
  <si>
    <t>Reasons for the problem</t>
  </si>
  <si>
    <t>Fre-quency</t>
  </si>
  <si>
    <t>Unit</t>
  </si>
  <si>
    <t>Current value</t>
  </si>
  <si>
    <t>Improvement / deterioration</t>
  </si>
  <si>
    <t>absolute</t>
  </si>
  <si>
    <t>Indicator</t>
  </si>
  <si>
    <t>Customers</t>
  </si>
  <si>
    <t>V A R I A N T   R E V I E W</t>
  </si>
  <si>
    <t>P R O C E S S</t>
  </si>
  <si>
    <t>Responsible</t>
  </si>
  <si>
    <t>Updated on:</t>
  </si>
  <si>
    <t>Other process</t>
  </si>
  <si>
    <t>Next page</t>
  </si>
  <si>
    <t>Start/Finish</t>
  </si>
  <si>
    <t>Connection</t>
  </si>
  <si>
    <t>Activity</t>
  </si>
  <si>
    <t>Decision</t>
  </si>
  <si>
    <t>Cont</t>
  </si>
  <si>
    <t>yes</t>
  </si>
  <si>
    <t>no</t>
  </si>
  <si>
    <t>Start</t>
  </si>
  <si>
    <t>End</t>
  </si>
  <si>
    <t>No. process</t>
  </si>
  <si>
    <t>Open documents</t>
  </si>
  <si>
    <t>Would you like to open the program "Management Cockpit"?</t>
  </si>
  <si>
    <t>Please make sure that the file "01_Cockpit.exe" is in the same folder!</t>
  </si>
  <si>
    <t>Volete aprire il programma "Cockpit de gestione"?</t>
  </si>
  <si>
    <t>Assicurarsi che il file  "01_Cockpit.exe" si trova nel stesso direttorio!</t>
  </si>
  <si>
    <t>Would you like to open the program "Balanced Scorecard"?</t>
  </si>
  <si>
    <t>Volete aprire il programma "Balanced Scorecard"?</t>
  </si>
  <si>
    <t xml:space="preserve"> E R R O R   A N A L Y S I S</t>
  </si>
  <si>
    <t>Process / Product / Service</t>
  </si>
  <si>
    <t>Mistake</t>
  </si>
  <si>
    <t>Reasons</t>
  </si>
  <si>
    <t>Measures to avoid mistakes</t>
  </si>
  <si>
    <t>from:</t>
  </si>
  <si>
    <t>to:</t>
  </si>
  <si>
    <t>C U S T O M E R   C O M P L A I N T S</t>
  </si>
  <si>
    <t>Complaints</t>
  </si>
  <si>
    <t xml:space="preserve">Preventive measures </t>
  </si>
  <si>
    <t>Improvements</t>
  </si>
  <si>
    <t>Num. of imprv</t>
  </si>
  <si>
    <t>P R O C E S S   R E V I E W</t>
  </si>
  <si>
    <t>Show everything</t>
  </si>
  <si>
    <t>Filter print</t>
  </si>
  <si>
    <t>Links to documents</t>
  </si>
  <si>
    <t>I N P U T   M A S K</t>
  </si>
  <si>
    <t>Quality strategies</t>
  </si>
  <si>
    <t>Strategic indicators</t>
  </si>
  <si>
    <t>Actual</t>
  </si>
  <si>
    <t>Target</t>
  </si>
  <si>
    <t>achieved</t>
  </si>
  <si>
    <t>red</t>
  </si>
  <si>
    <t>yellow</t>
  </si>
  <si>
    <t>Quality goals</t>
  </si>
  <si>
    <t>Indicators</t>
  </si>
  <si>
    <t>Projects</t>
  </si>
  <si>
    <t>Link to project</t>
  </si>
  <si>
    <t>Who?</t>
  </si>
  <si>
    <t>Calculation</t>
  </si>
  <si>
    <t>Description/Remarks</t>
  </si>
  <si>
    <t>Time of the survey &amp; Sector comparison</t>
  </si>
  <si>
    <t>I N D I C A T O R S   G O A L S</t>
  </si>
  <si>
    <t>S T R A T E G I C   I N D I C A T O R S</t>
  </si>
  <si>
    <t xml:space="preserve">I N N O V A T I O N   G O A L S   &amp;   S T R A T E G I E S   </t>
  </si>
  <si>
    <t xml:space="preserve">I N N O V A T I O N   C O C K P I T   </t>
  </si>
  <si>
    <t>S T A K E H O L D E R   A N A L Y S I S</t>
  </si>
  <si>
    <t xml:space="preserve"> A N A L I S I   D E G L I   S T A K E H O L D E R</t>
  </si>
  <si>
    <t>Wider environment</t>
  </si>
  <si>
    <t>Contesto ampio</t>
  </si>
  <si>
    <t>Immediate environment</t>
  </si>
  <si>
    <t>Contesto ristretto</t>
  </si>
  <si>
    <t>Frequent contacts</t>
  </si>
  <si>
    <t>Contatti frequenti</t>
  </si>
  <si>
    <t>Regular contacts</t>
  </si>
  <si>
    <t>Contatti regolari</t>
  </si>
  <si>
    <t>Rare contacts</t>
  </si>
  <si>
    <t>Contatti rari</t>
  </si>
  <si>
    <t>alto</t>
  </si>
  <si>
    <t>Big</t>
  </si>
  <si>
    <t>Stakeholder influence</t>
  </si>
  <si>
    <t>Influsso degli stakeholder</t>
  </si>
  <si>
    <t>basso</t>
  </si>
  <si>
    <t>Small</t>
  </si>
  <si>
    <t>piccolo</t>
  </si>
  <si>
    <t>Stakeholder interest</t>
  </si>
  <si>
    <t>Interesse degli stakeholder</t>
  </si>
  <si>
    <t>Stakeholder group</t>
  </si>
  <si>
    <t>Gruppo di stakeholder</t>
  </si>
  <si>
    <t>Interests, expectations</t>
  </si>
  <si>
    <t>Interessi, attese</t>
  </si>
  <si>
    <t>Extent of interests</t>
  </si>
  <si>
    <t>Intensità degli interessi</t>
  </si>
  <si>
    <t>Degree of influence</t>
  </si>
  <si>
    <t>Intensità dell'influsso</t>
  </si>
  <si>
    <t>Chances (+) and 
dangers (-)</t>
  </si>
  <si>
    <t>Opportunità (+) e 
pericoli (-)</t>
  </si>
  <si>
    <t>Size of group</t>
  </si>
  <si>
    <t>Dimensioni del gruppo</t>
  </si>
  <si>
    <t xml:space="preserve">A N A L I S I   D E G L I   S T A K E H O L D E R </t>
  </si>
  <si>
    <t>Developed for:</t>
  </si>
  <si>
    <t>Developed by:</t>
  </si>
  <si>
    <t>What do you offer customers?</t>
  </si>
  <si>
    <t>Which products do you really request?</t>
  </si>
  <si>
    <t>Are you interested?</t>
  </si>
  <si>
    <t>What relationships will you establish with the individual customer segments? Personal? Virtual? Reserved? etc.</t>
  </si>
  <si>
    <t>How do you reach the customer?</t>
  </si>
  <si>
    <t>Who are the customers?</t>
  </si>
  <si>
    <t>What are their requirements?</t>
  </si>
  <si>
    <t>How much are customers prepared to pay? How does the customer wish to pay? How will revenues be generated?</t>
  </si>
  <si>
    <t>How do customers wish deliveries to be effected?</t>
  </si>
  <si>
    <t>Which distribution channels?</t>
  </si>
  <si>
    <t>Which core competences are necessary?</t>
  </si>
  <si>
    <t>Which resources are essential?</t>
  </si>
  <si>
    <t>Which "trumps" do I hold?</t>
  </si>
  <si>
    <t>Which partners and suppliers offer me added value?</t>
  </si>
  <si>
    <t>Who do I depend on?</t>
  </si>
  <si>
    <t>What cost structure is there? Which core elements cause the highest costs?</t>
  </si>
  <si>
    <t>What are my core activities?</t>
  </si>
  <si>
    <t>Which expertise do I need?</t>
  </si>
  <si>
    <t>What is indispensable?</t>
  </si>
  <si>
    <t>Voulez-vous ouvrir le programme "Management stratégique" ?</t>
  </si>
  <si>
    <t>Do you want to open the program "Strategic Management"?</t>
  </si>
  <si>
    <t>Assurez-vous, que le fichier "02_StrategicManagement.exe" se trouve dans le même répertoire !</t>
  </si>
  <si>
    <t>Make sure that the file "02_StrategicManagement.exe" has been put in the same directory!</t>
  </si>
  <si>
    <t>Do you wish to open the program "Business Plan"?</t>
  </si>
  <si>
    <t>Make sure that the file "04_BusinessPlan.exe" has been put in the same directory!</t>
  </si>
  <si>
    <t>Do you want to open the program "Project Management"?</t>
  </si>
  <si>
    <t>Make sure that the file "03_ProjectManagement.exe"  has been put in the same directory!</t>
  </si>
  <si>
    <r>
      <rPr>
        <sz val="8"/>
        <color theme="1"/>
        <rFont val="Calibri"/>
        <family val="2"/>
        <scheme val="minor"/>
      </rPr>
      <t>©</t>
    </r>
    <r>
      <rPr>
        <b/>
        <sz val="8"/>
        <color rgb="FFFF0000"/>
        <rFont val="Bauhaus 93"/>
        <family val="5"/>
      </rPr>
      <t xml:space="preserve"> </t>
    </r>
    <r>
      <rPr>
        <sz val="8"/>
        <color rgb="FFFF0000"/>
        <rFont val="Bauhaus 93"/>
        <family val="5"/>
      </rPr>
      <t>i</t>
    </r>
    <r>
      <rPr>
        <sz val="8"/>
        <color theme="3" tint="-0.249977111117893"/>
        <rFont val="Bauhaus 93"/>
        <family val="5"/>
      </rPr>
      <t>Management</t>
    </r>
    <r>
      <rPr>
        <sz val="8"/>
        <color theme="1"/>
        <rFont val="Calibri"/>
        <family val="2"/>
        <scheme val="minor"/>
      </rPr>
      <t xml:space="preserve"> </t>
    </r>
    <r>
      <rPr>
        <sz val="8"/>
        <color theme="1" tint="0.499984740745262"/>
        <rFont val="Calibri"/>
        <family val="2"/>
      </rPr>
      <t>•</t>
    </r>
    <r>
      <rPr>
        <sz val="8"/>
        <color theme="1" tint="0.499984740745262"/>
        <rFont val="Calibri"/>
        <family val="2"/>
        <scheme val="minor"/>
      </rPr>
      <t xml:space="preserve"> s.</t>
    </r>
    <r>
      <rPr>
        <sz val="8"/>
        <color rgb="FFFF0000"/>
        <rFont val="Bauhaus 93"/>
        <family val="5"/>
      </rPr>
      <t>i</t>
    </r>
    <r>
      <rPr>
        <sz val="8"/>
        <color theme="1" tint="0.499984740745262"/>
        <rFont val="Calibri"/>
        <family val="2"/>
        <scheme val="minor"/>
      </rPr>
      <t>mboden • www.2</t>
    </r>
    <r>
      <rPr>
        <b/>
        <sz val="8"/>
        <color theme="1" tint="0.499984740745262"/>
        <rFont val="Calibri"/>
        <family val="2"/>
        <scheme val="minor"/>
      </rPr>
      <t>i</t>
    </r>
    <r>
      <rPr>
        <sz val="8"/>
        <color theme="1" tint="0.499984740745262"/>
        <rFont val="Calibri"/>
        <family val="2"/>
        <scheme val="minor"/>
      </rPr>
      <t>Management.ch</t>
    </r>
  </si>
  <si>
    <r>
      <rPr>
        <sz val="8"/>
        <color theme="1"/>
        <rFont val="Calibri"/>
        <family val="2"/>
        <scheme val="minor"/>
      </rPr>
      <t>©</t>
    </r>
    <r>
      <rPr>
        <b/>
        <sz val="8"/>
        <color rgb="FFFF0000"/>
        <rFont val="Bauhaus 93"/>
        <family val="5"/>
      </rPr>
      <t xml:space="preserve"> </t>
    </r>
    <r>
      <rPr>
        <sz val="8"/>
        <color rgb="FFFF0000"/>
        <rFont val="Bauhaus 93"/>
        <family val="5"/>
      </rPr>
      <t>i</t>
    </r>
    <r>
      <rPr>
        <sz val="8"/>
        <color theme="3" tint="-0.249977111117893"/>
        <rFont val="Bauhaus 93"/>
        <family val="5"/>
      </rPr>
      <t>Management</t>
    </r>
    <r>
      <rPr>
        <sz val="8"/>
        <color theme="1"/>
        <rFont val="Calibri"/>
        <family val="2"/>
        <scheme val="minor"/>
      </rPr>
      <t xml:space="preserve"> </t>
    </r>
    <r>
      <rPr>
        <sz val="8"/>
        <color theme="1" tint="0.499984740745262"/>
        <rFont val="Calibri"/>
        <family val="2"/>
      </rPr>
      <t>•</t>
    </r>
    <r>
      <rPr>
        <sz val="8"/>
        <color theme="1" tint="0.499984740745262"/>
        <rFont val="Calibri"/>
        <family val="2"/>
        <scheme val="minor"/>
      </rPr>
      <t xml:space="preserve"> </t>
    </r>
    <r>
      <rPr>
        <sz val="8"/>
        <color theme="1" tint="0.499984740745262"/>
        <rFont val="Calibri"/>
        <family val="2"/>
        <scheme val="minor"/>
      </rPr>
      <t>www.2</t>
    </r>
    <r>
      <rPr>
        <b/>
        <sz val="8"/>
        <color theme="1" tint="0.499984740745262"/>
        <rFont val="Calibri"/>
        <family val="2"/>
        <scheme val="minor"/>
      </rPr>
      <t>i</t>
    </r>
    <r>
      <rPr>
        <sz val="8"/>
        <color theme="1" tint="0.499984740745262"/>
        <rFont val="Calibri"/>
        <family val="2"/>
        <scheme val="minor"/>
      </rPr>
      <t>Management.ch</t>
    </r>
  </si>
  <si>
    <t xml:space="preserve">
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</si>
  <si>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</si>
  <si>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</si>
  <si>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</si>
  <si>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</si>
  <si>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</si>
  <si>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</si>
  <si>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</si>
  <si>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</si>
  <si>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</si>
  <si>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</si>
  <si>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</si>
  <si>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</si>
  <si>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</si>
  <si>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</si>
  <si>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</si>
  <si>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</si>
  <si>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</si>
  <si>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</si>
  <si>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</si>
  <si>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</si>
  <si>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</si>
  <si>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</si>
  <si>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</si>
  <si>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</si>
  <si>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</si>
  <si>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</si>
  <si>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</si>
  <si>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</si>
  <si>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</si>
  <si>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</si>
  <si>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</si>
  <si>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</si>
  <si>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</si>
  <si>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</si>
  <si>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</si>
  <si>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</si>
  <si>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</si>
  <si>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</si>
  <si>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</si>
  <si>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</si>
  <si>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Prio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</si>
  <si>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</si>
  <si>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</si>
  <si>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</si>
  <si>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</si>
  <si>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</si>
  <si>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</si>
  <si>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</si>
  <si>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</si>
  <si>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</si>
  <si>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</si>
  <si>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</si>
  <si>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</si>
  <si>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</si>
  <si>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</si>
  <si>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</si>
  <si>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</si>
  <si>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</si>
  <si>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</si>
  <si>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</si>
  <si>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</si>
  <si>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</si>
  <si>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</si>
  <si>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</si>
  <si>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</si>
  <si>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</si>
  <si>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</si>
  <si>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</si>
  <si>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</si>
  <si>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</si>
  <si>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</si>
  <si>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</si>
  <si>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</si>
  <si>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</si>
  <si>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</si>
  <si>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</si>
  <si>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</si>
  <si>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</si>
  <si>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</si>
  <si>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</si>
  <si>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</si>
  <si>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</si>
  <si>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</si>
  <si>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</si>
  <si>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</si>
  <si>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</si>
  <si>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</si>
  <si>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</si>
  <si>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</si>
  <si>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</si>
  <si>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</si>
  <si>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</si>
  <si>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</si>
  <si>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</si>
  <si>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</si>
  <si>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</si>
  <si>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</si>
  <si>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</si>
  <si>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</si>
  <si>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</si>
  <si>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</si>
  <si>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</si>
  <si>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</si>
  <si>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</si>
  <si>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</si>
  <si>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</si>
  <si>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</si>
  <si>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</si>
  <si>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</si>
  <si>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</si>
  <si>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</si>
  <si>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</si>
  <si>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</si>
  <si>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</si>
  <si>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</si>
  <si>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</si>
  <si>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</si>
  <si>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</si>
  <si>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</si>
  <si>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</si>
  <si>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</si>
  <si>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i16</t>
  </si>
  <si>
    <t>i17</t>
  </si>
  <si>
    <t>i18</t>
  </si>
  <si>
    <t>i19</t>
  </si>
  <si>
    <t>i20</t>
  </si>
  <si>
    <t>i21</t>
  </si>
  <si>
    <t>i22</t>
  </si>
  <si>
    <t>i23</t>
  </si>
  <si>
    <t>i24</t>
  </si>
  <si>
    <t>i25</t>
  </si>
  <si>
    <t>i26</t>
  </si>
  <si>
    <t>i27</t>
  </si>
  <si>
    <t>i28</t>
  </si>
  <si>
    <t>i29</t>
  </si>
  <si>
    <t>i30</t>
  </si>
  <si>
    <t>i31</t>
  </si>
  <si>
    <t>i32</t>
  </si>
  <si>
    <t>i33</t>
  </si>
  <si>
    <t>i34</t>
  </si>
  <si>
    <t>i35</t>
  </si>
  <si>
    <t>i36</t>
  </si>
  <si>
    <t>i37</t>
  </si>
  <si>
    <t>i38</t>
  </si>
  <si>
    <t>i39</t>
  </si>
  <si>
    <t>i40</t>
  </si>
  <si>
    <t>I N N O V A T I O N   M A N A G E M E N T</t>
  </si>
  <si>
    <t>Vision stratégies</t>
  </si>
  <si>
    <t>Vision and strategies</t>
  </si>
  <si>
    <t>Explorative phase</t>
  </si>
  <si>
    <t>Creative phase</t>
  </si>
  <si>
    <t>Innovation phase</t>
  </si>
  <si>
    <t>Analysis</t>
  </si>
  <si>
    <t>Innovation strategies</t>
  </si>
  <si>
    <t>Ideas management</t>
  </si>
  <si>
    <t>Goals &amp; strategies</t>
  </si>
  <si>
    <t>Implementation &amp; Controlling</t>
  </si>
  <si>
    <t>Innovation culture</t>
  </si>
  <si>
    <t>Products</t>
  </si>
  <si>
    <t>Processes</t>
  </si>
  <si>
    <t>Error analysis</t>
  </si>
  <si>
    <t>Cause - effect</t>
  </si>
  <si>
    <t>Customer complaints</t>
  </si>
  <si>
    <t>Search for ideas</t>
  </si>
  <si>
    <t>Évaluation</t>
  </si>
  <si>
    <t>Techniques de créativités</t>
  </si>
  <si>
    <t>Creativity techniques</t>
  </si>
  <si>
    <t>Plus-values clients</t>
  </si>
  <si>
    <t>Customer benefit</t>
  </si>
  <si>
    <t>Rating matrix</t>
  </si>
  <si>
    <t>Innovation costs</t>
  </si>
  <si>
    <t>Variants</t>
  </si>
  <si>
    <t>Cost - Benefit</t>
  </si>
  <si>
    <t>Project management</t>
  </si>
  <si>
    <t>Innovation cockpit</t>
  </si>
  <si>
    <t>Risk management</t>
  </si>
  <si>
    <t>Pareto chart</t>
  </si>
  <si>
    <t>Management cockpit</t>
  </si>
  <si>
    <t>Coûts de l'innovation</t>
  </si>
  <si>
    <t>Coûts - Avantage</t>
  </si>
  <si>
    <t xml:space="preserve"> D E V E L O P M E N T   T R E N D S</t>
  </si>
  <si>
    <t>Political trends</t>
  </si>
  <si>
    <t>Influencing factors</t>
  </si>
  <si>
    <t>Impact on innovation</t>
  </si>
  <si>
    <t>Strength of impact</t>
  </si>
  <si>
    <t>Possible measures / innovations</t>
  </si>
  <si>
    <t>Economic trends</t>
  </si>
  <si>
    <t>Sociological trends</t>
  </si>
  <si>
    <t>Technological trends</t>
  </si>
  <si>
    <t>Ecological trends</t>
  </si>
  <si>
    <t>Legal trends</t>
  </si>
  <si>
    <t>C O Û T S  -   A V A N T A G E</t>
  </si>
  <si>
    <t>C O S T   -   B E N E F I T</t>
  </si>
  <si>
    <t>Benefits</t>
  </si>
  <si>
    <t>high</t>
  </si>
  <si>
    <t>low</t>
  </si>
  <si>
    <t>Costs</t>
  </si>
  <si>
    <t>Expense</t>
  </si>
  <si>
    <t>Product innovation</t>
  </si>
  <si>
    <t>Service innovation</t>
  </si>
  <si>
    <t>Innovation processus</t>
  </si>
  <si>
    <t>Process innovation</t>
  </si>
  <si>
    <t>Organisational innovation</t>
  </si>
  <si>
    <t>I N NO V A T I O N   C O S T S</t>
  </si>
  <si>
    <t>Cost objects</t>
  </si>
  <si>
    <t>Influença-bilité ?</t>
  </si>
  <si>
    <t>Influenceable?</t>
  </si>
  <si>
    <t>Measures</t>
  </si>
  <si>
    <t>I M P L E M EN T A T I O N   &amp;   C O N T R O L I N G</t>
  </si>
  <si>
    <t>B E N E F I T</t>
  </si>
  <si>
    <t>Ideas</t>
  </si>
  <si>
    <t>Cost Saving</t>
  </si>
  <si>
    <t>Investments</t>
  </si>
  <si>
    <t>Economizing - Investments</t>
  </si>
  <si>
    <t>I N N O VA T I O N   P O R T F O L I O</t>
  </si>
  <si>
    <t>Profitability</t>
  </si>
  <si>
    <t>Reduce risks</t>
  </si>
  <si>
    <t>Selective strategies</t>
  </si>
  <si>
    <t>Heighten Profitability</t>
  </si>
  <si>
    <t>promote</t>
  </si>
  <si>
    <t>Plus-value pour clients</t>
  </si>
  <si>
    <t> C A N V A S:  F O R Z E    &amp;   D E B O L E Z Z E</t>
  </si>
  <si>
    <t>Kreative Intelligenz</t>
  </si>
  <si>
    <t>Intéligence créative</t>
  </si>
  <si>
    <t>Creative intelligence</t>
  </si>
  <si>
    <t>Kreativität</t>
  </si>
  <si>
    <t>Créativité</t>
  </si>
  <si>
    <t>Creativity</t>
  </si>
  <si>
    <t>V1.4.2</t>
  </si>
  <si>
    <t>Ihr Logo:</t>
  </si>
  <si>
    <t>Votre logo:</t>
  </si>
  <si>
    <t>Your logo:</t>
  </si>
  <si>
    <t>Vostro logo: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</si>
</sst>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 * #,##0.00_ ;_ * \-#,##0.00_ ;_ * &quot;-&quot;??_ ;_ @_ "/>
    <numFmt numFmtId="164" formatCode="_ &quot;fr.&quot;\ * #,##0.00_ ;_ &quot;fr.&quot;\ * \-#,##0.00_ ;_ &quot;fr.&quot;\ * &quot;-&quot;??_ ;_ @_ "/>
    <numFmt numFmtId="165" formatCode="0.0"/>
    <numFmt numFmtId="166" formatCode="_ * #,##0_ ;_ * \-#,##0_ ;_ * &quot;-&quot;??_ ;_ @_ "/>
    <numFmt numFmtId="167" formatCode=";;;"/>
    <numFmt numFmtId="168" formatCode="_-* #,##0.00\ [$€-1]_-;\-* #,##0.00\ [$€-1]_-;_-* &quot;-&quot;??\ [$€-1]_-"/>
  </numFmts>
  <fonts count="15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4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4"/>
      <color theme="6" tint="0.39997558519241921"/>
      <name val="Calibri"/>
      <family val="2"/>
      <scheme val="minor"/>
    </font>
    <font>
      <sz val="11"/>
      <name val="Arial"/>
      <family val="2"/>
    </font>
    <font>
      <sz val="9"/>
      <color theme="0"/>
      <name val="Arial"/>
      <family val="2"/>
    </font>
    <font>
      <sz val="4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4"/>
      <color theme="3"/>
      <name val="Calibri"/>
      <family val="2"/>
      <scheme val="minor"/>
    </font>
    <font>
      <sz val="24"/>
      <color theme="3"/>
      <name val="Calibri"/>
      <family val="2"/>
      <scheme val="minor"/>
    </font>
    <font>
      <sz val="2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sz val="9"/>
      <color rgb="FF000000"/>
      <name val="Verdana"/>
      <family val="2"/>
    </font>
    <font>
      <sz val="8"/>
      <color theme="1"/>
      <name val="Bauhaus 93"/>
      <family val="5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rgb="FF005581"/>
      <name val="Arial"/>
      <family val="2"/>
    </font>
    <font>
      <u/>
      <sz val="7.7"/>
      <color theme="10"/>
      <name val="Calibri"/>
      <family val="2"/>
    </font>
    <font>
      <u/>
      <sz val="7.7"/>
      <color theme="0"/>
      <name val="Calibri"/>
      <family val="2"/>
    </font>
    <font>
      <sz val="18"/>
      <color theme="0" tint="-0.499984740745262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9"/>
      <color theme="1"/>
      <name val="Arial"/>
      <family val="2"/>
    </font>
    <font>
      <sz val="11"/>
      <color theme="3"/>
      <name val="Arial"/>
      <family val="2"/>
    </font>
    <font>
      <sz val="11"/>
      <color theme="0"/>
      <name val="Arial"/>
      <family val="2"/>
    </font>
    <font>
      <sz val="14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0"/>
      <name val="Calibri"/>
      <family val="2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theme="3"/>
      <name val="Calibri"/>
      <family val="2"/>
      <scheme val="minor"/>
    </font>
    <font>
      <b/>
      <sz val="12"/>
      <color theme="4" tint="0.3999755851924192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2"/>
      <color theme="9" tint="0.39997558519241921"/>
      <name val="Calibri"/>
      <family val="2"/>
      <scheme val="minor"/>
    </font>
    <font>
      <sz val="16"/>
      <color theme="4" tint="0.39997558519241921"/>
      <name val="Calibri"/>
      <family val="2"/>
      <scheme val="minor"/>
    </font>
    <font>
      <sz val="16"/>
      <color theme="9" tint="0.3999755851924192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2"/>
      <color theme="5" tint="0.39997558519241921"/>
      <name val="Calibri"/>
      <family val="2"/>
      <scheme val="minor"/>
    </font>
    <font>
      <sz val="16"/>
      <color theme="5" tint="0.39997558519241921"/>
      <name val="Calibri"/>
      <family val="2"/>
      <scheme val="minor"/>
    </font>
    <font>
      <b/>
      <sz val="12"/>
      <color theme="7" tint="0.39997558519241921"/>
      <name val="Calibri"/>
      <family val="2"/>
      <scheme val="minor"/>
    </font>
    <font>
      <sz val="16"/>
      <color theme="7" tint="0.3999755851924192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Verdana"/>
      <family val="2"/>
    </font>
    <font>
      <b/>
      <sz val="9"/>
      <color theme="0"/>
      <name val="Calibri"/>
      <family val="2"/>
      <scheme val="minor"/>
    </font>
    <font>
      <sz val="11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Wingdings"/>
      <charset val="2"/>
    </font>
    <font>
      <sz val="10"/>
      <color theme="3"/>
      <name val="Wingdings"/>
      <charset val="2"/>
    </font>
    <font>
      <sz val="14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6"/>
      <color theme="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sz val="9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7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u/>
      <sz val="7.7"/>
      <name val="Calibri"/>
      <family val="2"/>
    </font>
    <font>
      <sz val="10"/>
      <color theme="0"/>
      <name val="Arial"/>
      <family val="2"/>
    </font>
    <font>
      <b/>
      <sz val="8"/>
      <color rgb="FFFF0000"/>
      <name val="Bauhaus 93"/>
      <family val="5"/>
    </font>
    <font>
      <u/>
      <sz val="11"/>
      <color theme="10"/>
      <name val="Calibri"/>
      <family val="2"/>
      <scheme val="minor"/>
    </font>
    <font>
      <sz val="18"/>
      <color theme="5"/>
      <name val="Calibri"/>
      <family val="2"/>
      <scheme val="minor"/>
    </font>
    <font>
      <sz val="9"/>
      <color rgb="FF3B5998"/>
      <name val="Arial"/>
      <family val="2"/>
    </font>
    <font>
      <sz val="10"/>
      <color theme="6" tint="0.79998168889431442"/>
      <name val="Calibri"/>
      <family val="2"/>
      <scheme val="minor"/>
    </font>
    <font>
      <sz val="10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 tint="0.499984740745262"/>
      <name val="Calibri"/>
      <family val="2"/>
      <scheme val="minor"/>
    </font>
    <font>
      <sz val="10"/>
      <color theme="1"/>
      <name val="Arial"/>
      <family val="2"/>
    </font>
    <font>
      <b/>
      <i/>
      <sz val="16"/>
      <color theme="0"/>
      <name val="Calibri"/>
      <family val="2"/>
      <scheme val="minor"/>
    </font>
    <font>
      <b/>
      <sz val="16"/>
      <color theme="3"/>
      <name val="Calibri"/>
      <family val="2"/>
      <scheme val="minor"/>
    </font>
    <font>
      <sz val="8"/>
      <color rgb="FFFF0000"/>
      <name val="Bauhaus 93"/>
      <family val="5"/>
    </font>
    <font>
      <sz val="8"/>
      <color theme="3" tint="-0.249977111117893"/>
      <name val="Bauhaus 93"/>
      <family val="5"/>
    </font>
    <font>
      <sz val="8"/>
      <color theme="1" tint="0.499984740745262"/>
      <name val="Calibri"/>
      <family val="2"/>
    </font>
    <font>
      <sz val="8"/>
      <color theme="1" tint="0.499984740745262"/>
      <name val="Calibri"/>
      <family val="2"/>
      <scheme val="minor"/>
    </font>
    <font>
      <b/>
      <sz val="8"/>
      <color theme="1" tint="0.499984740745262"/>
      <name val="Calibri"/>
      <family val="2"/>
      <scheme val="minor"/>
    </font>
    <font>
      <sz val="20"/>
      <color rgb="FFC00000"/>
      <name val="Calibri"/>
      <family val="2"/>
      <scheme val="minor"/>
    </font>
    <font>
      <sz val="14"/>
      <color theme="1" tint="0.499984740745262"/>
      <name val="Calibri"/>
      <family val="2"/>
      <scheme val="minor"/>
    </font>
    <font>
      <sz val="10"/>
      <name val="Arial"/>
      <family val="2"/>
    </font>
    <font>
      <sz val="9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4"/>
      <color theme="0" tint="-0.499984740745262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0"/>
      <color indexed="12"/>
      <name val="Arial"/>
      <family val="2"/>
    </font>
    <font>
      <u/>
      <sz val="10"/>
      <color indexed="12"/>
      <name val="Verdana"/>
      <family val="2"/>
    </font>
    <font>
      <sz val="23"/>
      <color theme="3"/>
      <name val="Calibri"/>
      <family val="2"/>
      <scheme val="minor"/>
    </font>
    <font>
      <sz val="22"/>
      <color theme="3"/>
      <name val="Calibri"/>
      <family val="2"/>
      <scheme val="minor"/>
    </font>
    <font>
      <sz val="24"/>
      <color theme="3"/>
      <name val="Calibri Light"/>
      <family val="2"/>
    </font>
    <font>
      <b/>
      <sz val="24"/>
      <color theme="3"/>
      <name val="Calibri Light"/>
      <family val="2"/>
    </font>
    <font>
      <sz val="12"/>
      <color theme="0" tint="-0.499984740745262"/>
      <name val="Calibri Light"/>
      <family val="2"/>
    </font>
    <font>
      <sz val="10"/>
      <name val="Calibri Light"/>
      <family val="2"/>
    </font>
    <font>
      <b/>
      <sz val="14"/>
      <color theme="3"/>
      <name val="Calibri Light"/>
      <family val="2"/>
    </font>
    <font>
      <sz val="12"/>
      <color theme="3"/>
      <name val="Calibri Light"/>
      <family val="2"/>
    </font>
    <font>
      <sz val="11"/>
      <color theme="3"/>
      <name val="Calibri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1"/>
      <color theme="0"/>
      <name val="Calibri Light"/>
      <family val="2"/>
    </font>
    <font>
      <sz val="14"/>
      <color rgb="FFC00000"/>
      <name val="Calibri Light"/>
      <family val="2"/>
    </font>
    <font>
      <sz val="14"/>
      <color theme="3"/>
      <name val="Calibri Light"/>
      <family val="2"/>
    </font>
    <font>
      <sz val="11"/>
      <name val="Calibri Light"/>
      <family val="2"/>
    </font>
    <font>
      <sz val="10"/>
      <color theme="1"/>
      <name val="Calibri Light"/>
      <family val="2"/>
    </font>
    <font>
      <b/>
      <sz val="12"/>
      <name val="Calibri Light"/>
      <family val="2"/>
    </font>
    <font>
      <b/>
      <sz val="10"/>
      <color theme="5"/>
      <name val="Calibri Light"/>
      <family val="2"/>
    </font>
    <font>
      <b/>
      <sz val="12"/>
      <color theme="5"/>
      <name val="Calibri Light"/>
      <family val="2"/>
    </font>
  </fonts>
  <fills count="50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469B"/>
        <bgColor indexed="64"/>
      </patternFill>
    </fill>
    <fill>
      <patternFill patternType="solid">
        <fgColor rgb="FF1455A8"/>
        <bgColor indexed="64"/>
      </patternFill>
    </fill>
    <fill>
      <patternFill patternType="solid">
        <fgColor rgb="FF3264B4"/>
        <bgColor indexed="64"/>
      </patternFill>
    </fill>
    <fill>
      <patternFill patternType="solid">
        <fgColor rgb="FF5078BE"/>
        <bgColor indexed="64"/>
      </patternFill>
    </fill>
    <fill>
      <patternFill patternType="solid">
        <fgColor rgb="FF739BCA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/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 style="hair">
        <color theme="0" tint="-0.34998626667073579"/>
      </right>
      <top style="thin">
        <color indexed="64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indexed="64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  <border>
      <left style="hair">
        <color theme="0" tint="-0.34998626667073579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/>
      <bottom style="hair">
        <color theme="0" tint="-0.34998626667073579"/>
      </bottom>
      <diagonal/>
    </border>
    <border>
      <left/>
      <right style="hair">
        <color theme="0" tint="-0.34998626667073579"/>
      </right>
      <top/>
      <bottom style="hair">
        <color theme="0" tint="-0.34998626667073579"/>
      </bottom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 style="thin">
        <color theme="3"/>
      </top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 style="thin">
        <color theme="7" tint="0.39994506668294322"/>
      </right>
      <top/>
      <bottom/>
      <diagonal/>
    </border>
    <border>
      <left/>
      <right style="thin">
        <color theme="4" tint="0.39994506668294322"/>
      </right>
      <top/>
      <bottom/>
      <diagonal/>
    </border>
    <border>
      <left style="thin">
        <color theme="3"/>
      </left>
      <right style="hair">
        <color auto="1"/>
      </right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hair">
        <color auto="1"/>
      </right>
      <top/>
      <bottom/>
      <diagonal/>
    </border>
    <border>
      <left style="hair">
        <color auto="1"/>
      </left>
      <right style="thin">
        <color theme="3"/>
      </right>
      <top/>
      <bottom/>
      <diagonal/>
    </border>
    <border>
      <left style="thin">
        <color indexed="64"/>
      </left>
      <right style="hair">
        <color auto="1"/>
      </right>
      <top/>
      <bottom/>
      <diagonal/>
    </border>
    <border>
      <left/>
      <right style="hair">
        <color auto="1"/>
      </right>
      <top/>
      <bottom style="thin">
        <color theme="3"/>
      </bottom>
      <diagonal/>
    </border>
    <border>
      <left style="hair">
        <color auto="1"/>
      </left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7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0" borderId="0"/>
    <xf numFmtId="0" fontId="31" fillId="0" borderId="0"/>
    <xf numFmtId="0" fontId="47" fillId="0" borderId="0" applyNumberFormat="0" applyFill="0" applyBorder="0" applyAlignment="0" applyProtection="0">
      <alignment vertical="top"/>
      <protection locked="0"/>
    </xf>
    <xf numFmtId="0" fontId="20" fillId="0" borderId="0"/>
    <xf numFmtId="164" fontId="19" fillId="0" borderId="0" applyFont="0" applyFill="0" applyBorder="0" applyAlignment="0" applyProtection="0"/>
    <xf numFmtId="0" fontId="87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7" fillId="0" borderId="0"/>
    <xf numFmtId="0" fontId="16" fillId="0" borderId="0"/>
    <xf numFmtId="0" fontId="115" fillId="0" borderId="0" applyNumberFormat="0" applyFill="0" applyBorder="0" applyAlignment="0" applyProtection="0"/>
    <xf numFmtId="0" fontId="15" fillId="0" borderId="0"/>
    <xf numFmtId="0" fontId="13" fillId="0" borderId="0"/>
    <xf numFmtId="0" fontId="12" fillId="35" borderId="0" applyNumberFormat="0" applyBorder="0" applyAlignment="0" applyProtection="0"/>
    <xf numFmtId="0" fontId="12" fillId="0" borderId="0"/>
    <xf numFmtId="0" fontId="11" fillId="0" borderId="0"/>
    <xf numFmtId="0" fontId="6" fillId="0" borderId="0"/>
    <xf numFmtId="0" fontId="5" fillId="0" borderId="0"/>
    <xf numFmtId="9" fontId="133" fillId="0" borderId="0" applyFont="0" applyFill="0" applyBorder="0" applyAlignment="0" applyProtection="0"/>
    <xf numFmtId="0" fontId="1" fillId="0" borderId="0"/>
    <xf numFmtId="168" fontId="87" fillId="0" borderId="0" applyFont="0" applyFill="0" applyBorder="0" applyAlignment="0" applyProtection="0"/>
    <xf numFmtId="0" fontId="115" fillId="0" borderId="0" applyNumberFormat="0" applyFill="0" applyBorder="0" applyAlignment="0" applyProtection="0"/>
    <xf numFmtId="0" fontId="138" fillId="0" borderId="0" applyNumberFormat="0" applyFill="0" applyBorder="0" applyAlignment="0" applyProtection="0">
      <alignment vertical="top"/>
      <protection locked="0"/>
    </xf>
    <xf numFmtId="0" fontId="139" fillId="0" borderId="0" applyNumberFormat="0" applyFill="0" applyBorder="0" applyAlignment="0" applyProtection="0">
      <alignment vertical="top"/>
      <protection locked="0"/>
    </xf>
  </cellStyleXfs>
  <cellXfs count="1146">
    <xf numFmtId="0" fontId="0" fillId="0" borderId="0" xfId="0"/>
    <xf numFmtId="0" fontId="19" fillId="0" borderId="0" xfId="3" applyAlignment="1">
      <alignment vertical="top"/>
    </xf>
    <xf numFmtId="0" fontId="36" fillId="0" borderId="3" xfId="3" applyFont="1" applyBorder="1" applyAlignment="1" applyProtection="1">
      <alignment vertical="center"/>
      <protection hidden="1"/>
    </xf>
    <xf numFmtId="0" fontId="37" fillId="0" borderId="3" xfId="3" applyFont="1" applyBorder="1" applyAlignment="1" applyProtection="1">
      <alignment vertical="center"/>
      <protection hidden="1"/>
    </xf>
    <xf numFmtId="0" fontId="38" fillId="0" borderId="3" xfId="3" applyFont="1" applyBorder="1" applyAlignment="1" applyProtection="1">
      <alignment vertical="center"/>
      <protection hidden="1"/>
    </xf>
    <xf numFmtId="0" fontId="39" fillId="0" borderId="0" xfId="3" applyFont="1" applyProtection="1">
      <protection hidden="1"/>
    </xf>
    <xf numFmtId="0" fontId="40" fillId="0" borderId="0" xfId="3" applyFont="1" applyAlignment="1" applyProtection="1">
      <alignment vertical="center"/>
      <protection hidden="1"/>
    </xf>
    <xf numFmtId="0" fontId="19" fillId="0" borderId="0" xfId="3" applyProtection="1">
      <protection hidden="1"/>
    </xf>
    <xf numFmtId="0" fontId="19" fillId="0" borderId="0" xfId="3"/>
    <xf numFmtId="0" fontId="46" fillId="0" borderId="0" xfId="3" applyFont="1"/>
    <xf numFmtId="0" fontId="36" fillId="0" borderId="3" xfId="3" applyFont="1" applyBorder="1" applyAlignment="1">
      <alignment vertical="center"/>
    </xf>
    <xf numFmtId="0" fontId="37" fillId="0" borderId="3" xfId="3" applyFont="1" applyBorder="1" applyAlignment="1">
      <alignment vertical="center"/>
    </xf>
    <xf numFmtId="0" fontId="39" fillId="0" borderId="0" xfId="3" applyFont="1"/>
    <xf numFmtId="0" fontId="37" fillId="0" borderId="0" xfId="3" applyFont="1" applyAlignment="1">
      <alignment vertical="center"/>
    </xf>
    <xf numFmtId="0" fontId="41" fillId="0" borderId="0" xfId="3" applyFont="1" applyAlignment="1">
      <alignment horizontal="left" vertical="top"/>
    </xf>
    <xf numFmtId="0" fontId="48" fillId="0" borderId="0" xfId="5" applyFont="1" applyAlignment="1" applyProtection="1">
      <protection hidden="1"/>
    </xf>
    <xf numFmtId="0" fontId="19" fillId="9" borderId="0" xfId="3" applyFill="1"/>
    <xf numFmtId="1" fontId="19" fillId="9" borderId="0" xfId="3" applyNumberFormat="1" applyFill="1"/>
    <xf numFmtId="0" fontId="43" fillId="0" borderId="0" xfId="3" applyFont="1" applyAlignment="1">
      <alignment vertical="top"/>
    </xf>
    <xf numFmtId="0" fontId="52" fillId="9" borderId="0" xfId="3" applyFont="1" applyFill="1"/>
    <xf numFmtId="0" fontId="19" fillId="0" borderId="0" xfId="3" applyProtection="1">
      <protection locked="0" hidden="1"/>
    </xf>
    <xf numFmtId="0" fontId="19" fillId="9" borderId="0" xfId="3" applyFill="1" applyProtection="1">
      <protection hidden="1"/>
    </xf>
    <xf numFmtId="0" fontId="53" fillId="0" borderId="0" xfId="3" applyFont="1"/>
    <xf numFmtId="0" fontId="41" fillId="0" borderId="0" xfId="3" applyFont="1" applyAlignment="1">
      <alignment vertical="top"/>
    </xf>
    <xf numFmtId="0" fontId="36" fillId="0" borderId="0" xfId="3" applyFont="1" applyAlignment="1" applyProtection="1">
      <alignment vertical="center"/>
      <protection locked="0" hidden="1"/>
    </xf>
    <xf numFmtId="0" fontId="36" fillId="0" borderId="0" xfId="3" applyFont="1" applyAlignment="1" applyProtection="1">
      <alignment vertical="center"/>
      <protection hidden="1"/>
    </xf>
    <xf numFmtId="0" fontId="37" fillId="0" borderId="0" xfId="3" applyFont="1" applyAlignment="1" applyProtection="1">
      <alignment vertical="center"/>
      <protection hidden="1"/>
    </xf>
    <xf numFmtId="0" fontId="38" fillId="0" borderId="0" xfId="3" applyFont="1" applyAlignment="1" applyProtection="1">
      <alignment vertical="center"/>
      <protection hidden="1"/>
    </xf>
    <xf numFmtId="0" fontId="58" fillId="9" borderId="0" xfId="3" applyFont="1" applyFill="1" applyAlignment="1" applyProtection="1">
      <alignment vertical="center"/>
      <protection locked="0" hidden="1"/>
    </xf>
    <xf numFmtId="0" fontId="59" fillId="0" borderId="0" xfId="3" applyFont="1" applyAlignment="1">
      <alignment vertical="top" textRotation="90" shrinkToFit="1"/>
    </xf>
    <xf numFmtId="0" fontId="59" fillId="0" borderId="0" xfId="3" applyFont="1" applyAlignment="1">
      <alignment horizontal="center" vertical="top" textRotation="90" shrinkToFit="1"/>
    </xf>
    <xf numFmtId="0" fontId="26" fillId="0" borderId="0" xfId="3" applyFont="1" applyAlignment="1">
      <alignment vertical="top"/>
    </xf>
    <xf numFmtId="2" fontId="26" fillId="0" borderId="0" xfId="3" applyNumberFormat="1" applyFont="1" applyAlignment="1">
      <alignment vertical="top"/>
    </xf>
    <xf numFmtId="2" fontId="26" fillId="0" borderId="0" xfId="3" applyNumberFormat="1" applyFont="1"/>
    <xf numFmtId="0" fontId="19" fillId="0" borderId="0" xfId="3" applyAlignment="1" applyProtection="1">
      <alignment vertical="top"/>
      <protection hidden="1"/>
    </xf>
    <xf numFmtId="0" fontId="61" fillId="0" borderId="0" xfId="5" applyFont="1" applyAlignment="1" applyProtection="1"/>
    <xf numFmtId="0" fontId="19" fillId="0" borderId="0" xfId="3" applyAlignment="1">
      <alignment wrapText="1"/>
    </xf>
    <xf numFmtId="0" fontId="26" fillId="0" borderId="0" xfId="3" applyFont="1"/>
    <xf numFmtId="0" fontId="59" fillId="0" borderId="0" xfId="3" applyFont="1" applyAlignment="1" applyProtection="1">
      <alignment vertical="top" textRotation="90" shrinkToFit="1"/>
      <protection hidden="1"/>
    </xf>
    <xf numFmtId="0" fontId="48" fillId="0" borderId="0" xfId="5" applyFont="1" applyBorder="1" applyAlignment="1" applyProtection="1">
      <protection hidden="1"/>
    </xf>
    <xf numFmtId="0" fontId="59" fillId="0" borderId="0" xfId="3" applyFont="1" applyAlignment="1" applyProtection="1">
      <alignment vertical="center" textRotation="90" shrinkToFit="1"/>
      <protection hidden="1"/>
    </xf>
    <xf numFmtId="0" fontId="19" fillId="0" borderId="0" xfId="3" applyAlignment="1" applyProtection="1">
      <alignment horizontal="left" vertical="top"/>
      <protection hidden="1"/>
    </xf>
    <xf numFmtId="0" fontId="19" fillId="0" borderId="0" xfId="3" applyAlignment="1" applyProtection="1">
      <alignment horizontal="left" vertical="top" indent="1"/>
      <protection hidden="1"/>
    </xf>
    <xf numFmtId="0" fontId="26" fillId="10" borderId="0" xfId="3" applyFont="1" applyFill="1" applyProtection="1">
      <protection hidden="1"/>
    </xf>
    <xf numFmtId="0" fontId="69" fillId="10" borderId="0" xfId="3" applyFont="1" applyFill="1" applyProtection="1">
      <protection hidden="1"/>
    </xf>
    <xf numFmtId="0" fontId="23" fillId="10" borderId="0" xfId="3" applyFont="1" applyFill="1" applyProtection="1">
      <protection hidden="1"/>
    </xf>
    <xf numFmtId="0" fontId="56" fillId="23" borderId="0" xfId="3" applyFont="1" applyFill="1" applyProtection="1">
      <protection hidden="1"/>
    </xf>
    <xf numFmtId="0" fontId="19" fillId="23" borderId="0" xfId="3" applyFill="1" applyProtection="1">
      <protection hidden="1"/>
    </xf>
    <xf numFmtId="0" fontId="56" fillId="8" borderId="0" xfId="3" applyFont="1" applyFill="1" applyProtection="1">
      <protection hidden="1"/>
    </xf>
    <xf numFmtId="0" fontId="19" fillId="8" borderId="0" xfId="3" applyFill="1" applyProtection="1">
      <protection hidden="1"/>
    </xf>
    <xf numFmtId="0" fontId="25" fillId="0" borderId="0" xfId="3" applyFont="1" applyAlignment="1" applyProtection="1">
      <alignment vertical="top" wrapText="1"/>
      <protection hidden="1"/>
    </xf>
    <xf numFmtId="49" fontId="39" fillId="0" borderId="0" xfId="3" applyNumberFormat="1" applyFont="1" applyAlignment="1" applyProtection="1">
      <alignment horizontal="left" vertical="top" wrapText="1"/>
      <protection hidden="1"/>
    </xf>
    <xf numFmtId="0" fontId="51" fillId="0" borderId="0" xfId="3" applyFont="1" applyAlignment="1" applyProtection="1">
      <alignment horizontal="center" vertical="center" wrapText="1"/>
      <protection hidden="1"/>
    </xf>
    <xf numFmtId="0" fontId="19" fillId="0" borderId="0" xfId="3" applyAlignment="1" applyProtection="1">
      <alignment horizontal="center" vertical="center"/>
      <protection hidden="1"/>
    </xf>
    <xf numFmtId="1" fontId="56" fillId="0" borderId="0" xfId="3" applyNumberFormat="1" applyFont="1" applyAlignment="1" applyProtection="1">
      <alignment horizontal="center" vertical="center" wrapText="1"/>
      <protection hidden="1"/>
    </xf>
    <xf numFmtId="1" fontId="39" fillId="0" borderId="0" xfId="3" applyNumberFormat="1" applyFont="1" applyAlignment="1" applyProtection="1">
      <alignment horizontal="center" vertical="center" wrapText="1"/>
      <protection hidden="1"/>
    </xf>
    <xf numFmtId="0" fontId="39" fillId="0" borderId="0" xfId="3" applyFont="1" applyAlignment="1" applyProtection="1">
      <alignment horizontal="center" vertical="top"/>
      <protection hidden="1"/>
    </xf>
    <xf numFmtId="0" fontId="62" fillId="0" borderId="0" xfId="3" applyFont="1" applyAlignment="1" applyProtection="1">
      <alignment horizontal="center" vertical="center"/>
      <protection hidden="1"/>
    </xf>
    <xf numFmtId="0" fontId="46" fillId="0" borderId="0" xfId="3" applyFont="1" applyProtection="1">
      <protection hidden="1"/>
    </xf>
    <xf numFmtId="0" fontId="53" fillId="0" borderId="0" xfId="3" applyFont="1" applyProtection="1">
      <protection hidden="1"/>
    </xf>
    <xf numFmtId="0" fontId="26" fillId="0" borderId="0" xfId="3" applyFont="1" applyProtection="1">
      <protection hidden="1"/>
    </xf>
    <xf numFmtId="0" fontId="59" fillId="0" borderId="0" xfId="3" applyFont="1" applyAlignment="1">
      <alignment vertical="center" textRotation="90" shrinkToFit="1"/>
    </xf>
    <xf numFmtId="0" fontId="19" fillId="9" borderId="0" xfId="3" applyFill="1" applyAlignment="1">
      <alignment horizontal="left" indent="13"/>
    </xf>
    <xf numFmtId="0" fontId="41" fillId="0" borderId="0" xfId="3" applyFont="1" applyAlignment="1" applyProtection="1">
      <alignment horizontal="left" vertical="top"/>
      <protection hidden="1"/>
    </xf>
    <xf numFmtId="0" fontId="58" fillId="9" borderId="3" xfId="3" applyFont="1" applyFill="1" applyBorder="1" applyAlignment="1" applyProtection="1">
      <alignment vertical="center"/>
      <protection hidden="1"/>
    </xf>
    <xf numFmtId="0" fontId="62" fillId="9" borderId="0" xfId="3" applyFont="1" applyFill="1" applyProtection="1">
      <protection hidden="1"/>
    </xf>
    <xf numFmtId="0" fontId="95" fillId="0" borderId="0" xfId="3" applyFont="1" applyAlignment="1" applyProtection="1">
      <alignment vertical="center"/>
      <protection hidden="1"/>
    </xf>
    <xf numFmtId="0" fontId="96" fillId="0" borderId="0" xfId="3" applyFont="1" applyAlignment="1" applyProtection="1">
      <alignment horizontal="center" vertical="center"/>
      <protection hidden="1"/>
    </xf>
    <xf numFmtId="0" fontId="97" fillId="0" borderId="0" xfId="3" applyFont="1" applyProtection="1">
      <protection hidden="1"/>
    </xf>
    <xf numFmtId="0" fontId="39" fillId="0" borderId="0" xfId="3" applyFont="1" applyAlignment="1" applyProtection="1">
      <alignment vertical="top"/>
      <protection hidden="1"/>
    </xf>
    <xf numFmtId="0" fontId="37" fillId="9" borderId="0" xfId="3" applyFont="1" applyFill="1" applyAlignment="1" applyProtection="1">
      <alignment vertical="center"/>
      <protection hidden="1"/>
    </xf>
    <xf numFmtId="0" fontId="96" fillId="0" borderId="0" xfId="3" applyFont="1" applyAlignment="1" applyProtection="1">
      <alignment vertical="center"/>
      <protection hidden="1"/>
    </xf>
    <xf numFmtId="0" fontId="19" fillId="23" borderId="0" xfId="3" applyFill="1" applyAlignment="1" applyProtection="1">
      <alignment horizontal="left" vertical="top"/>
      <protection hidden="1"/>
    </xf>
    <xf numFmtId="0" fontId="25" fillId="23" borderId="0" xfId="3" applyFont="1" applyFill="1" applyProtection="1">
      <protection hidden="1"/>
    </xf>
    <xf numFmtId="166" fontId="98" fillId="23" borderId="0" xfId="9" applyNumberFormat="1" applyFont="1" applyFill="1" applyBorder="1" applyAlignment="1" applyProtection="1">
      <alignment horizontal="left"/>
      <protection hidden="1"/>
    </xf>
    <xf numFmtId="0" fontId="85" fillId="8" borderId="0" xfId="3" applyFont="1" applyFill="1" applyAlignment="1" applyProtection="1">
      <alignment horizontal="right" textRotation="90"/>
      <protection hidden="1"/>
    </xf>
    <xf numFmtId="0" fontId="39" fillId="0" borderId="0" xfId="3" applyFont="1" applyAlignment="1" applyProtection="1">
      <alignment horizontal="center" textRotation="90"/>
      <protection hidden="1"/>
    </xf>
    <xf numFmtId="0" fontId="39" fillId="23" borderId="0" xfId="3" applyFont="1" applyFill="1" applyAlignment="1" applyProtection="1">
      <alignment horizontal="center" textRotation="90"/>
      <protection hidden="1"/>
    </xf>
    <xf numFmtId="165" fontId="97" fillId="0" borderId="0" xfId="3" applyNumberFormat="1" applyFont="1" applyAlignment="1" applyProtection="1">
      <alignment horizontal="left" vertical="center"/>
      <protection hidden="1"/>
    </xf>
    <xf numFmtId="0" fontId="23" fillId="0" borderId="0" xfId="3" applyFont="1" applyAlignment="1" applyProtection="1">
      <alignment horizontal="center" textRotation="90"/>
      <protection hidden="1"/>
    </xf>
    <xf numFmtId="0" fontId="44" fillId="0" borderId="0" xfId="3" applyFont="1" applyAlignment="1" applyProtection="1">
      <alignment horizontal="center" textRotation="90"/>
      <protection hidden="1"/>
    </xf>
    <xf numFmtId="0" fontId="19" fillId="9" borderId="0" xfId="3" applyFill="1" applyAlignment="1" applyProtection="1">
      <alignment vertical="top"/>
      <protection hidden="1"/>
    </xf>
    <xf numFmtId="0" fontId="19" fillId="23" borderId="0" xfId="3" applyFill="1"/>
    <xf numFmtId="165" fontId="26" fillId="0" borderId="0" xfId="3" applyNumberFormat="1" applyFont="1" applyAlignment="1" applyProtection="1">
      <alignment horizontal="left"/>
      <protection hidden="1"/>
    </xf>
    <xf numFmtId="0" fontId="45" fillId="0" borderId="0" xfId="3" applyFont="1" applyAlignment="1" applyProtection="1">
      <alignment horizontal="center"/>
      <protection hidden="1"/>
    </xf>
    <xf numFmtId="166" fontId="19" fillId="23" borderId="0" xfId="9" applyNumberFormat="1" applyFont="1" applyFill="1" applyBorder="1" applyAlignment="1" applyProtection="1">
      <alignment horizontal="left"/>
      <protection hidden="1"/>
    </xf>
    <xf numFmtId="0" fontId="39" fillId="0" borderId="0" xfId="3" applyFont="1" applyAlignment="1" applyProtection="1">
      <alignment horizontal="center" vertical="center"/>
      <protection hidden="1"/>
    </xf>
    <xf numFmtId="0" fontId="19" fillId="23" borderId="0" xfId="3" applyFill="1" applyAlignment="1" applyProtection="1">
      <alignment horizontal="left" vertical="center"/>
      <protection hidden="1"/>
    </xf>
    <xf numFmtId="166" fontId="94" fillId="23" borderId="0" xfId="9" applyNumberFormat="1" applyFont="1" applyFill="1" applyBorder="1" applyAlignment="1" applyProtection="1">
      <alignment horizontal="right" vertical="top"/>
      <protection hidden="1"/>
    </xf>
    <xf numFmtId="0" fontId="39" fillId="23" borderId="0" xfId="3" applyFont="1" applyFill="1" applyAlignment="1" applyProtection="1">
      <alignment horizontal="center"/>
      <protection hidden="1"/>
    </xf>
    <xf numFmtId="165" fontId="23" fillId="0" borderId="0" xfId="3" applyNumberFormat="1" applyFont="1" applyAlignment="1" applyProtection="1">
      <alignment horizontal="left"/>
      <protection hidden="1"/>
    </xf>
    <xf numFmtId="0" fontId="62" fillId="0" borderId="0" xfId="3" applyFont="1" applyAlignment="1" applyProtection="1">
      <alignment horizontal="center"/>
      <protection hidden="1"/>
    </xf>
    <xf numFmtId="0" fontId="62" fillId="9" borderId="0" xfId="3" applyFont="1" applyFill="1" applyAlignment="1" applyProtection="1">
      <alignment vertical="top"/>
      <protection hidden="1"/>
    </xf>
    <xf numFmtId="0" fontId="99" fillId="0" borderId="0" xfId="3" applyFont="1" applyProtection="1">
      <protection hidden="1"/>
    </xf>
    <xf numFmtId="9" fontId="85" fillId="0" borderId="0" xfId="10" applyFont="1" applyFill="1" applyBorder="1" applyAlignment="1" applyProtection="1">
      <alignment horizontal="center"/>
      <protection hidden="1"/>
    </xf>
    <xf numFmtId="0" fontId="85" fillId="0" borderId="0" xfId="3" applyFont="1" applyAlignment="1" applyProtection="1">
      <alignment horizontal="center"/>
      <protection hidden="1"/>
    </xf>
    <xf numFmtId="0" fontId="19" fillId="9" borderId="0" xfId="3" applyFill="1" applyProtection="1">
      <protection locked="0" hidden="1"/>
    </xf>
    <xf numFmtId="0" fontId="99" fillId="9" borderId="0" xfId="3" applyFont="1" applyFill="1" applyProtection="1">
      <protection hidden="1"/>
    </xf>
    <xf numFmtId="0" fontId="85" fillId="9" borderId="0" xfId="3" applyFont="1" applyFill="1" applyAlignment="1" applyProtection="1">
      <alignment horizontal="left" textRotation="90"/>
      <protection hidden="1"/>
    </xf>
    <xf numFmtId="0" fontId="39" fillId="9" borderId="0" xfId="3" applyFont="1" applyFill="1" applyProtection="1">
      <protection hidden="1"/>
    </xf>
    <xf numFmtId="0" fontId="26" fillId="0" borderId="0" xfId="3" applyFont="1" applyAlignment="1" applyProtection="1">
      <alignment horizontal="center"/>
      <protection hidden="1"/>
    </xf>
    <xf numFmtId="0" fontId="26" fillId="10" borderId="0" xfId="3" applyFont="1" applyFill="1" applyAlignment="1" applyProtection="1">
      <alignment horizontal="center" vertical="center"/>
      <protection hidden="1"/>
    </xf>
    <xf numFmtId="0" fontId="100" fillId="0" borderId="0" xfId="3" applyFont="1" applyAlignment="1" applyProtection="1">
      <alignment horizontal="right" vertical="top" wrapText="1"/>
      <protection hidden="1"/>
    </xf>
    <xf numFmtId="0" fontId="101" fillId="10" borderId="0" xfId="3" applyFont="1" applyFill="1" applyAlignment="1" applyProtection="1">
      <alignment horizontal="right"/>
      <protection hidden="1"/>
    </xf>
    <xf numFmtId="0" fontId="58" fillId="10" borderId="0" xfId="3" applyFont="1" applyFill="1" applyAlignment="1" applyProtection="1">
      <alignment horizontal="left"/>
      <protection hidden="1"/>
    </xf>
    <xf numFmtId="0" fontId="101" fillId="10" borderId="0" xfId="3" applyFont="1" applyFill="1" applyAlignment="1" applyProtection="1">
      <alignment horizontal="center" vertical="center" wrapText="1"/>
      <protection hidden="1"/>
    </xf>
    <xf numFmtId="0" fontId="101" fillId="10" borderId="0" xfId="3" applyFont="1" applyFill="1" applyAlignment="1" applyProtection="1">
      <alignment vertical="center" wrapText="1"/>
      <protection hidden="1"/>
    </xf>
    <xf numFmtId="0" fontId="101" fillId="10" borderId="0" xfId="3" applyFont="1" applyFill="1" applyAlignment="1" applyProtection="1">
      <alignment horizontal="left" vertical="center" wrapText="1"/>
      <protection hidden="1"/>
    </xf>
    <xf numFmtId="0" fontId="58" fillId="9" borderId="0" xfId="3" applyFont="1" applyFill="1" applyAlignment="1" applyProtection="1">
      <alignment horizontal="left"/>
      <protection hidden="1"/>
    </xf>
    <xf numFmtId="0" fontId="101" fillId="10" borderId="0" xfId="3" applyFont="1" applyFill="1" applyAlignment="1" applyProtection="1">
      <alignment horizontal="right" vertical="center" wrapText="1"/>
      <protection hidden="1"/>
    </xf>
    <xf numFmtId="0" fontId="101" fillId="0" borderId="0" xfId="3" applyFont="1" applyAlignment="1" applyProtection="1">
      <alignment vertical="center" wrapText="1"/>
      <protection hidden="1"/>
    </xf>
    <xf numFmtId="0" fontId="97" fillId="23" borderId="0" xfId="3" applyFont="1" applyFill="1" applyAlignment="1" applyProtection="1">
      <alignment horizontal="center" vertical="center"/>
      <protection hidden="1"/>
    </xf>
    <xf numFmtId="0" fontId="97" fillId="0" borderId="0" xfId="3" applyFont="1" applyAlignment="1" applyProtection="1">
      <alignment horizontal="center" vertical="center"/>
      <protection hidden="1"/>
    </xf>
    <xf numFmtId="165" fontId="19" fillId="9" borderId="0" xfId="3" applyNumberFormat="1" applyFill="1" applyAlignment="1" applyProtection="1">
      <alignment vertical="top"/>
      <protection hidden="1"/>
    </xf>
    <xf numFmtId="0" fontId="102" fillId="8" borderId="0" xfId="3" applyFont="1" applyFill="1" applyAlignment="1" applyProtection="1">
      <alignment horizontal="right" vertical="top" wrapText="1"/>
      <protection hidden="1"/>
    </xf>
    <xf numFmtId="0" fontId="41" fillId="9" borderId="15" xfId="3" applyFont="1" applyFill="1" applyBorder="1" applyAlignment="1" applyProtection="1">
      <alignment horizontal="right" vertical="top"/>
      <protection locked="0"/>
    </xf>
    <xf numFmtId="0" fontId="85" fillId="0" borderId="0" xfId="3" applyFont="1" applyAlignment="1" applyProtection="1">
      <alignment horizontal="center" vertical="top"/>
      <protection hidden="1"/>
    </xf>
    <xf numFmtId="0" fontId="85" fillId="23" borderId="0" xfId="3" applyFont="1" applyFill="1" applyAlignment="1" applyProtection="1">
      <alignment horizontal="center" vertical="top"/>
      <protection hidden="1"/>
    </xf>
    <xf numFmtId="0" fontId="103" fillId="0" borderId="0" xfId="3" applyFont="1" applyAlignment="1" applyProtection="1">
      <alignment horizontal="right" vertical="top" wrapText="1"/>
      <protection hidden="1"/>
    </xf>
    <xf numFmtId="0" fontId="102" fillId="23" borderId="0" xfId="3" applyFont="1" applyFill="1" applyAlignment="1" applyProtection="1">
      <alignment horizontal="right" vertical="top" wrapText="1"/>
      <protection hidden="1"/>
    </xf>
    <xf numFmtId="0" fontId="58" fillId="23" borderId="0" xfId="3" applyFont="1" applyFill="1" applyAlignment="1" applyProtection="1">
      <alignment horizontal="left"/>
      <protection hidden="1"/>
    </xf>
    <xf numFmtId="0" fontId="41" fillId="23" borderId="15" xfId="3" applyFont="1" applyFill="1" applyBorder="1" applyAlignment="1" applyProtection="1">
      <alignment horizontal="right" vertical="top"/>
      <protection locked="0"/>
    </xf>
    <xf numFmtId="0" fontId="85" fillId="0" borderId="16" xfId="3" applyFont="1" applyBorder="1" applyAlignment="1" applyProtection="1">
      <alignment horizontal="center" vertical="top"/>
      <protection hidden="1"/>
    </xf>
    <xf numFmtId="0" fontId="19" fillId="9" borderId="0" xfId="3" applyFill="1" applyAlignment="1" applyProtection="1">
      <alignment horizontal="left" vertical="top"/>
      <protection hidden="1"/>
    </xf>
    <xf numFmtId="0" fontId="58" fillId="8" borderId="0" xfId="3" applyFont="1" applyFill="1" applyAlignment="1" applyProtection="1">
      <alignment horizontal="left"/>
      <protection hidden="1"/>
    </xf>
    <xf numFmtId="0" fontId="41" fillId="8" borderId="15" xfId="3" applyFont="1" applyFill="1" applyBorder="1" applyAlignment="1" applyProtection="1">
      <alignment horizontal="right" vertical="top"/>
      <protection locked="0"/>
    </xf>
    <xf numFmtId="0" fontId="103" fillId="8" borderId="0" xfId="3" applyFont="1" applyFill="1" applyAlignment="1" applyProtection="1">
      <alignment horizontal="left" vertical="top" wrapText="1"/>
      <protection hidden="1"/>
    </xf>
    <xf numFmtId="0" fontId="103" fillId="9" borderId="0" xfId="3" applyFont="1" applyFill="1" applyAlignment="1" applyProtection="1">
      <alignment horizontal="left" vertical="top" wrapText="1"/>
      <protection hidden="1"/>
    </xf>
    <xf numFmtId="0" fontId="19" fillId="8" borderId="0" xfId="3" applyFill="1" applyAlignment="1" applyProtection="1">
      <alignment horizontal="left" vertical="top" wrapText="1"/>
      <protection hidden="1"/>
    </xf>
    <xf numFmtId="0" fontId="19" fillId="9" borderId="0" xfId="3" applyFill="1" applyAlignment="1" applyProtection="1">
      <alignment horizontal="left" vertical="top" wrapText="1"/>
      <protection hidden="1"/>
    </xf>
    <xf numFmtId="0" fontId="102" fillId="8" borderId="0" xfId="3" applyFont="1" applyFill="1" applyAlignment="1" applyProtection="1">
      <alignment horizontal="right" vertical="center" wrapText="1"/>
      <protection hidden="1"/>
    </xf>
    <xf numFmtId="0" fontId="54" fillId="9" borderId="0" xfId="3" applyFont="1" applyFill="1" applyAlignment="1" applyProtection="1">
      <alignment horizontal="right" vertical="top"/>
      <protection hidden="1"/>
    </xf>
    <xf numFmtId="0" fontId="26" fillId="0" borderId="0" xfId="3" applyFont="1" applyAlignment="1" applyProtection="1">
      <alignment horizontal="left" vertical="top" wrapText="1"/>
      <protection hidden="1"/>
    </xf>
    <xf numFmtId="49" fontId="104" fillId="0" borderId="0" xfId="3" applyNumberFormat="1" applyFont="1" applyAlignment="1" applyProtection="1">
      <alignment horizontal="left" vertical="center" wrapText="1"/>
      <protection hidden="1"/>
    </xf>
    <xf numFmtId="1" fontId="56" fillId="9" borderId="0" xfId="3" applyNumberFormat="1" applyFont="1" applyFill="1" applyAlignment="1" applyProtection="1">
      <alignment horizontal="center" vertical="center" wrapText="1"/>
      <protection hidden="1"/>
    </xf>
    <xf numFmtId="1" fontId="105" fillId="0" borderId="0" xfId="3" applyNumberFormat="1" applyFont="1" applyAlignment="1" applyProtection="1">
      <alignment horizontal="center" vertical="center" wrapText="1"/>
      <protection hidden="1"/>
    </xf>
    <xf numFmtId="0" fontId="26" fillId="0" borderId="0" xfId="3" applyFont="1" applyAlignment="1" applyProtection="1">
      <alignment horizontal="center" vertical="center"/>
      <protection hidden="1"/>
    </xf>
    <xf numFmtId="0" fontId="26" fillId="9" borderId="0" xfId="3" applyFont="1" applyFill="1" applyProtection="1">
      <protection hidden="1"/>
    </xf>
    <xf numFmtId="0" fontId="55" fillId="9" borderId="0" xfId="3" applyFont="1" applyFill="1" applyAlignment="1" applyProtection="1">
      <alignment horizontal="right" vertical="top"/>
      <protection hidden="1"/>
    </xf>
    <xf numFmtId="0" fontId="106" fillId="0" borderId="0" xfId="3" applyFont="1" applyProtection="1">
      <protection hidden="1"/>
    </xf>
    <xf numFmtId="0" fontId="106" fillId="9" borderId="0" xfId="3" applyFont="1" applyFill="1" applyAlignment="1" applyProtection="1">
      <alignment vertical="top"/>
      <protection hidden="1"/>
    </xf>
    <xf numFmtId="0" fontId="107" fillId="0" borderId="17" xfId="3" applyFont="1" applyBorder="1" applyAlignment="1" applyProtection="1">
      <alignment horizontal="center" vertical="top"/>
      <protection hidden="1"/>
    </xf>
    <xf numFmtId="0" fontId="107" fillId="0" borderId="18" xfId="3" applyFont="1" applyBorder="1" applyAlignment="1" applyProtection="1">
      <alignment horizontal="center" vertical="top"/>
      <protection hidden="1"/>
    </xf>
    <xf numFmtId="0" fontId="106" fillId="9" borderId="18" xfId="3" applyFont="1" applyFill="1" applyBorder="1" applyProtection="1">
      <protection hidden="1"/>
    </xf>
    <xf numFmtId="0" fontId="106" fillId="0" borderId="18" xfId="3" applyFont="1" applyBorder="1" applyProtection="1">
      <protection hidden="1"/>
    </xf>
    <xf numFmtId="0" fontId="106" fillId="9" borderId="18" xfId="3" applyFont="1" applyFill="1" applyBorder="1" applyAlignment="1" applyProtection="1">
      <alignment vertical="top"/>
      <protection hidden="1"/>
    </xf>
    <xf numFmtId="14" fontId="106" fillId="9" borderId="18" xfId="3" applyNumberFormat="1" applyFont="1" applyFill="1" applyBorder="1" applyProtection="1">
      <protection hidden="1"/>
    </xf>
    <xf numFmtId="0" fontId="106" fillId="9" borderId="19" xfId="3" applyFont="1" applyFill="1" applyBorder="1" applyProtection="1">
      <protection hidden="1"/>
    </xf>
    <xf numFmtId="0" fontId="107" fillId="0" borderId="20" xfId="3" applyFont="1" applyBorder="1" applyAlignment="1" applyProtection="1">
      <alignment horizontal="center" vertical="top"/>
      <protection hidden="1"/>
    </xf>
    <xf numFmtId="0" fontId="107" fillId="0" borderId="0" xfId="3" applyFont="1" applyAlignment="1" applyProtection="1">
      <alignment horizontal="center" vertical="top"/>
      <protection hidden="1"/>
    </xf>
    <xf numFmtId="0" fontId="106" fillId="9" borderId="0" xfId="3" applyFont="1" applyFill="1" applyProtection="1">
      <protection hidden="1"/>
    </xf>
    <xf numFmtId="0" fontId="106" fillId="9" borderId="0" xfId="3" applyFont="1" applyFill="1" applyAlignment="1" applyProtection="1">
      <alignment horizontal="left" vertical="top"/>
      <protection locked="0" hidden="1"/>
    </xf>
    <xf numFmtId="166" fontId="106" fillId="9" borderId="0" xfId="9" applyNumberFormat="1" applyFont="1" applyFill="1" applyBorder="1" applyAlignment="1" applyProtection="1">
      <alignment horizontal="left" vertical="top"/>
      <protection hidden="1"/>
    </xf>
    <xf numFmtId="0" fontId="106" fillId="9" borderId="21" xfId="3" applyFont="1" applyFill="1" applyBorder="1" applyProtection="1">
      <protection hidden="1"/>
    </xf>
    <xf numFmtId="0" fontId="107" fillId="0" borderId="20" xfId="3" applyFont="1" applyBorder="1" applyAlignment="1" applyProtection="1">
      <alignment horizontal="center" vertical="top"/>
      <protection locked="0" hidden="1"/>
    </xf>
    <xf numFmtId="0" fontId="106" fillId="9" borderId="21" xfId="3" applyFont="1" applyFill="1" applyBorder="1" applyProtection="1">
      <protection locked="0" hidden="1"/>
    </xf>
    <xf numFmtId="0" fontId="107" fillId="0" borderId="0" xfId="3" applyFont="1" applyAlignment="1" applyProtection="1">
      <alignment horizontal="center" vertical="top"/>
      <protection locked="0" hidden="1"/>
    </xf>
    <xf numFmtId="9" fontId="106" fillId="9" borderId="0" xfId="10" applyFont="1" applyFill="1" applyBorder="1" applyProtection="1">
      <protection hidden="1"/>
    </xf>
    <xf numFmtId="9" fontId="108" fillId="9" borderId="21" xfId="10" applyFont="1" applyFill="1" applyBorder="1" applyProtection="1">
      <protection locked="0" hidden="1"/>
    </xf>
    <xf numFmtId="0" fontId="106" fillId="9" borderId="0" xfId="3" applyFont="1" applyFill="1" applyProtection="1">
      <protection locked="0" hidden="1"/>
    </xf>
    <xf numFmtId="0" fontId="106" fillId="0" borderId="0" xfId="3" applyFont="1" applyAlignment="1" applyProtection="1">
      <alignment horizontal="center"/>
      <protection hidden="1"/>
    </xf>
    <xf numFmtId="0" fontId="107" fillId="0" borderId="20" xfId="3" applyFont="1" applyBorder="1" applyAlignment="1" applyProtection="1">
      <alignment horizontal="center" vertical="center"/>
      <protection locked="0" hidden="1"/>
    </xf>
    <xf numFmtId="0" fontId="107" fillId="0" borderId="0" xfId="3" applyFont="1" applyAlignment="1" applyProtection="1">
      <alignment horizontal="center" vertical="center"/>
      <protection locked="0" hidden="1"/>
    </xf>
    <xf numFmtId="0" fontId="107" fillId="0" borderId="0" xfId="3" applyFont="1" applyAlignment="1" applyProtection="1">
      <alignment horizontal="center" vertical="center"/>
      <protection hidden="1"/>
    </xf>
    <xf numFmtId="0" fontId="107" fillId="0" borderId="22" xfId="3" applyFont="1" applyBorder="1" applyAlignment="1" applyProtection="1">
      <alignment horizontal="center" vertical="top"/>
      <protection locked="0" hidden="1"/>
    </xf>
    <xf numFmtId="0" fontId="107" fillId="0" borderId="23" xfId="3" applyFont="1" applyBorder="1" applyAlignment="1" applyProtection="1">
      <alignment horizontal="center" vertical="top"/>
      <protection locked="0" hidden="1"/>
    </xf>
    <xf numFmtId="0" fontId="107" fillId="0" borderId="23" xfId="3" applyFont="1" applyBorder="1" applyAlignment="1" applyProtection="1">
      <alignment horizontal="center" vertical="top"/>
      <protection hidden="1"/>
    </xf>
    <xf numFmtId="0" fontId="106" fillId="9" borderId="23" xfId="3" applyFont="1" applyFill="1" applyBorder="1" applyProtection="1">
      <protection hidden="1"/>
    </xf>
    <xf numFmtId="0" fontId="106" fillId="0" borderId="23" xfId="3" applyFont="1" applyBorder="1" applyProtection="1">
      <protection hidden="1"/>
    </xf>
    <xf numFmtId="0" fontId="106" fillId="9" borderId="23" xfId="3" applyFont="1" applyFill="1" applyBorder="1" applyProtection="1">
      <protection locked="0" hidden="1"/>
    </xf>
    <xf numFmtId="0" fontId="106" fillId="9" borderId="24" xfId="3" applyFont="1" applyFill="1" applyBorder="1" applyProtection="1">
      <protection locked="0" hidden="1"/>
    </xf>
    <xf numFmtId="0" fontId="62" fillId="0" borderId="0" xfId="3" applyFont="1" applyProtection="1">
      <protection hidden="1"/>
    </xf>
    <xf numFmtId="166" fontId="98" fillId="23" borderId="0" xfId="9" applyNumberFormat="1" applyFont="1" applyFill="1" applyBorder="1" applyAlignment="1" applyProtection="1">
      <alignment horizontal="left" vertical="center"/>
      <protection hidden="1"/>
    </xf>
    <xf numFmtId="9" fontId="19" fillId="23" borderId="0" xfId="3" applyNumberFormat="1" applyFill="1" applyAlignment="1" applyProtection="1">
      <alignment horizontal="left"/>
      <protection hidden="1"/>
    </xf>
    <xf numFmtId="166" fontId="25" fillId="23" borderId="0" xfId="9" applyNumberFormat="1" applyFont="1" applyFill="1" applyBorder="1" applyAlignment="1" applyProtection="1">
      <alignment horizontal="left" vertical="center"/>
      <protection hidden="1"/>
    </xf>
    <xf numFmtId="0" fontId="23" fillId="0" borderId="0" xfId="3" applyFont="1" applyAlignment="1" applyProtection="1">
      <alignment horizontal="center"/>
      <protection hidden="1"/>
    </xf>
    <xf numFmtId="14" fontId="19" fillId="9" borderId="0" xfId="3" applyNumberFormat="1" applyFill="1" applyProtection="1">
      <protection hidden="1"/>
    </xf>
    <xf numFmtId="0" fontId="85" fillId="0" borderId="0" xfId="3" applyFont="1" applyAlignment="1" applyProtection="1">
      <alignment horizontal="center" vertical="top"/>
      <protection locked="0" hidden="1"/>
    </xf>
    <xf numFmtId="0" fontId="107" fillId="0" borderId="17" xfId="3" applyFont="1" applyBorder="1" applyAlignment="1" applyProtection="1">
      <alignment horizontal="center" vertical="top"/>
      <protection locked="0" hidden="1"/>
    </xf>
    <xf numFmtId="0" fontId="107" fillId="0" borderId="18" xfId="3" applyFont="1" applyBorder="1" applyAlignment="1" applyProtection="1">
      <alignment horizontal="center" vertical="top"/>
      <protection locked="0" hidden="1"/>
    </xf>
    <xf numFmtId="0" fontId="106" fillId="0" borderId="20" xfId="3" applyFont="1" applyBorder="1" applyAlignment="1" applyProtection="1">
      <alignment horizontal="center"/>
      <protection hidden="1"/>
    </xf>
    <xf numFmtId="0" fontId="106" fillId="9" borderId="24" xfId="3" applyFont="1" applyFill="1" applyBorder="1" applyProtection="1">
      <protection hidden="1"/>
    </xf>
    <xf numFmtId="0" fontId="41" fillId="0" borderId="3" xfId="3" applyFont="1" applyBorder="1" applyAlignment="1" applyProtection="1">
      <alignment horizontal="right" vertical="center"/>
      <protection hidden="1"/>
    </xf>
    <xf numFmtId="0" fontId="41" fillId="0" borderId="0" xfId="3" applyFont="1" applyAlignment="1" applyProtection="1">
      <alignment vertical="top"/>
      <protection hidden="1"/>
    </xf>
    <xf numFmtId="0" fontId="110" fillId="0" borderId="0" xfId="3" applyFont="1" applyAlignment="1" applyProtection="1">
      <alignment wrapText="1"/>
      <protection hidden="1"/>
    </xf>
    <xf numFmtId="0" fontId="43" fillId="0" borderId="0" xfId="3" applyFont="1" applyAlignment="1" applyProtection="1">
      <alignment vertical="top"/>
      <protection hidden="1"/>
    </xf>
    <xf numFmtId="0" fontId="112" fillId="0" borderId="0" xfId="5" applyFont="1" applyAlignment="1" applyProtection="1">
      <protection hidden="1"/>
    </xf>
    <xf numFmtId="0" fontId="111" fillId="0" borderId="0" xfId="3" applyFont="1" applyAlignment="1" applyProtection="1">
      <alignment vertical="top"/>
      <protection hidden="1"/>
    </xf>
    <xf numFmtId="0" fontId="21" fillId="0" borderId="0" xfId="0" applyFont="1" applyProtection="1">
      <protection hidden="1"/>
    </xf>
    <xf numFmtId="0" fontId="20" fillId="0" borderId="0" xfId="0" applyFont="1" applyProtection="1">
      <protection hidden="1"/>
    </xf>
    <xf numFmtId="0" fontId="62" fillId="0" borderId="0" xfId="0" applyFont="1" applyProtection="1">
      <protection hidden="1"/>
    </xf>
    <xf numFmtId="0" fontId="96" fillId="0" borderId="3" xfId="3" applyFont="1" applyBorder="1" applyAlignment="1" applyProtection="1">
      <alignment vertical="center"/>
      <protection hidden="1"/>
    </xf>
    <xf numFmtId="0" fontId="101" fillId="0" borderId="3" xfId="3" applyFont="1" applyBorder="1" applyAlignment="1" applyProtection="1">
      <alignment horizontal="right" vertical="center"/>
      <protection hidden="1"/>
    </xf>
    <xf numFmtId="0" fontId="113" fillId="0" borderId="0" xfId="0" applyFont="1" applyProtection="1">
      <protection hidden="1"/>
    </xf>
    <xf numFmtId="9" fontId="113" fillId="0" borderId="0" xfId="0" applyNumberFormat="1" applyFont="1" applyProtection="1">
      <protection hidden="1"/>
    </xf>
    <xf numFmtId="0" fontId="26" fillId="0" borderId="0" xfId="0" applyFont="1" applyProtection="1">
      <protection hidden="1"/>
    </xf>
    <xf numFmtId="9" fontId="26" fillId="0" borderId="0" xfId="0" applyNumberFormat="1" applyFont="1" applyProtection="1">
      <protection hidden="1"/>
    </xf>
    <xf numFmtId="0" fontId="26" fillId="0" borderId="0" xfId="0" applyFont="1"/>
    <xf numFmtId="0" fontId="37" fillId="0" borderId="3" xfId="0" applyFont="1" applyBorder="1" applyAlignment="1" applyProtection="1">
      <alignment vertical="center"/>
      <protection hidden="1"/>
    </xf>
    <xf numFmtId="0" fontId="37" fillId="0" borderId="0" xfId="0" applyFont="1" applyAlignment="1" applyProtection="1">
      <alignment vertical="center"/>
      <protection hidden="1"/>
    </xf>
    <xf numFmtId="0" fontId="0" fillId="9" borderId="0" xfId="0" applyFill="1" applyProtection="1">
      <protection hidden="1"/>
    </xf>
    <xf numFmtId="0" fontId="0" fillId="9" borderId="0" xfId="0" applyFill="1" applyAlignment="1" applyProtection="1">
      <alignment horizontal="right"/>
      <protection hidden="1"/>
    </xf>
    <xf numFmtId="0" fontId="60" fillId="9" borderId="0" xfId="0" applyFont="1" applyFill="1" applyProtection="1">
      <protection hidden="1"/>
    </xf>
    <xf numFmtId="0" fontId="60" fillId="9" borderId="0" xfId="0" applyFont="1" applyFill="1" applyAlignment="1" applyProtection="1">
      <alignment horizontal="left"/>
      <protection hidden="1"/>
    </xf>
    <xf numFmtId="1" fontId="56" fillId="0" borderId="0" xfId="0" applyNumberFormat="1" applyFont="1" applyAlignment="1" applyProtection="1">
      <alignment horizontal="center" vertical="center" wrapText="1"/>
      <protection hidden="1"/>
    </xf>
    <xf numFmtId="49" fontId="39" fillId="0" borderId="0" xfId="0" applyNumberFormat="1" applyFont="1" applyAlignment="1" applyProtection="1">
      <alignment horizontal="left" vertical="top" wrapText="1"/>
      <protection hidden="1"/>
    </xf>
    <xf numFmtId="1" fontId="39" fillId="0" borderId="0" xfId="0" applyNumberFormat="1" applyFont="1" applyAlignment="1" applyProtection="1">
      <alignment horizontal="center" vertical="center" wrapText="1"/>
      <protection hidden="1"/>
    </xf>
    <xf numFmtId="0" fontId="46" fillId="0" borderId="0" xfId="0" applyFont="1" applyProtection="1">
      <protection hidden="1"/>
    </xf>
    <xf numFmtId="0" fontId="23" fillId="10" borderId="11" xfId="11" applyFont="1" applyFill="1" applyBorder="1" applyAlignment="1" applyProtection="1">
      <alignment vertical="center" wrapText="1"/>
      <protection locked="0"/>
    </xf>
    <xf numFmtId="0" fontId="23" fillId="10" borderId="13" xfId="11" applyFont="1" applyFill="1" applyBorder="1" applyAlignment="1" applyProtection="1">
      <alignment vertical="center" wrapText="1"/>
      <protection locked="0"/>
    </xf>
    <xf numFmtId="0" fontId="41" fillId="0" borderId="4" xfId="3" applyFont="1" applyBorder="1" applyAlignment="1" applyProtection="1">
      <alignment horizontal="right" vertical="center"/>
      <protection hidden="1"/>
    </xf>
    <xf numFmtId="0" fontId="17" fillId="0" borderId="0" xfId="11" applyAlignment="1" applyProtection="1">
      <alignment wrapText="1"/>
      <protection hidden="1"/>
    </xf>
    <xf numFmtId="0" fontId="17" fillId="0" borderId="0" xfId="11" applyAlignment="1" applyProtection="1">
      <alignment horizontal="center" textRotation="90" wrapText="1"/>
      <protection hidden="1"/>
    </xf>
    <xf numFmtId="0" fontId="23" fillId="10" borderId="12" xfId="11" applyFont="1" applyFill="1" applyBorder="1" applyAlignment="1" applyProtection="1">
      <alignment vertical="center" wrapText="1"/>
      <protection hidden="1"/>
    </xf>
    <xf numFmtId="0" fontId="23" fillId="10" borderId="0" xfId="3" applyFont="1" applyFill="1" applyAlignment="1" applyProtection="1">
      <alignment vertical="top" wrapText="1"/>
      <protection hidden="1"/>
    </xf>
    <xf numFmtId="0" fontId="23" fillId="10" borderId="0" xfId="3" applyFont="1" applyFill="1" applyAlignment="1" applyProtection="1">
      <alignment horizontal="center" vertical="top"/>
      <protection hidden="1"/>
    </xf>
    <xf numFmtId="0" fontId="17" fillId="0" borderId="0" xfId="11" applyAlignment="1" applyProtection="1">
      <alignment textRotation="90" wrapText="1"/>
      <protection hidden="1"/>
    </xf>
    <xf numFmtId="0" fontId="17" fillId="0" borderId="0" xfId="3" applyFont="1" applyProtection="1">
      <protection hidden="1"/>
    </xf>
    <xf numFmtId="0" fontId="17" fillId="0" borderId="39" xfId="11" applyBorder="1" applyAlignment="1" applyProtection="1">
      <alignment vertical="center" wrapText="1"/>
      <protection hidden="1"/>
    </xf>
    <xf numFmtId="0" fontId="17" fillId="0" borderId="0" xfId="11" applyAlignment="1" applyProtection="1">
      <alignment vertical="center" wrapText="1"/>
      <protection hidden="1"/>
    </xf>
    <xf numFmtId="0" fontId="25" fillId="23" borderId="31" xfId="11" applyFont="1" applyFill="1" applyBorder="1" applyAlignment="1" applyProtection="1">
      <alignment vertical="center" wrapText="1"/>
      <protection hidden="1"/>
    </xf>
    <xf numFmtId="9" fontId="25" fillId="23" borderId="29" xfId="11" applyNumberFormat="1" applyFont="1" applyFill="1" applyBorder="1" applyAlignment="1" applyProtection="1">
      <alignment horizontal="center" vertical="center" wrapText="1"/>
      <protection hidden="1"/>
    </xf>
    <xf numFmtId="9" fontId="25" fillId="23" borderId="30" xfId="11" applyNumberFormat="1" applyFont="1" applyFill="1" applyBorder="1" applyAlignment="1" applyProtection="1">
      <alignment horizontal="center" vertical="center" wrapText="1"/>
      <protection hidden="1"/>
    </xf>
    <xf numFmtId="0" fontId="17" fillId="0" borderId="31" xfId="11" applyBorder="1" applyAlignment="1" applyProtection="1">
      <alignment vertical="center" wrapText="1"/>
      <protection hidden="1"/>
    </xf>
    <xf numFmtId="0" fontId="25" fillId="23" borderId="35" xfId="11" applyFont="1" applyFill="1" applyBorder="1" applyAlignment="1" applyProtection="1">
      <alignment vertical="center" wrapText="1"/>
      <protection hidden="1"/>
    </xf>
    <xf numFmtId="9" fontId="25" fillId="23" borderId="33" xfId="11" applyNumberFormat="1" applyFont="1" applyFill="1" applyBorder="1" applyAlignment="1" applyProtection="1">
      <alignment horizontal="center" vertical="center" wrapText="1"/>
      <protection hidden="1"/>
    </xf>
    <xf numFmtId="9" fontId="25" fillId="23" borderId="34" xfId="11" applyNumberFormat="1" applyFont="1" applyFill="1" applyBorder="1" applyAlignment="1" applyProtection="1">
      <alignment horizontal="center" vertical="center" wrapText="1"/>
      <protection hidden="1"/>
    </xf>
    <xf numFmtId="0" fontId="17" fillId="0" borderId="37" xfId="11" applyBorder="1" applyAlignment="1" applyProtection="1">
      <alignment horizontal="center" vertical="center" wrapText="1"/>
      <protection locked="0"/>
    </xf>
    <xf numFmtId="0" fontId="17" fillId="0" borderId="38" xfId="11" applyBorder="1" applyAlignment="1" applyProtection="1">
      <alignment horizontal="center" vertical="center" wrapText="1"/>
      <protection locked="0"/>
    </xf>
    <xf numFmtId="0" fontId="17" fillId="0" borderId="29" xfId="11" applyBorder="1" applyAlignment="1" applyProtection="1">
      <alignment horizontal="center" vertical="center" wrapText="1"/>
      <protection locked="0"/>
    </xf>
    <xf numFmtId="0" fontId="17" fillId="0" borderId="30" xfId="11" applyBorder="1" applyAlignment="1" applyProtection="1">
      <alignment horizontal="center" vertical="center" wrapText="1"/>
      <protection locked="0"/>
    </xf>
    <xf numFmtId="0" fontId="23" fillId="10" borderId="0" xfId="11" applyFont="1" applyFill="1" applyAlignment="1" applyProtection="1">
      <alignment vertical="center" wrapText="1"/>
      <protection hidden="1"/>
    </xf>
    <xf numFmtId="0" fontId="23" fillId="10" borderId="5" xfId="11" applyFont="1" applyFill="1" applyBorder="1" applyAlignment="1" applyProtection="1">
      <alignment vertical="center" wrapText="1"/>
      <protection hidden="1"/>
    </xf>
    <xf numFmtId="9" fontId="62" fillId="0" borderId="0" xfId="0" applyNumberFormat="1" applyFont="1" applyProtection="1">
      <protection hidden="1"/>
    </xf>
    <xf numFmtId="0" fontId="43" fillId="0" borderId="0" xfId="0" applyFont="1" applyAlignment="1" applyProtection="1">
      <alignment vertical="top"/>
      <protection hidden="1"/>
    </xf>
    <xf numFmtId="9" fontId="20" fillId="0" borderId="0" xfId="0" applyNumberFormat="1" applyFont="1" applyProtection="1">
      <protection hidden="1"/>
    </xf>
    <xf numFmtId="0" fontId="62" fillId="0" borderId="0" xfId="3" applyFont="1" applyAlignment="1" applyProtection="1">
      <alignment horizontal="right"/>
      <protection hidden="1"/>
    </xf>
    <xf numFmtId="14" fontId="62" fillId="12" borderId="0" xfId="3" applyNumberFormat="1" applyFont="1" applyFill="1" applyAlignment="1" applyProtection="1">
      <alignment horizontal="left" vertical="top"/>
      <protection locked="0"/>
    </xf>
    <xf numFmtId="14" fontId="62" fillId="12" borderId="0" xfId="3" applyNumberFormat="1" applyFont="1" applyFill="1" applyAlignment="1" applyProtection="1">
      <alignment horizontal="left"/>
      <protection locked="0"/>
    </xf>
    <xf numFmtId="1" fontId="51" fillId="0" borderId="0" xfId="3" applyNumberFormat="1" applyFont="1" applyAlignment="1" applyProtection="1">
      <alignment horizontal="center" vertical="center" wrapText="1"/>
      <protection hidden="1"/>
    </xf>
    <xf numFmtId="0" fontId="14" fillId="23" borderId="0" xfId="3" applyFont="1" applyFill="1" applyProtection="1">
      <protection hidden="1"/>
    </xf>
    <xf numFmtId="0" fontId="39" fillId="9" borderId="0" xfId="16" applyFont="1" applyFill="1" applyBorder="1" applyAlignment="1" applyProtection="1">
      <alignment horizontal="left" vertical="top" wrapText="1"/>
    </xf>
    <xf numFmtId="0" fontId="39" fillId="9" borderId="0" xfId="16" applyFont="1" applyFill="1" applyBorder="1" applyAlignment="1" applyProtection="1">
      <alignment horizontal="center" vertical="top" wrapText="1"/>
    </xf>
    <xf numFmtId="0" fontId="51" fillId="9" borderId="0" xfId="16" applyFont="1" applyFill="1" applyBorder="1" applyAlignment="1" applyProtection="1">
      <alignment horizontal="center" vertical="top" wrapText="1"/>
    </xf>
    <xf numFmtId="0" fontId="118" fillId="9" borderId="0" xfId="16" applyFont="1" applyFill="1" applyBorder="1" applyAlignment="1" applyProtection="1">
      <alignment horizontal="left" vertical="top" wrapText="1"/>
    </xf>
    <xf numFmtId="0" fontId="39" fillId="9" borderId="0" xfId="16" applyFont="1" applyFill="1" applyBorder="1" applyAlignment="1" applyProtection="1">
      <alignment horizontal="center" vertical="center" wrapText="1"/>
    </xf>
    <xf numFmtId="0" fontId="51" fillId="9" borderId="0" xfId="16" applyFont="1" applyFill="1" applyBorder="1" applyAlignment="1" applyProtection="1">
      <alignment horizontal="center" vertical="center" wrapText="1"/>
    </xf>
    <xf numFmtId="0" fontId="118" fillId="9" borderId="0" xfId="16" applyFont="1" applyFill="1" applyBorder="1" applyAlignment="1" applyProtection="1">
      <alignment horizontal="left" vertical="center" wrapText="1"/>
    </xf>
    <xf numFmtId="0" fontId="20" fillId="0" borderId="0" xfId="6" applyProtection="1">
      <protection hidden="1"/>
    </xf>
    <xf numFmtId="0" fontId="48" fillId="0" borderId="0" xfId="5" applyFont="1" applyBorder="1" applyAlignment="1" applyProtection="1">
      <protection locked="0" hidden="1"/>
    </xf>
    <xf numFmtId="0" fontId="37" fillId="0" borderId="3" xfId="18" applyFont="1" applyBorder="1" applyAlignment="1" applyProtection="1">
      <alignment vertical="center"/>
      <protection hidden="1"/>
    </xf>
    <xf numFmtId="0" fontId="38" fillId="0" borderId="3" xfId="18" applyFont="1" applyBorder="1" applyAlignment="1" applyProtection="1">
      <alignment vertical="center"/>
      <protection hidden="1"/>
    </xf>
    <xf numFmtId="0" fontId="40" fillId="0" borderId="0" xfId="18" applyFont="1" applyAlignment="1" applyProtection="1">
      <alignment vertical="center"/>
      <protection hidden="1"/>
    </xf>
    <xf numFmtId="0" fontId="39" fillId="0" borderId="0" xfId="18" applyFont="1" applyProtection="1">
      <protection hidden="1"/>
    </xf>
    <xf numFmtId="0" fontId="11" fillId="0" borderId="0" xfId="18" applyProtection="1">
      <protection hidden="1"/>
    </xf>
    <xf numFmtId="0" fontId="41" fillId="0" borderId="4" xfId="18" applyFont="1" applyBorder="1" applyAlignment="1" applyProtection="1">
      <alignment vertical="top"/>
      <protection hidden="1"/>
    </xf>
    <xf numFmtId="0" fontId="42" fillId="0" borderId="0" xfId="18" applyFont="1" applyProtection="1">
      <protection hidden="1"/>
    </xf>
    <xf numFmtId="0" fontId="11" fillId="0" borderId="0" xfId="18"/>
    <xf numFmtId="0" fontId="11" fillId="0" borderId="0" xfId="18" applyAlignment="1" applyProtection="1">
      <alignment horizontal="center" vertical="center"/>
      <protection hidden="1"/>
    </xf>
    <xf numFmtId="0" fontId="46" fillId="0" borderId="0" xfId="18" applyFont="1" applyProtection="1">
      <protection hidden="1"/>
    </xf>
    <xf numFmtId="0" fontId="41" fillId="0" borderId="3" xfId="18" applyFont="1" applyBorder="1" applyAlignment="1">
      <alignment horizontal="right" vertical="center"/>
    </xf>
    <xf numFmtId="0" fontId="121" fillId="0" borderId="0" xfId="18" applyFont="1"/>
    <xf numFmtId="0" fontId="62" fillId="0" borderId="0" xfId="3" applyFont="1" applyProtection="1">
      <protection locked="0" hidden="1"/>
    </xf>
    <xf numFmtId="0" fontId="41" fillId="0" borderId="4" xfId="18" applyFont="1" applyBorder="1" applyAlignment="1">
      <alignment horizontal="right" vertical="center"/>
    </xf>
    <xf numFmtId="0" fontId="41" fillId="0" borderId="3" xfId="18" applyFont="1" applyBorder="1" applyAlignment="1" applyProtection="1">
      <alignment horizontal="right" vertical="center"/>
      <protection hidden="1"/>
    </xf>
    <xf numFmtId="0" fontId="47" fillId="0" borderId="0" xfId="5" applyAlignment="1" applyProtection="1">
      <protection hidden="1"/>
    </xf>
    <xf numFmtId="0" fontId="36" fillId="0" borderId="3" xfId="19" applyFont="1" applyBorder="1" applyAlignment="1" applyProtection="1">
      <alignment vertical="center"/>
      <protection hidden="1"/>
    </xf>
    <xf numFmtId="0" fontId="37" fillId="0" borderId="3" xfId="19" applyFont="1" applyBorder="1" applyAlignment="1" applyProtection="1">
      <alignment vertical="center"/>
      <protection hidden="1"/>
    </xf>
    <xf numFmtId="0" fontId="41" fillId="0" borderId="3" xfId="19" applyFont="1" applyBorder="1" applyAlignment="1">
      <alignment horizontal="right" vertical="center"/>
    </xf>
    <xf numFmtId="0" fontId="40" fillId="0" borderId="0" xfId="19" applyFont="1" applyAlignment="1" applyProtection="1">
      <alignment vertical="center"/>
      <protection hidden="1"/>
    </xf>
    <xf numFmtId="0" fontId="39" fillId="0" borderId="0" xfId="19" applyFont="1" applyProtection="1">
      <protection hidden="1"/>
    </xf>
    <xf numFmtId="0" fontId="6" fillId="0" borderId="0" xfId="19" applyProtection="1">
      <protection hidden="1"/>
    </xf>
    <xf numFmtId="0" fontId="41" fillId="0" borderId="0" xfId="19" applyFont="1" applyAlignment="1">
      <alignment vertical="top"/>
    </xf>
    <xf numFmtId="0" fontId="97" fillId="0" borderId="0" xfId="19" applyFont="1" applyProtection="1">
      <protection hidden="1"/>
    </xf>
    <xf numFmtId="0" fontId="26" fillId="0" borderId="0" xfId="19" applyFont="1" applyProtection="1">
      <protection hidden="1"/>
    </xf>
    <xf numFmtId="0" fontId="25" fillId="0" borderId="0" xfId="19" applyFont="1" applyAlignment="1" applyProtection="1">
      <alignment horizontal="right"/>
      <protection hidden="1"/>
    </xf>
    <xf numFmtId="0" fontId="6" fillId="23" borderId="0" xfId="19" applyFill="1" applyProtection="1">
      <protection hidden="1"/>
    </xf>
    <xf numFmtId="0" fontId="6" fillId="23" borderId="0" xfId="19" applyFill="1" applyProtection="1">
      <protection locked="0"/>
    </xf>
    <xf numFmtId="14" fontId="6" fillId="23" borderId="0" xfId="19" applyNumberFormat="1" applyFill="1" applyAlignment="1" applyProtection="1">
      <alignment horizontal="left"/>
      <protection locked="0"/>
    </xf>
    <xf numFmtId="0" fontId="124" fillId="36" borderId="45" xfId="19" applyFont="1" applyFill="1" applyBorder="1" applyProtection="1">
      <protection hidden="1"/>
    </xf>
    <xf numFmtId="49" fontId="39" fillId="0" borderId="47" xfId="19" applyNumberFormat="1" applyFont="1" applyBorder="1" applyAlignment="1" applyProtection="1">
      <alignment vertical="center" wrapText="1" shrinkToFit="1"/>
      <protection hidden="1"/>
    </xf>
    <xf numFmtId="49" fontId="39" fillId="0" borderId="14" xfId="19" applyNumberFormat="1" applyFont="1" applyBorder="1" applyAlignment="1" applyProtection="1">
      <alignment vertical="center" wrapText="1" shrinkToFit="1"/>
      <protection hidden="1"/>
    </xf>
    <xf numFmtId="49" fontId="39" fillId="0" borderId="48" xfId="19" applyNumberFormat="1" applyFont="1" applyBorder="1" applyAlignment="1" applyProtection="1">
      <alignment vertical="center" wrapText="1" shrinkToFit="1"/>
      <protection hidden="1"/>
    </xf>
    <xf numFmtId="0" fontId="39" fillId="0" borderId="47" xfId="19" applyFont="1" applyBorder="1" applyAlignment="1" applyProtection="1">
      <alignment horizontal="left" vertical="center" wrapText="1" shrinkToFit="1"/>
      <protection hidden="1"/>
    </xf>
    <xf numFmtId="0" fontId="39" fillId="0" borderId="10" xfId="19" applyFont="1" applyBorder="1" applyAlignment="1" applyProtection="1">
      <alignment horizontal="left" vertical="center" wrapText="1" shrinkToFit="1"/>
      <protection hidden="1"/>
    </xf>
    <xf numFmtId="0" fontId="39" fillId="0" borderId="48" xfId="19" applyFont="1" applyBorder="1" applyAlignment="1" applyProtection="1">
      <alignment horizontal="left" vertical="center" wrapText="1" shrinkToFit="1"/>
      <protection hidden="1"/>
    </xf>
    <xf numFmtId="0" fontId="39" fillId="0" borderId="49" xfId="19" applyFont="1" applyBorder="1" applyAlignment="1" applyProtection="1">
      <alignment horizontal="left" vertical="center" wrapText="1" shrinkToFit="1"/>
      <protection hidden="1"/>
    </xf>
    <xf numFmtId="49" fontId="39" fillId="0" borderId="48" xfId="19" applyNumberFormat="1" applyFont="1" applyBorder="1" applyAlignment="1" applyProtection="1">
      <alignment horizontal="left" vertical="center" wrapText="1" shrinkToFit="1"/>
      <protection hidden="1"/>
    </xf>
    <xf numFmtId="49" fontId="39" fillId="0" borderId="16" xfId="19" applyNumberFormat="1" applyFont="1" applyBorder="1" applyAlignment="1" applyProtection="1">
      <alignment horizontal="left" vertical="center" wrapText="1" shrinkToFit="1"/>
      <protection hidden="1"/>
    </xf>
    <xf numFmtId="49" fontId="39" fillId="0" borderId="14" xfId="19" applyNumberFormat="1" applyFont="1" applyBorder="1" applyAlignment="1" applyProtection="1">
      <alignment horizontal="left" vertical="center" wrapText="1" shrinkToFit="1"/>
      <protection hidden="1"/>
    </xf>
    <xf numFmtId="49" fontId="39" fillId="0" borderId="10" xfId="19" applyNumberFormat="1" applyFont="1" applyBorder="1" applyAlignment="1" applyProtection="1">
      <alignment horizontal="left" vertical="center" wrapText="1" shrinkToFit="1"/>
      <protection hidden="1"/>
    </xf>
    <xf numFmtId="49" fontId="39" fillId="0" borderId="9" xfId="19" applyNumberFormat="1" applyFont="1" applyBorder="1" applyAlignment="1" applyProtection="1">
      <alignment horizontal="left" vertical="center" wrapText="1" shrinkToFit="1"/>
      <protection hidden="1"/>
    </xf>
    <xf numFmtId="49" fontId="124" fillId="36" borderId="45" xfId="19" applyNumberFormat="1" applyFont="1" applyFill="1" applyBorder="1" applyAlignment="1" applyProtection="1">
      <alignment vertical="center" wrapText="1" shrinkToFit="1"/>
      <protection hidden="1"/>
    </xf>
    <xf numFmtId="49" fontId="124" fillId="36" borderId="45" xfId="19" applyNumberFormat="1" applyFont="1" applyFill="1" applyBorder="1" applyAlignment="1" applyProtection="1">
      <alignment wrapText="1" shrinkToFit="1"/>
      <protection hidden="1"/>
    </xf>
    <xf numFmtId="49" fontId="39" fillId="0" borderId="47" xfId="19" applyNumberFormat="1" applyFont="1" applyBorder="1" applyAlignment="1" applyProtection="1">
      <alignment horizontal="left" vertical="center" wrapText="1" shrinkToFit="1"/>
      <protection hidden="1"/>
    </xf>
    <xf numFmtId="0" fontId="39" fillId="0" borderId="14" xfId="19" applyFont="1" applyBorder="1" applyAlignment="1" applyProtection="1">
      <alignment horizontal="left" vertical="center" wrapText="1" shrinkToFit="1"/>
      <protection hidden="1"/>
    </xf>
    <xf numFmtId="49" fontId="39" fillId="0" borderId="52" xfId="19" applyNumberFormat="1" applyFont="1" applyBorder="1" applyAlignment="1" applyProtection="1">
      <alignment horizontal="left" vertical="center" wrapText="1" shrinkToFit="1"/>
      <protection hidden="1"/>
    </xf>
    <xf numFmtId="49" fontId="39" fillId="0" borderId="10" xfId="19" applyNumberFormat="1" applyFont="1" applyBorder="1" applyAlignment="1" applyProtection="1">
      <alignment horizontal="center" vertical="center" wrapText="1" shrinkToFit="1"/>
      <protection hidden="1"/>
    </xf>
    <xf numFmtId="0" fontId="124" fillId="37" borderId="45" xfId="19" applyFont="1" applyFill="1" applyBorder="1" applyProtection="1">
      <protection hidden="1"/>
    </xf>
    <xf numFmtId="0" fontId="124" fillId="37" borderId="45" xfId="19" applyFont="1" applyFill="1" applyBorder="1" applyAlignment="1" applyProtection="1">
      <alignment vertical="center" wrapText="1" shrinkToFit="1"/>
      <protection hidden="1"/>
    </xf>
    <xf numFmtId="0" fontId="124" fillId="37" borderId="45" xfId="19" applyFont="1" applyFill="1" applyBorder="1" applyAlignment="1" applyProtection="1">
      <alignment wrapText="1" shrinkToFit="1"/>
      <protection hidden="1"/>
    </xf>
    <xf numFmtId="0" fontId="36" fillId="0" borderId="3" xfId="20" applyFont="1" applyBorder="1" applyAlignment="1" applyProtection="1">
      <alignment vertical="center"/>
      <protection hidden="1"/>
    </xf>
    <xf numFmtId="0" fontId="39" fillId="0" borderId="0" xfId="20" applyFont="1" applyProtection="1">
      <protection hidden="1"/>
    </xf>
    <xf numFmtId="0" fontId="5" fillId="0" borderId="0" xfId="20" applyProtection="1">
      <protection hidden="1"/>
    </xf>
    <xf numFmtId="0" fontId="5" fillId="0" borderId="0" xfId="20" applyAlignment="1" applyProtection="1">
      <alignment vertical="top"/>
      <protection hidden="1"/>
    </xf>
    <xf numFmtId="0" fontId="41" fillId="0" borderId="0" xfId="20" applyFont="1" applyAlignment="1" applyProtection="1">
      <alignment vertical="top"/>
      <protection hidden="1"/>
    </xf>
    <xf numFmtId="0" fontId="42" fillId="0" borderId="0" xfId="20" applyFont="1" applyProtection="1">
      <protection hidden="1"/>
    </xf>
    <xf numFmtId="0" fontId="45" fillId="0" borderId="0" xfId="20" applyFont="1" applyAlignment="1" applyProtection="1">
      <alignment vertical="top"/>
      <protection hidden="1"/>
    </xf>
    <xf numFmtId="0" fontId="45" fillId="0" borderId="0" xfId="20" applyFont="1" applyAlignment="1" applyProtection="1">
      <alignment horizontal="right" vertical="top"/>
      <protection hidden="1"/>
    </xf>
    <xf numFmtId="14" fontId="45" fillId="0" borderId="0" xfId="20" applyNumberFormat="1" applyFont="1" applyAlignment="1" applyProtection="1">
      <alignment horizontal="left" vertical="center"/>
      <protection hidden="1"/>
    </xf>
    <xf numFmtId="0" fontId="46" fillId="0" borderId="0" xfId="20" applyFont="1" applyProtection="1">
      <protection hidden="1"/>
    </xf>
    <xf numFmtId="167" fontId="40" fillId="0" borderId="0" xfId="3" applyNumberFormat="1" applyFont="1" applyAlignment="1" applyProtection="1">
      <alignment vertical="center"/>
      <protection hidden="1"/>
    </xf>
    <xf numFmtId="167" fontId="19" fillId="0" borderId="0" xfId="3" applyNumberFormat="1" applyProtection="1">
      <protection hidden="1"/>
    </xf>
    <xf numFmtId="167" fontId="39" fillId="0" borderId="0" xfId="3" applyNumberFormat="1" applyFont="1" applyAlignment="1" applyProtection="1">
      <alignment vertical="top"/>
      <protection hidden="1"/>
    </xf>
    <xf numFmtId="167" fontId="39" fillId="0" borderId="0" xfId="3" applyNumberFormat="1" applyFont="1" applyProtection="1">
      <protection hidden="1"/>
    </xf>
    <xf numFmtId="0" fontId="39" fillId="0" borderId="0" xfId="0" applyFont="1" applyProtection="1">
      <protection locked="0" hidden="1"/>
    </xf>
    <xf numFmtId="0" fontId="39" fillId="0" borderId="0" xfId="0" applyFont="1" applyProtection="1">
      <protection hidden="1"/>
    </xf>
    <xf numFmtId="0" fontId="41" fillId="0" borderId="3" xfId="0" applyFont="1" applyBorder="1" applyAlignment="1">
      <alignment horizontal="right" vertical="center"/>
    </xf>
    <xf numFmtId="0" fontId="40" fillId="0" borderId="0" xfId="0" applyFont="1" applyAlignment="1" applyProtection="1">
      <alignment vertical="center"/>
      <protection hidden="1"/>
    </xf>
    <xf numFmtId="0" fontId="0" fillId="0" borderId="0" xfId="0" applyProtection="1">
      <protection locked="0" hidden="1"/>
    </xf>
    <xf numFmtId="0" fontId="0" fillId="0" borderId="0" xfId="0" applyProtection="1">
      <protection hidden="1"/>
    </xf>
    <xf numFmtId="0" fontId="45" fillId="0" borderId="0" xfId="0" applyFont="1" applyProtection="1">
      <protection hidden="1"/>
    </xf>
    <xf numFmtId="0" fontId="41" fillId="0" borderId="0" xfId="0" applyFont="1" applyAlignment="1">
      <alignment vertical="top"/>
    </xf>
    <xf numFmtId="0" fontId="97" fillId="0" borderId="0" xfId="0" applyFont="1" applyProtection="1">
      <protection locked="0" hidden="1"/>
    </xf>
    <xf numFmtId="0" fontId="51" fillId="0" borderId="0" xfId="0" applyFont="1" applyAlignment="1" applyProtection="1">
      <alignment vertical="center"/>
      <protection hidden="1"/>
    </xf>
    <xf numFmtId="0" fontId="120" fillId="11" borderId="0" xfId="0" applyFont="1" applyFill="1" applyAlignment="1" applyProtection="1">
      <alignment horizontal="center" vertical="center"/>
      <protection hidden="1"/>
    </xf>
    <xf numFmtId="0" fontId="64" fillId="11" borderId="0" xfId="0" applyFont="1" applyFill="1" applyAlignment="1" applyProtection="1">
      <alignment vertical="center"/>
      <protection hidden="1"/>
    </xf>
    <xf numFmtId="0" fontId="0" fillId="11" borderId="0" xfId="0" applyFill="1" applyProtection="1">
      <protection hidden="1"/>
    </xf>
    <xf numFmtId="0" fontId="0" fillId="12" borderId="0" xfId="0" applyFill="1" applyProtection="1">
      <protection hidden="1"/>
    </xf>
    <xf numFmtId="0" fontId="0" fillId="12" borderId="44" xfId="0" applyFill="1" applyBorder="1" applyProtection="1">
      <protection hidden="1"/>
    </xf>
    <xf numFmtId="0" fontId="120" fillId="19" borderId="0" xfId="0" applyFont="1" applyFill="1" applyAlignment="1" applyProtection="1">
      <alignment horizontal="center" vertical="center"/>
      <protection hidden="1"/>
    </xf>
    <xf numFmtId="0" fontId="64" fillId="19" borderId="0" xfId="0" applyFont="1" applyFill="1" applyAlignment="1" applyProtection="1">
      <alignment vertical="center"/>
      <protection hidden="1"/>
    </xf>
    <xf numFmtId="0" fontId="0" fillId="19" borderId="0" xfId="0" applyFill="1" applyProtection="1">
      <protection hidden="1"/>
    </xf>
    <xf numFmtId="0" fontId="0" fillId="18" borderId="0" xfId="0" applyFill="1" applyProtection="1">
      <protection hidden="1"/>
    </xf>
    <xf numFmtId="0" fontId="0" fillId="18" borderId="43" xfId="0" applyFill="1" applyBorder="1" applyProtection="1">
      <protection hidden="1"/>
    </xf>
    <xf numFmtId="0" fontId="43" fillId="0" borderId="0" xfId="0" applyFont="1" applyAlignment="1" applyProtection="1">
      <alignment horizontal="left" vertical="top"/>
      <protection hidden="1"/>
    </xf>
    <xf numFmtId="0" fontId="45" fillId="0" borderId="0" xfId="18" applyFont="1" applyAlignment="1" applyProtection="1">
      <alignment horizontal="center" vertical="center"/>
      <protection hidden="1"/>
    </xf>
    <xf numFmtId="0" fontId="131" fillId="0" borderId="3" xfId="3" applyFont="1" applyBorder="1" applyAlignment="1" applyProtection="1">
      <alignment vertical="center"/>
      <protection hidden="1"/>
    </xf>
    <xf numFmtId="0" fontId="84" fillId="0" borderId="0" xfId="18" applyFont="1" applyAlignment="1" applyProtection="1">
      <alignment vertical="center"/>
      <protection hidden="1"/>
    </xf>
    <xf numFmtId="0" fontId="26" fillId="9" borderId="0" xfId="0" applyFont="1" applyFill="1" applyProtection="1">
      <protection hidden="1"/>
    </xf>
    <xf numFmtId="0" fontId="23" fillId="10" borderId="53" xfId="3" applyFont="1" applyFill="1" applyBorder="1" applyAlignment="1">
      <alignment vertical="top" wrapText="1"/>
    </xf>
    <xf numFmtId="0" fontId="23" fillId="10" borderId="54" xfId="3" applyFont="1" applyFill="1" applyBorder="1" applyAlignment="1">
      <alignment vertical="top" wrapText="1"/>
    </xf>
    <xf numFmtId="0" fontId="23" fillId="10" borderId="55" xfId="3" applyFont="1" applyFill="1" applyBorder="1" applyAlignment="1">
      <alignment vertical="top" wrapText="1"/>
    </xf>
    <xf numFmtId="0" fontId="39" fillId="0" borderId="56" xfId="3" applyFont="1" applyBorder="1" applyAlignment="1">
      <alignment horizontal="center" vertical="top"/>
    </xf>
    <xf numFmtId="49" fontId="39" fillId="0" borderId="57" xfId="3" applyNumberFormat="1" applyFont="1" applyBorder="1" applyAlignment="1" applyProtection="1">
      <alignment horizontal="left" vertical="top" wrapText="1"/>
      <protection locked="0"/>
    </xf>
    <xf numFmtId="1" fontId="49" fillId="0" borderId="57" xfId="3" applyNumberFormat="1" applyFont="1" applyBorder="1" applyAlignment="1" applyProtection="1">
      <alignment horizontal="center" vertical="center" wrapText="1"/>
      <protection locked="0"/>
    </xf>
    <xf numFmtId="1" fontId="50" fillId="0" borderId="57" xfId="3" applyNumberFormat="1" applyFont="1" applyBorder="1" applyAlignment="1" applyProtection="1">
      <alignment horizontal="center" vertical="center" wrapText="1"/>
      <protection locked="0"/>
    </xf>
    <xf numFmtId="0" fontId="51" fillId="0" borderId="58" xfId="18" applyFont="1" applyBorder="1" applyAlignment="1" applyProtection="1">
      <alignment horizontal="center" vertical="center" wrapText="1"/>
      <protection locked="0"/>
    </xf>
    <xf numFmtId="0" fontId="39" fillId="0" borderId="59" xfId="3" applyFont="1" applyBorder="1" applyAlignment="1">
      <alignment horizontal="center" vertical="top"/>
    </xf>
    <xf numFmtId="49" fontId="39" fillId="0" borderId="60" xfId="3" applyNumberFormat="1" applyFont="1" applyBorder="1" applyAlignment="1" applyProtection="1">
      <alignment horizontal="left" vertical="top" wrapText="1"/>
      <protection locked="0"/>
    </xf>
    <xf numFmtId="1" fontId="49" fillId="0" borderId="60" xfId="3" applyNumberFormat="1" applyFont="1" applyBorder="1" applyAlignment="1" applyProtection="1">
      <alignment horizontal="center" vertical="center" wrapText="1"/>
      <protection locked="0"/>
    </xf>
    <xf numFmtId="1" fontId="50" fillId="0" borderId="60" xfId="3" applyNumberFormat="1" applyFont="1" applyBorder="1" applyAlignment="1" applyProtection="1">
      <alignment horizontal="center" vertical="center" wrapText="1"/>
      <protection locked="0"/>
    </xf>
    <xf numFmtId="0" fontId="51" fillId="0" borderId="61" xfId="18" applyFont="1" applyBorder="1" applyAlignment="1" applyProtection="1">
      <alignment horizontal="center" vertical="center" wrapText="1"/>
      <protection locked="0"/>
    </xf>
    <xf numFmtId="0" fontId="23" fillId="10" borderId="53" xfId="3" applyFont="1" applyFill="1" applyBorder="1" applyAlignment="1" applyProtection="1">
      <alignment vertical="top" wrapText="1"/>
      <protection hidden="1"/>
    </xf>
    <xf numFmtId="0" fontId="23" fillId="10" borderId="54" xfId="3" applyFont="1" applyFill="1" applyBorder="1" applyAlignment="1" applyProtection="1">
      <alignment vertical="top" wrapText="1"/>
      <protection hidden="1"/>
    </xf>
    <xf numFmtId="0" fontId="23" fillId="10" borderId="55" xfId="3" applyFont="1" applyFill="1" applyBorder="1" applyAlignment="1" applyProtection="1">
      <alignment vertical="top" wrapText="1"/>
      <protection hidden="1"/>
    </xf>
    <xf numFmtId="0" fontId="18" fillId="0" borderId="56" xfId="3" applyFont="1" applyBorder="1" applyAlignment="1" applyProtection="1">
      <alignment horizontal="left" vertical="top" wrapText="1"/>
      <protection hidden="1"/>
    </xf>
    <xf numFmtId="49" fontId="14" fillId="0" borderId="57" xfId="3" applyNumberFormat="1" applyFont="1" applyBorder="1" applyAlignment="1" applyProtection="1">
      <alignment horizontal="left" vertical="top" wrapText="1"/>
      <protection locked="0"/>
    </xf>
    <xf numFmtId="0" fontId="18" fillId="0" borderId="57" xfId="3" applyFont="1" applyBorder="1" applyAlignment="1" applyProtection="1">
      <alignment horizontal="left" vertical="top" wrapText="1"/>
      <protection locked="0"/>
    </xf>
    <xf numFmtId="49" fontId="15" fillId="0" borderId="57" xfId="3" applyNumberFormat="1" applyFont="1" applyBorder="1" applyAlignment="1" applyProtection="1">
      <alignment horizontal="left" vertical="top" wrapText="1"/>
      <protection locked="0"/>
    </xf>
    <xf numFmtId="14" fontId="15" fillId="0" borderId="57" xfId="3" applyNumberFormat="1" applyFont="1" applyBorder="1" applyAlignment="1" applyProtection="1">
      <alignment horizontal="left" vertical="top" wrapText="1"/>
      <protection locked="0"/>
    </xf>
    <xf numFmtId="0" fontId="51" fillId="23" borderId="58" xfId="3" applyFont="1" applyFill="1" applyBorder="1" applyAlignment="1" applyProtection="1">
      <alignment horizontal="center" vertical="center" wrapText="1"/>
      <protection locked="0"/>
    </xf>
    <xf numFmtId="0" fontId="51" fillId="8" borderId="58" xfId="3" applyFont="1" applyFill="1" applyBorder="1" applyAlignment="1" applyProtection="1">
      <alignment horizontal="center" vertical="center" wrapText="1"/>
      <protection locked="0"/>
    </xf>
    <xf numFmtId="0" fontId="18" fillId="0" borderId="59" xfId="3" applyFont="1" applyBorder="1" applyAlignment="1" applyProtection="1">
      <alignment horizontal="left" vertical="top" wrapText="1"/>
      <protection hidden="1"/>
    </xf>
    <xf numFmtId="49" fontId="14" fillId="0" borderId="60" xfId="3" applyNumberFormat="1" applyFont="1" applyBorder="1" applyAlignment="1" applyProtection="1">
      <alignment horizontal="left" vertical="top" wrapText="1"/>
      <protection locked="0"/>
    </xf>
    <xf numFmtId="0" fontId="18" fillId="0" borderId="60" xfId="3" applyFont="1" applyBorder="1" applyAlignment="1" applyProtection="1">
      <alignment horizontal="left" vertical="top" wrapText="1"/>
      <protection locked="0"/>
    </xf>
    <xf numFmtId="49" fontId="15" fillId="0" borderId="60" xfId="3" applyNumberFormat="1" applyFont="1" applyBorder="1" applyAlignment="1" applyProtection="1">
      <alignment horizontal="left" vertical="top" wrapText="1"/>
      <protection locked="0"/>
    </xf>
    <xf numFmtId="14" fontId="15" fillId="0" borderId="60" xfId="3" applyNumberFormat="1" applyFont="1" applyBorder="1" applyAlignment="1" applyProtection="1">
      <alignment horizontal="left" vertical="top" wrapText="1"/>
      <protection locked="0"/>
    </xf>
    <xf numFmtId="49" fontId="15" fillId="0" borderId="61" xfId="3" applyNumberFormat="1" applyFont="1" applyBorder="1" applyAlignment="1" applyProtection="1">
      <alignment horizontal="left" vertical="top" wrapText="1"/>
      <protection locked="0"/>
    </xf>
    <xf numFmtId="0" fontId="37" fillId="0" borderId="3" xfId="0" applyFont="1" applyBorder="1" applyAlignment="1">
      <alignment vertical="center"/>
    </xf>
    <xf numFmtId="0" fontId="96" fillId="0" borderId="0" xfId="0" applyFont="1" applyAlignment="1" applyProtection="1">
      <alignment vertical="center"/>
      <protection hidden="1"/>
    </xf>
    <xf numFmtId="0" fontId="39" fillId="0" borderId="0" xfId="0" applyFont="1"/>
    <xf numFmtId="0" fontId="0" fillId="9" borderId="0" xfId="0" applyFill="1"/>
    <xf numFmtId="0" fontId="23" fillId="10" borderId="62" xfId="0" applyFont="1" applyFill="1" applyBorder="1" applyAlignment="1">
      <alignment vertical="top" wrapText="1"/>
    </xf>
    <xf numFmtId="0" fontId="23" fillId="10" borderId="63" xfId="0" applyFont="1" applyFill="1" applyBorder="1" applyAlignment="1">
      <alignment vertical="top" wrapText="1"/>
    </xf>
    <xf numFmtId="0" fontId="68" fillId="10" borderId="64" xfId="0" applyFont="1" applyFill="1" applyBorder="1" applyAlignment="1">
      <alignment vertical="top" wrapText="1"/>
    </xf>
    <xf numFmtId="0" fontId="39" fillId="0" borderId="53" xfId="0" applyFont="1" applyBorder="1" applyAlignment="1">
      <alignment horizontal="center" vertical="top"/>
    </xf>
    <xf numFmtId="49" fontId="39" fillId="0" borderId="54" xfId="0" applyNumberFormat="1" applyFont="1" applyBorder="1" applyAlignment="1" applyProtection="1">
      <alignment horizontal="left" vertical="top" wrapText="1"/>
      <protection locked="0"/>
    </xf>
    <xf numFmtId="1" fontId="49" fillId="0" borderId="54" xfId="0" applyNumberFormat="1" applyFont="1" applyBorder="1" applyAlignment="1" applyProtection="1">
      <alignment horizontal="center" vertical="top" wrapText="1"/>
      <protection locked="0"/>
    </xf>
    <xf numFmtId="1" fontId="56" fillId="0" borderId="54" xfId="0" applyNumberFormat="1" applyFont="1" applyBorder="1" applyAlignment="1" applyProtection="1">
      <alignment horizontal="center" vertical="top" wrapText="1"/>
      <protection locked="0"/>
    </xf>
    <xf numFmtId="0" fontId="51" fillId="0" borderId="55" xfId="0" applyFont="1" applyBorder="1" applyAlignment="1" applyProtection="1">
      <alignment horizontal="center" vertical="top" wrapText="1"/>
      <protection locked="0"/>
    </xf>
    <xf numFmtId="0" fontId="53" fillId="0" borderId="0" xfId="0" applyFont="1"/>
    <xf numFmtId="1" fontId="53" fillId="0" borderId="0" xfId="0" applyNumberFormat="1" applyFont="1"/>
    <xf numFmtId="0" fontId="39" fillId="0" borderId="56" xfId="0" applyFont="1" applyBorder="1" applyAlignment="1">
      <alignment horizontal="center" vertical="top"/>
    </xf>
    <xf numFmtId="49" fontId="39" fillId="0" borderId="57" xfId="0" applyNumberFormat="1" applyFont="1" applyBorder="1" applyAlignment="1" applyProtection="1">
      <alignment horizontal="left" vertical="top" wrapText="1"/>
      <protection locked="0"/>
    </xf>
    <xf numFmtId="1" fontId="49" fillId="0" borderId="57" xfId="0" applyNumberFormat="1" applyFont="1" applyBorder="1" applyAlignment="1" applyProtection="1">
      <alignment horizontal="center" vertical="top" wrapText="1"/>
      <protection locked="0"/>
    </xf>
    <xf numFmtId="1" fontId="56" fillId="0" borderId="57" xfId="0" applyNumberFormat="1" applyFont="1" applyBorder="1" applyAlignment="1" applyProtection="1">
      <alignment horizontal="center" vertical="top" wrapText="1"/>
      <protection locked="0"/>
    </xf>
    <xf numFmtId="49" fontId="39" fillId="0" borderId="57" xfId="0" quotePrefix="1" applyNumberFormat="1" applyFont="1" applyBorder="1" applyAlignment="1" applyProtection="1">
      <alignment horizontal="left" vertical="top" wrapText="1"/>
      <protection locked="0"/>
    </xf>
    <xf numFmtId="0" fontId="51" fillId="0" borderId="58" xfId="0" applyFont="1" applyBorder="1" applyAlignment="1" applyProtection="1">
      <alignment horizontal="center" vertical="top" wrapText="1"/>
      <protection locked="0"/>
    </xf>
    <xf numFmtId="0" fontId="39" fillId="0" borderId="59" xfId="0" applyFont="1" applyBorder="1" applyAlignment="1">
      <alignment horizontal="center" vertical="top"/>
    </xf>
    <xf numFmtId="49" fontId="39" fillId="0" borderId="60" xfId="0" applyNumberFormat="1" applyFont="1" applyBorder="1" applyAlignment="1" applyProtection="1">
      <alignment horizontal="left" vertical="top" wrapText="1"/>
      <protection locked="0"/>
    </xf>
    <xf numFmtId="1" fontId="49" fillId="0" borderId="60" xfId="0" applyNumberFormat="1" applyFont="1" applyBorder="1" applyAlignment="1" applyProtection="1">
      <alignment horizontal="center" vertical="top" wrapText="1"/>
      <protection locked="0"/>
    </xf>
    <xf numFmtId="1" fontId="56" fillId="0" borderId="60" xfId="0" applyNumberFormat="1" applyFont="1" applyBorder="1" applyAlignment="1" applyProtection="1">
      <alignment horizontal="center" vertical="top" wrapText="1"/>
      <protection locked="0"/>
    </xf>
    <xf numFmtId="0" fontId="51" fillId="0" borderId="61" xfId="0" applyFont="1" applyBorder="1" applyAlignment="1" applyProtection="1">
      <alignment horizontal="center" vertical="top" wrapText="1"/>
      <protection locked="0"/>
    </xf>
    <xf numFmtId="0" fontId="132" fillId="9" borderId="0" xfId="0" applyFont="1" applyFill="1" applyAlignment="1">
      <alignment horizontal="left"/>
    </xf>
    <xf numFmtId="49" fontId="122" fillId="9" borderId="0" xfId="0" applyNumberFormat="1" applyFont="1" applyFill="1"/>
    <xf numFmtId="0" fontId="57" fillId="0" borderId="0" xfId="0" applyFont="1" applyAlignment="1">
      <alignment vertical="top"/>
    </xf>
    <xf numFmtId="0" fontId="43" fillId="0" borderId="0" xfId="0" applyFont="1" applyAlignment="1" applyProtection="1">
      <alignment horizontal="left"/>
      <protection hidden="1"/>
    </xf>
    <xf numFmtId="0" fontId="46" fillId="0" borderId="0" xfId="0" applyFont="1"/>
    <xf numFmtId="49" fontId="9" fillId="0" borderId="60" xfId="3" applyNumberFormat="1" applyFont="1" applyBorder="1" applyAlignment="1" applyProtection="1">
      <alignment horizontal="left" vertical="top" wrapText="1"/>
      <protection locked="0"/>
    </xf>
    <xf numFmtId="0" fontId="36" fillId="0" borderId="3" xfId="0" applyFont="1" applyBorder="1" applyAlignment="1" applyProtection="1">
      <alignment vertical="center"/>
      <protection hidden="1"/>
    </xf>
    <xf numFmtId="0" fontId="36" fillId="0" borderId="0" xfId="0" applyFont="1" applyAlignment="1" applyProtection="1">
      <alignment vertical="center"/>
      <protection hidden="1"/>
    </xf>
    <xf numFmtId="0" fontId="90" fillId="9" borderId="0" xfId="0" applyFont="1" applyFill="1" applyAlignment="1" applyProtection="1">
      <alignment horizontal="right" textRotation="90"/>
      <protection hidden="1"/>
    </xf>
    <xf numFmtId="0" fontId="22" fillId="9" borderId="0" xfId="0" applyFont="1" applyFill="1" applyAlignment="1" applyProtection="1">
      <alignment horizontal="right" textRotation="90"/>
      <protection hidden="1"/>
    </xf>
    <xf numFmtId="0" fontId="91" fillId="9" borderId="0" xfId="0" applyFont="1" applyFill="1" applyAlignment="1" applyProtection="1">
      <alignment horizontal="right" vertical="center"/>
      <protection hidden="1"/>
    </xf>
    <xf numFmtId="0" fontId="92" fillId="9" borderId="0" xfId="0" applyFont="1" applyFill="1" applyAlignment="1" applyProtection="1">
      <alignment horizontal="right" vertical="center"/>
      <protection hidden="1"/>
    </xf>
    <xf numFmtId="0" fontId="51" fillId="0" borderId="53" xfId="0" applyFont="1" applyBorder="1" applyAlignment="1" applyProtection="1">
      <alignment horizontal="right" vertical="center"/>
      <protection hidden="1"/>
    </xf>
    <xf numFmtId="0" fontId="0" fillId="0" borderId="54" xfId="0" applyBorder="1" applyAlignment="1" applyProtection="1">
      <alignment vertical="center"/>
      <protection hidden="1"/>
    </xf>
    <xf numFmtId="0" fontId="0" fillId="0" borderId="54" xfId="0" applyBorder="1" applyAlignment="1" applyProtection="1">
      <alignment horizontal="left" vertical="center"/>
      <protection locked="0"/>
    </xf>
    <xf numFmtId="0" fontId="93" fillId="0" borderId="54" xfId="0" applyFont="1" applyBorder="1" applyAlignment="1" applyProtection="1">
      <alignment vertical="center"/>
      <protection locked="0"/>
    </xf>
    <xf numFmtId="0" fontId="70" fillId="0" borderId="55" xfId="0" applyFont="1" applyBorder="1" applyAlignment="1" applyProtection="1">
      <alignment vertical="center"/>
      <protection locked="0"/>
    </xf>
    <xf numFmtId="0" fontId="58" fillId="0" borderId="65" xfId="0" applyFont="1" applyBorder="1" applyAlignment="1" applyProtection="1">
      <alignment horizontal="left"/>
      <protection hidden="1"/>
    </xf>
    <xf numFmtId="0" fontId="0" fillId="0" borderId="65" xfId="0" applyBorder="1" applyProtection="1">
      <protection hidden="1"/>
    </xf>
    <xf numFmtId="0" fontId="94" fillId="0" borderId="65" xfId="0" applyFont="1" applyBorder="1" applyAlignment="1" applyProtection="1">
      <alignment horizontal="left" vertical="center"/>
      <protection locked="0"/>
    </xf>
    <xf numFmtId="0" fontId="62" fillId="9" borderId="0" xfId="0" applyFont="1" applyFill="1" applyProtection="1">
      <protection hidden="1"/>
    </xf>
    <xf numFmtId="0" fontId="51" fillId="0" borderId="56" xfId="0" applyFont="1" applyBorder="1" applyAlignment="1" applyProtection="1">
      <alignment horizontal="right" vertical="center"/>
      <protection hidden="1"/>
    </xf>
    <xf numFmtId="0" fontId="0" fillId="0" borderId="57" xfId="0" applyBorder="1" applyAlignment="1" applyProtection="1">
      <alignment vertical="center"/>
      <protection hidden="1"/>
    </xf>
    <xf numFmtId="0" fontId="0" fillId="0" borderId="57" xfId="0" applyBorder="1" applyAlignment="1" applyProtection="1">
      <alignment horizontal="left" vertical="center"/>
      <protection locked="0"/>
    </xf>
    <xf numFmtId="0" fontId="93" fillId="0" borderId="57" xfId="0" applyFont="1" applyBorder="1" applyAlignment="1" applyProtection="1">
      <alignment vertical="center"/>
      <protection locked="0"/>
    </xf>
    <xf numFmtId="0" fontId="70" fillId="0" borderId="58" xfId="0" applyFont="1" applyBorder="1" applyAlignment="1" applyProtection="1">
      <alignment vertical="center"/>
      <protection locked="0"/>
    </xf>
    <xf numFmtId="0" fontId="58" fillId="0" borderId="66" xfId="0" applyFont="1" applyBorder="1" applyAlignment="1" applyProtection="1">
      <alignment horizontal="left"/>
      <protection hidden="1"/>
    </xf>
    <xf numFmtId="0" fontId="0" fillId="0" borderId="66" xfId="0" applyBorder="1" applyProtection="1">
      <protection hidden="1"/>
    </xf>
    <xf numFmtId="0" fontId="94" fillId="0" borderId="66" xfId="0" applyFont="1" applyBorder="1" applyAlignment="1" applyProtection="1">
      <alignment horizontal="left" vertical="center"/>
      <protection locked="0"/>
    </xf>
    <xf numFmtId="0" fontId="94" fillId="0" borderId="57" xfId="0" applyFont="1" applyBorder="1" applyAlignment="1" applyProtection="1">
      <alignment horizontal="left" vertical="center"/>
      <protection locked="0"/>
    </xf>
    <xf numFmtId="0" fontId="25" fillId="0" borderId="0" xfId="0" applyFont="1" applyAlignment="1" applyProtection="1">
      <alignment vertical="top" wrapText="1"/>
      <protection hidden="1"/>
    </xf>
    <xf numFmtId="0" fontId="51" fillId="0" borderId="0" xfId="0" applyFont="1" applyAlignment="1" applyProtection="1">
      <alignment horizontal="center" vertical="center" wrapText="1"/>
      <protection hidden="1"/>
    </xf>
    <xf numFmtId="0" fontId="51" fillId="0" borderId="59" xfId="0" applyFont="1" applyBorder="1" applyAlignment="1" applyProtection="1">
      <alignment horizontal="right" vertical="center"/>
      <protection hidden="1"/>
    </xf>
    <xf numFmtId="0" fontId="0" fillId="0" borderId="60" xfId="0" applyBorder="1" applyAlignment="1" applyProtection="1">
      <alignment vertical="center"/>
      <protection hidden="1"/>
    </xf>
    <xf numFmtId="0" fontId="0" fillId="0" borderId="60" xfId="0" applyBorder="1" applyAlignment="1" applyProtection="1">
      <alignment horizontal="left" vertical="center"/>
      <protection locked="0"/>
    </xf>
    <xf numFmtId="0" fontId="93" fillId="0" borderId="60" xfId="0" applyFont="1" applyBorder="1" applyAlignment="1" applyProtection="1">
      <alignment vertical="center"/>
      <protection locked="0"/>
    </xf>
    <xf numFmtId="0" fontId="70" fillId="0" borderId="61" xfId="0" applyFont="1" applyBorder="1" applyAlignment="1" applyProtection="1">
      <alignment vertical="center"/>
      <protection locked="0"/>
    </xf>
    <xf numFmtId="0" fontId="58" fillId="0" borderId="67" xfId="0" applyFont="1" applyBorder="1" applyAlignment="1" applyProtection="1">
      <alignment horizontal="left"/>
      <protection hidden="1"/>
    </xf>
    <xf numFmtId="0" fontId="0" fillId="0" borderId="67" xfId="0" applyBorder="1" applyProtection="1">
      <protection hidden="1"/>
    </xf>
    <xf numFmtId="0" fontId="94" fillId="0" borderId="67" xfId="0" applyFon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hidden="1"/>
    </xf>
    <xf numFmtId="0" fontId="39" fillId="0" borderId="0" xfId="0" applyFont="1" applyAlignment="1" applyProtection="1">
      <alignment horizontal="center" vertical="top"/>
      <protection hidden="1"/>
    </xf>
    <xf numFmtId="0" fontId="62" fillId="0" borderId="0" xfId="0" applyFont="1" applyAlignment="1" applyProtection="1">
      <alignment horizontal="center" vertical="center"/>
      <protection hidden="1"/>
    </xf>
    <xf numFmtId="0" fontId="53" fillId="0" borderId="0" xfId="0" applyFont="1" applyProtection="1">
      <protection hidden="1"/>
    </xf>
    <xf numFmtId="0" fontId="69" fillId="38" borderId="0" xfId="0" applyFont="1" applyFill="1" applyProtection="1">
      <protection hidden="1"/>
    </xf>
    <xf numFmtId="0" fontId="69" fillId="38" borderId="0" xfId="0" applyFont="1" applyFill="1"/>
    <xf numFmtId="0" fontId="26" fillId="38" borderId="0" xfId="0" applyFont="1" applyFill="1"/>
    <xf numFmtId="0" fontId="25" fillId="39" borderId="54" xfId="0" applyFont="1" applyFill="1" applyBorder="1" applyAlignment="1">
      <alignment vertical="top" wrapText="1"/>
    </xf>
    <xf numFmtId="0" fontId="65" fillId="39" borderId="54" xfId="0" applyFont="1" applyFill="1" applyBorder="1" applyAlignment="1">
      <alignment vertical="top" wrapText="1"/>
    </xf>
    <xf numFmtId="0" fontId="0" fillId="13" borderId="57" xfId="0" applyFill="1" applyBorder="1" applyAlignment="1" applyProtection="1">
      <alignment horizontal="center" vertical="top"/>
      <protection hidden="1"/>
    </xf>
    <xf numFmtId="0" fontId="0" fillId="13" borderId="57" xfId="0" applyFill="1" applyBorder="1" applyAlignment="1" applyProtection="1">
      <alignment horizontal="left" vertical="top" wrapText="1"/>
      <protection locked="0"/>
    </xf>
    <xf numFmtId="1" fontId="49" fillId="13" borderId="57" xfId="0" applyNumberFormat="1" applyFont="1" applyFill="1" applyBorder="1" applyAlignment="1" applyProtection="1">
      <alignment horizontal="center" vertical="top" wrapText="1"/>
      <protection locked="0"/>
    </xf>
    <xf numFmtId="1" fontId="50" fillId="13" borderId="57" xfId="0" applyNumberFormat="1" applyFont="1" applyFill="1" applyBorder="1" applyAlignment="1" applyProtection="1">
      <alignment horizontal="center" vertical="top" wrapText="1"/>
      <protection locked="0"/>
    </xf>
    <xf numFmtId="0" fontId="51" fillId="13" borderId="57" xfId="0" applyFont="1" applyFill="1" applyBorder="1" applyAlignment="1" applyProtection="1">
      <alignment horizontal="center" vertical="top" wrapText="1"/>
      <protection locked="0"/>
    </xf>
    <xf numFmtId="0" fontId="0" fillId="14" borderId="57" xfId="0" applyFill="1" applyBorder="1" applyAlignment="1" applyProtection="1">
      <alignment horizontal="center" vertical="top"/>
      <protection locked="0"/>
    </xf>
    <xf numFmtId="0" fontId="0" fillId="14" borderId="57" xfId="0" applyFill="1" applyBorder="1" applyAlignment="1" applyProtection="1">
      <alignment horizontal="left" vertical="top" wrapText="1"/>
      <protection locked="0"/>
    </xf>
    <xf numFmtId="1" fontId="49" fillId="14" borderId="57" xfId="0" applyNumberFormat="1" applyFont="1" applyFill="1" applyBorder="1" applyAlignment="1" applyProtection="1">
      <alignment horizontal="center" vertical="top" wrapText="1"/>
      <protection locked="0"/>
    </xf>
    <xf numFmtId="1" fontId="50" fillId="14" borderId="57" xfId="0" applyNumberFormat="1" applyFont="1" applyFill="1" applyBorder="1" applyAlignment="1" applyProtection="1">
      <alignment horizontal="center" vertical="top" wrapText="1"/>
      <protection locked="0"/>
    </xf>
    <xf numFmtId="0" fontId="51" fillId="14" borderId="57" xfId="0" applyFont="1" applyFill="1" applyBorder="1" applyAlignment="1" applyProtection="1">
      <alignment horizontal="center" vertical="top" wrapText="1"/>
      <protection locked="0"/>
    </xf>
    <xf numFmtId="0" fontId="0" fillId="13" borderId="57" xfId="0" applyFill="1" applyBorder="1" applyAlignment="1" applyProtection="1">
      <alignment horizontal="center" vertical="top"/>
      <protection locked="0"/>
    </xf>
    <xf numFmtId="0" fontId="0" fillId="0" borderId="0" xfId="0" applyAlignment="1" applyProtection="1">
      <alignment vertical="top"/>
      <protection hidden="1"/>
    </xf>
    <xf numFmtId="0" fontId="0" fillId="0" borderId="0" xfId="0" applyAlignment="1">
      <alignment vertical="top"/>
    </xf>
    <xf numFmtId="0" fontId="0" fillId="0" borderId="68" xfId="0" applyBorder="1" applyAlignment="1">
      <alignment horizontal="right" vertical="top"/>
    </xf>
    <xf numFmtId="2" fontId="0" fillId="0" borderId="69" xfId="0" applyNumberFormat="1" applyBorder="1" applyAlignment="1">
      <alignment horizontal="center" vertical="top"/>
    </xf>
    <xf numFmtId="2" fontId="0" fillId="0" borderId="0" xfId="0" applyNumberFormat="1" applyAlignment="1">
      <alignment vertical="top"/>
    </xf>
    <xf numFmtId="0" fontId="69" fillId="40" borderId="0" xfId="0" applyFont="1" applyFill="1" applyAlignment="1" applyProtection="1">
      <alignment vertical="top"/>
      <protection locked="0"/>
    </xf>
    <xf numFmtId="0" fontId="69" fillId="40" borderId="0" xfId="0" applyFont="1" applyFill="1" applyAlignment="1">
      <alignment vertical="top"/>
    </xf>
    <xf numFmtId="0" fontId="26" fillId="40" borderId="0" xfId="0" applyFont="1" applyFill="1" applyAlignment="1">
      <alignment vertical="top"/>
    </xf>
    <xf numFmtId="0" fontId="25" fillId="41" borderId="53" xfId="0" applyFont="1" applyFill="1" applyBorder="1" applyAlignment="1">
      <alignment vertical="top"/>
    </xf>
    <xf numFmtId="0" fontId="25" fillId="41" borderId="54" xfId="0" applyFont="1" applyFill="1" applyBorder="1" applyAlignment="1">
      <alignment vertical="top"/>
    </xf>
    <xf numFmtId="0" fontId="65" fillId="41" borderId="54" xfId="0" applyFont="1" applyFill="1" applyBorder="1" applyAlignment="1">
      <alignment vertical="top" wrapText="1"/>
    </xf>
    <xf numFmtId="0" fontId="65" fillId="41" borderId="55" xfId="0" applyFont="1" applyFill="1" applyBorder="1" applyAlignment="1">
      <alignment vertical="top"/>
    </xf>
    <xf numFmtId="0" fontId="0" fillId="15" borderId="56" xfId="0" applyFill="1" applyBorder="1" applyAlignment="1" applyProtection="1">
      <alignment horizontal="center" vertical="top"/>
      <protection locked="0"/>
    </xf>
    <xf numFmtId="0" fontId="0" fillId="15" borderId="57" xfId="0" applyFill="1" applyBorder="1" applyAlignment="1" applyProtection="1">
      <alignment horizontal="left" vertical="top" wrapText="1"/>
      <protection locked="0"/>
    </xf>
    <xf numFmtId="1" fontId="49" fillId="15" borderId="57" xfId="0" applyNumberFormat="1" applyFont="1" applyFill="1" applyBorder="1" applyAlignment="1" applyProtection="1">
      <alignment horizontal="center" vertical="top" wrapText="1"/>
      <protection locked="0"/>
    </xf>
    <xf numFmtId="1" fontId="50" fillId="15" borderId="57" xfId="0" applyNumberFormat="1" applyFont="1" applyFill="1" applyBorder="1" applyAlignment="1" applyProtection="1">
      <alignment horizontal="center" vertical="top" wrapText="1"/>
      <protection locked="0"/>
    </xf>
    <xf numFmtId="0" fontId="51" fillId="15" borderId="58" xfId="0" applyFont="1" applyFill="1" applyBorder="1" applyAlignment="1" applyProtection="1">
      <alignment horizontal="center" vertical="top" wrapText="1"/>
      <protection locked="0"/>
    </xf>
    <xf numFmtId="0" fontId="0" fillId="16" borderId="56" xfId="0" applyFill="1" applyBorder="1" applyAlignment="1" applyProtection="1">
      <alignment horizontal="center" vertical="top"/>
      <protection locked="0"/>
    </xf>
    <xf numFmtId="0" fontId="0" fillId="16" borderId="57" xfId="0" applyFill="1" applyBorder="1" applyAlignment="1" applyProtection="1">
      <alignment horizontal="left" vertical="top" wrapText="1"/>
      <protection locked="0"/>
    </xf>
    <xf numFmtId="1" fontId="49" fillId="16" borderId="57" xfId="0" applyNumberFormat="1" applyFont="1" applyFill="1" applyBorder="1" applyAlignment="1" applyProtection="1">
      <alignment horizontal="center" vertical="top" wrapText="1"/>
      <protection locked="0"/>
    </xf>
    <xf numFmtId="1" fontId="50" fillId="16" borderId="57" xfId="0" applyNumberFormat="1" applyFont="1" applyFill="1" applyBorder="1" applyAlignment="1" applyProtection="1">
      <alignment horizontal="center" vertical="top" wrapText="1"/>
      <protection locked="0"/>
    </xf>
    <xf numFmtId="0" fontId="51" fillId="16" borderId="58" xfId="0" applyFont="1" applyFill="1" applyBorder="1" applyAlignment="1" applyProtection="1">
      <alignment horizontal="center" vertical="top" wrapText="1"/>
      <protection locked="0"/>
    </xf>
    <xf numFmtId="0" fontId="0" fillId="16" borderId="59" xfId="0" applyFill="1" applyBorder="1" applyAlignment="1" applyProtection="1">
      <alignment horizontal="center" vertical="top"/>
      <protection locked="0"/>
    </xf>
    <xf numFmtId="0" fontId="0" fillId="16" borderId="60" xfId="0" applyFill="1" applyBorder="1" applyAlignment="1" applyProtection="1">
      <alignment horizontal="left" vertical="top" wrapText="1"/>
      <protection locked="0"/>
    </xf>
    <xf numFmtId="1" fontId="49" fillId="16" borderId="60" xfId="0" applyNumberFormat="1" applyFont="1" applyFill="1" applyBorder="1" applyAlignment="1" applyProtection="1">
      <alignment horizontal="center" vertical="top" wrapText="1"/>
      <protection locked="0"/>
    </xf>
    <xf numFmtId="1" fontId="50" fillId="16" borderId="60" xfId="0" applyNumberFormat="1" applyFont="1" applyFill="1" applyBorder="1" applyAlignment="1" applyProtection="1">
      <alignment horizontal="center" vertical="top" wrapText="1"/>
      <protection locked="0"/>
    </xf>
    <xf numFmtId="0" fontId="51" fillId="16" borderId="61" xfId="0" applyFont="1" applyFill="1" applyBorder="1" applyAlignment="1" applyProtection="1">
      <alignment horizontal="center" vertical="top" wrapText="1"/>
      <protection locked="0"/>
    </xf>
    <xf numFmtId="0" fontId="69" fillId="42" borderId="0" xfId="0" applyFont="1" applyFill="1" applyAlignment="1" applyProtection="1">
      <alignment vertical="top"/>
      <protection locked="0"/>
    </xf>
    <xf numFmtId="0" fontId="69" fillId="42" borderId="0" xfId="0" applyFont="1" applyFill="1" applyAlignment="1">
      <alignment vertical="top"/>
    </xf>
    <xf numFmtId="0" fontId="26" fillId="42" borderId="0" xfId="0" applyFont="1" applyFill="1" applyAlignment="1">
      <alignment vertical="top"/>
    </xf>
    <xf numFmtId="0" fontId="25" fillId="26" borderId="53" xfId="0" applyFont="1" applyFill="1" applyBorder="1" applyAlignment="1">
      <alignment vertical="top" wrapText="1"/>
    </xf>
    <xf numFmtId="0" fontId="25" fillId="26" borderId="54" xfId="0" applyFont="1" applyFill="1" applyBorder="1" applyAlignment="1">
      <alignment vertical="top" wrapText="1"/>
    </xf>
    <xf numFmtId="0" fontId="65" fillId="26" borderId="54" xfId="0" applyFont="1" applyFill="1" applyBorder="1" applyAlignment="1">
      <alignment vertical="top" wrapText="1"/>
    </xf>
    <xf numFmtId="0" fontId="65" fillId="26" borderId="55" xfId="0" applyFont="1" applyFill="1" applyBorder="1" applyAlignment="1">
      <alignment vertical="top" wrapText="1"/>
    </xf>
    <xf numFmtId="0" fontId="0" fillId="12" borderId="56" xfId="0" applyFill="1" applyBorder="1" applyAlignment="1" applyProtection="1">
      <alignment horizontal="center" vertical="top"/>
      <protection locked="0"/>
    </xf>
    <xf numFmtId="0" fontId="0" fillId="12" borderId="57" xfId="0" applyFill="1" applyBorder="1" applyAlignment="1" applyProtection="1">
      <alignment horizontal="left" vertical="top" wrapText="1"/>
      <protection locked="0"/>
    </xf>
    <xf numFmtId="1" fontId="49" fillId="12" borderId="57" xfId="0" applyNumberFormat="1" applyFont="1" applyFill="1" applyBorder="1" applyAlignment="1" applyProtection="1">
      <alignment horizontal="center" vertical="top" wrapText="1"/>
      <protection locked="0"/>
    </xf>
    <xf numFmtId="1" fontId="50" fillId="12" borderId="57" xfId="0" applyNumberFormat="1" applyFont="1" applyFill="1" applyBorder="1" applyAlignment="1" applyProtection="1">
      <alignment horizontal="center" vertical="top" wrapText="1"/>
      <protection locked="0"/>
    </xf>
    <xf numFmtId="0" fontId="51" fillId="12" borderId="58" xfId="0" applyFont="1" applyFill="1" applyBorder="1" applyAlignment="1" applyProtection="1">
      <alignment horizontal="center" vertical="top" wrapText="1"/>
      <protection locked="0"/>
    </xf>
    <xf numFmtId="0" fontId="0" fillId="11" borderId="56" xfId="0" applyFill="1" applyBorder="1" applyAlignment="1" applyProtection="1">
      <alignment horizontal="center" vertical="top"/>
      <protection locked="0"/>
    </xf>
    <xf numFmtId="0" fontId="0" fillId="11" borderId="57" xfId="0" applyFill="1" applyBorder="1" applyAlignment="1" applyProtection="1">
      <alignment horizontal="left" vertical="top" wrapText="1"/>
      <protection locked="0"/>
    </xf>
    <xf numFmtId="1" fontId="49" fillId="11" borderId="57" xfId="0" applyNumberFormat="1" applyFont="1" applyFill="1" applyBorder="1" applyAlignment="1" applyProtection="1">
      <alignment horizontal="center" vertical="top" wrapText="1"/>
      <protection locked="0"/>
    </xf>
    <xf numFmtId="1" fontId="50" fillId="11" borderId="57" xfId="0" applyNumberFormat="1" applyFont="1" applyFill="1" applyBorder="1" applyAlignment="1" applyProtection="1">
      <alignment horizontal="center" vertical="top" wrapText="1"/>
      <protection locked="0"/>
    </xf>
    <xf numFmtId="0" fontId="51" fillId="11" borderId="58" xfId="0" applyFont="1" applyFill="1" applyBorder="1" applyAlignment="1" applyProtection="1">
      <alignment horizontal="center" vertical="top" wrapText="1"/>
      <protection locked="0"/>
    </xf>
    <xf numFmtId="0" fontId="0" fillId="11" borderId="59" xfId="0" applyFill="1" applyBorder="1" applyAlignment="1" applyProtection="1">
      <alignment horizontal="center" vertical="top"/>
      <protection locked="0"/>
    </xf>
    <xf numFmtId="0" fontId="0" fillId="11" borderId="60" xfId="0" applyFill="1" applyBorder="1" applyAlignment="1" applyProtection="1">
      <alignment horizontal="left" vertical="top" wrapText="1"/>
      <protection locked="0"/>
    </xf>
    <xf numFmtId="1" fontId="49" fillId="11" borderId="60" xfId="0" applyNumberFormat="1" applyFont="1" applyFill="1" applyBorder="1" applyAlignment="1" applyProtection="1">
      <alignment horizontal="center" vertical="top" wrapText="1"/>
      <protection locked="0"/>
    </xf>
    <xf numFmtId="1" fontId="50" fillId="11" borderId="60" xfId="0" applyNumberFormat="1" applyFont="1" applyFill="1" applyBorder="1" applyAlignment="1" applyProtection="1">
      <alignment horizontal="center" vertical="top" wrapText="1"/>
      <protection locked="0"/>
    </xf>
    <xf numFmtId="0" fontId="51" fillId="11" borderId="61" xfId="0" applyFont="1" applyFill="1" applyBorder="1" applyAlignment="1" applyProtection="1">
      <alignment horizontal="center" vertical="top" wrapText="1"/>
      <protection locked="0"/>
    </xf>
    <xf numFmtId="0" fontId="69" fillId="43" borderId="0" xfId="0" applyFont="1" applyFill="1" applyAlignment="1" applyProtection="1">
      <alignment vertical="top"/>
      <protection locked="0"/>
    </xf>
    <xf numFmtId="0" fontId="69" fillId="43" borderId="0" xfId="0" applyFont="1" applyFill="1" applyAlignment="1">
      <alignment vertical="top"/>
    </xf>
    <xf numFmtId="0" fontId="26" fillId="43" borderId="0" xfId="0" applyFont="1" applyFill="1" applyAlignment="1">
      <alignment vertical="top"/>
    </xf>
    <xf numFmtId="0" fontId="25" fillId="5" borderId="53" xfId="0" applyFont="1" applyFill="1" applyBorder="1" applyAlignment="1">
      <alignment vertical="top" wrapText="1"/>
    </xf>
    <xf numFmtId="0" fontId="25" fillId="5" borderId="54" xfId="0" applyFont="1" applyFill="1" applyBorder="1" applyAlignment="1">
      <alignment vertical="top" wrapText="1"/>
    </xf>
    <xf numFmtId="0" fontId="65" fillId="5" borderId="54" xfId="0" applyFont="1" applyFill="1" applyBorder="1" applyAlignment="1">
      <alignment vertical="top" wrapText="1"/>
    </xf>
    <xf numFmtId="0" fontId="65" fillId="5" borderId="55" xfId="0" applyFont="1" applyFill="1" applyBorder="1" applyAlignment="1">
      <alignment vertical="top" wrapText="1"/>
    </xf>
    <xf numFmtId="0" fontId="0" fillId="17" borderId="56" xfId="0" applyFill="1" applyBorder="1" applyAlignment="1" applyProtection="1">
      <alignment horizontal="center" vertical="top"/>
      <protection locked="0"/>
    </xf>
    <xf numFmtId="0" fontId="0" fillId="17" borderId="57" xfId="0" applyFill="1" applyBorder="1" applyAlignment="1" applyProtection="1">
      <alignment horizontal="left" vertical="top" wrapText="1"/>
      <protection locked="0"/>
    </xf>
    <xf numFmtId="1" fontId="49" fillId="17" borderId="57" xfId="0" applyNumberFormat="1" applyFont="1" applyFill="1" applyBorder="1" applyAlignment="1" applyProtection="1">
      <alignment horizontal="center" vertical="top" wrapText="1"/>
      <protection locked="0"/>
    </xf>
    <xf numFmtId="1" fontId="50" fillId="17" borderId="57" xfId="0" applyNumberFormat="1" applyFont="1" applyFill="1" applyBorder="1" applyAlignment="1" applyProtection="1">
      <alignment horizontal="center" vertical="top" wrapText="1"/>
      <protection locked="0"/>
    </xf>
    <xf numFmtId="0" fontId="51" fillId="17" borderId="58" xfId="0" applyFont="1" applyFill="1" applyBorder="1" applyAlignment="1" applyProtection="1">
      <alignment horizontal="center" vertical="top" wrapText="1"/>
      <protection locked="0"/>
    </xf>
    <xf numFmtId="0" fontId="0" fillId="6" borderId="56" xfId="0" applyFill="1" applyBorder="1" applyAlignment="1" applyProtection="1">
      <alignment horizontal="center" vertical="top"/>
      <protection locked="0"/>
    </xf>
    <xf numFmtId="0" fontId="0" fillId="6" borderId="57" xfId="0" applyFill="1" applyBorder="1" applyAlignment="1" applyProtection="1">
      <alignment horizontal="left" vertical="top" wrapText="1"/>
      <protection locked="0"/>
    </xf>
    <xf numFmtId="1" fontId="49" fillId="6" borderId="57" xfId="0" applyNumberFormat="1" applyFont="1" applyFill="1" applyBorder="1" applyAlignment="1" applyProtection="1">
      <alignment horizontal="center" vertical="top" wrapText="1"/>
      <protection locked="0"/>
    </xf>
    <xf numFmtId="1" fontId="50" fillId="6" borderId="57" xfId="0" applyNumberFormat="1" applyFont="1" applyFill="1" applyBorder="1" applyAlignment="1" applyProtection="1">
      <alignment horizontal="center" vertical="top" wrapText="1"/>
      <protection locked="0"/>
    </xf>
    <xf numFmtId="0" fontId="51" fillId="6" borderId="58" xfId="0" applyFont="1" applyFill="1" applyBorder="1" applyAlignment="1" applyProtection="1">
      <alignment horizontal="center" vertical="top" wrapText="1"/>
      <protection locked="0"/>
    </xf>
    <xf numFmtId="0" fontId="0" fillId="6" borderId="59" xfId="0" applyFill="1" applyBorder="1" applyAlignment="1" applyProtection="1">
      <alignment horizontal="center" vertical="top"/>
      <protection locked="0"/>
    </xf>
    <xf numFmtId="0" fontId="0" fillId="6" borderId="60" xfId="0" applyFill="1" applyBorder="1" applyAlignment="1" applyProtection="1">
      <alignment horizontal="left" vertical="top" wrapText="1"/>
      <protection locked="0"/>
    </xf>
    <xf numFmtId="1" fontId="49" fillId="6" borderId="60" xfId="0" applyNumberFormat="1" applyFont="1" applyFill="1" applyBorder="1" applyAlignment="1" applyProtection="1">
      <alignment horizontal="center" vertical="top" wrapText="1"/>
      <protection locked="0"/>
    </xf>
    <xf numFmtId="1" fontId="50" fillId="6" borderId="60" xfId="0" applyNumberFormat="1" applyFont="1" applyFill="1" applyBorder="1" applyAlignment="1" applyProtection="1">
      <alignment horizontal="center" vertical="top" wrapText="1"/>
      <protection locked="0"/>
    </xf>
    <xf numFmtId="0" fontId="51" fillId="6" borderId="61" xfId="0" applyFont="1" applyFill="1" applyBorder="1" applyAlignment="1" applyProtection="1">
      <alignment horizontal="center" vertical="top" wrapText="1"/>
      <protection locked="0"/>
    </xf>
    <xf numFmtId="0" fontId="69" fillId="44" borderId="0" xfId="0" applyFont="1" applyFill="1" applyAlignment="1" applyProtection="1">
      <alignment vertical="top"/>
      <protection locked="0"/>
    </xf>
    <xf numFmtId="0" fontId="69" fillId="44" borderId="0" xfId="0" applyFont="1" applyFill="1" applyAlignment="1">
      <alignment vertical="top"/>
    </xf>
    <xf numFmtId="0" fontId="26" fillId="44" borderId="0" xfId="0" applyFont="1" applyFill="1" applyAlignment="1">
      <alignment vertical="top"/>
    </xf>
    <xf numFmtId="0" fontId="25" fillId="25" borderId="53" xfId="0" applyFont="1" applyFill="1" applyBorder="1" applyAlignment="1">
      <alignment vertical="top" wrapText="1"/>
    </xf>
    <xf numFmtId="0" fontId="25" fillId="25" borderId="54" xfId="0" applyFont="1" applyFill="1" applyBorder="1" applyAlignment="1">
      <alignment vertical="top" wrapText="1"/>
    </xf>
    <xf numFmtId="0" fontId="65" fillId="25" borderId="54" xfId="0" applyFont="1" applyFill="1" applyBorder="1" applyAlignment="1">
      <alignment vertical="top" wrapText="1"/>
    </xf>
    <xf numFmtId="0" fontId="65" fillId="25" borderId="55" xfId="0" applyFont="1" applyFill="1" applyBorder="1" applyAlignment="1">
      <alignment vertical="top" wrapText="1"/>
    </xf>
    <xf numFmtId="0" fontId="0" fillId="18" borderId="56" xfId="0" applyFill="1" applyBorder="1" applyAlignment="1" applyProtection="1">
      <alignment horizontal="center" vertical="top"/>
      <protection locked="0"/>
    </xf>
    <xf numFmtId="0" fontId="0" fillId="18" borderId="57" xfId="0" applyFill="1" applyBorder="1" applyAlignment="1" applyProtection="1">
      <alignment horizontal="left" vertical="top" wrapText="1"/>
      <protection locked="0"/>
    </xf>
    <xf numFmtId="1" fontId="49" fillId="18" borderId="57" xfId="0" applyNumberFormat="1" applyFont="1" applyFill="1" applyBorder="1" applyAlignment="1" applyProtection="1">
      <alignment horizontal="center" vertical="top" wrapText="1"/>
      <protection locked="0"/>
    </xf>
    <xf numFmtId="1" fontId="50" fillId="18" borderId="57" xfId="0" applyNumberFormat="1" applyFont="1" applyFill="1" applyBorder="1" applyAlignment="1" applyProtection="1">
      <alignment horizontal="center" vertical="top" wrapText="1"/>
      <protection locked="0"/>
    </xf>
    <xf numFmtId="0" fontId="51" fillId="18" borderId="58" xfId="0" applyFont="1" applyFill="1" applyBorder="1" applyAlignment="1" applyProtection="1">
      <alignment horizontal="center" vertical="top" wrapText="1"/>
      <protection locked="0"/>
    </xf>
    <xf numFmtId="0" fontId="0" fillId="19" borderId="56" xfId="0" applyFill="1" applyBorder="1" applyAlignment="1" applyProtection="1">
      <alignment horizontal="center" vertical="top"/>
      <protection locked="0"/>
    </xf>
    <xf numFmtId="0" fontId="0" fillId="19" borderId="57" xfId="0" applyFill="1" applyBorder="1" applyAlignment="1" applyProtection="1">
      <alignment horizontal="left" vertical="top" wrapText="1"/>
      <protection locked="0"/>
    </xf>
    <xf numFmtId="1" fontId="49" fillId="19" borderId="57" xfId="0" applyNumberFormat="1" applyFont="1" applyFill="1" applyBorder="1" applyAlignment="1" applyProtection="1">
      <alignment horizontal="center" vertical="top" wrapText="1"/>
      <protection locked="0"/>
    </xf>
    <xf numFmtId="1" fontId="50" fillId="19" borderId="57" xfId="0" applyNumberFormat="1" applyFont="1" applyFill="1" applyBorder="1" applyAlignment="1" applyProtection="1">
      <alignment horizontal="center" vertical="top" wrapText="1"/>
      <protection locked="0"/>
    </xf>
    <xf numFmtId="0" fontId="51" fillId="19" borderId="58" xfId="0" applyFont="1" applyFill="1" applyBorder="1" applyAlignment="1" applyProtection="1">
      <alignment horizontal="center" vertical="top" wrapText="1"/>
      <protection locked="0"/>
    </xf>
    <xf numFmtId="0" fontId="0" fillId="19" borderId="59" xfId="0" applyFill="1" applyBorder="1" applyAlignment="1" applyProtection="1">
      <alignment horizontal="center" vertical="top"/>
      <protection locked="0"/>
    </xf>
    <xf numFmtId="0" fontId="0" fillId="19" borderId="60" xfId="0" applyFill="1" applyBorder="1" applyAlignment="1" applyProtection="1">
      <alignment horizontal="left" vertical="top" wrapText="1"/>
      <protection locked="0"/>
    </xf>
    <xf numFmtId="1" fontId="49" fillId="19" borderId="60" xfId="0" applyNumberFormat="1" applyFont="1" applyFill="1" applyBorder="1" applyAlignment="1" applyProtection="1">
      <alignment horizontal="center" vertical="top" wrapText="1"/>
      <protection locked="0"/>
    </xf>
    <xf numFmtId="1" fontId="50" fillId="19" borderId="60" xfId="0" applyNumberFormat="1" applyFont="1" applyFill="1" applyBorder="1" applyAlignment="1" applyProtection="1">
      <alignment horizontal="center" vertical="top" wrapText="1"/>
      <protection locked="0"/>
    </xf>
    <xf numFmtId="0" fontId="51" fillId="19" borderId="61" xfId="0" applyFont="1" applyFill="1" applyBorder="1" applyAlignment="1" applyProtection="1">
      <alignment horizontal="center" vertical="top" wrapText="1"/>
      <protection locked="0"/>
    </xf>
    <xf numFmtId="0" fontId="69" fillId="45" borderId="0" xfId="0" applyFont="1" applyFill="1" applyAlignment="1" applyProtection="1">
      <alignment vertical="top"/>
      <protection locked="0"/>
    </xf>
    <xf numFmtId="0" fontId="69" fillId="45" borderId="0" xfId="0" applyFont="1" applyFill="1" applyAlignment="1">
      <alignment vertical="top"/>
    </xf>
    <xf numFmtId="0" fontId="26" fillId="45" borderId="0" xfId="0" applyFont="1" applyFill="1" applyAlignment="1">
      <alignment vertical="top"/>
    </xf>
    <xf numFmtId="0" fontId="25" fillId="46" borderId="0" xfId="0" applyFont="1" applyFill="1" applyAlignment="1">
      <alignment vertical="top" wrapText="1"/>
    </xf>
    <xf numFmtId="0" fontId="65" fillId="46" borderId="0" xfId="0" applyFont="1" applyFill="1" applyAlignment="1">
      <alignment vertical="top" wrapText="1"/>
    </xf>
    <xf numFmtId="0" fontId="0" fillId="20" borderId="53" xfId="0" applyFill="1" applyBorder="1" applyAlignment="1" applyProtection="1">
      <alignment horizontal="center" vertical="top"/>
      <protection locked="0"/>
    </xf>
    <xf numFmtId="0" fontId="0" fillId="20" borderId="54" xfId="0" applyFill="1" applyBorder="1" applyAlignment="1" applyProtection="1">
      <alignment horizontal="left" vertical="top" wrapText="1"/>
      <protection locked="0"/>
    </xf>
    <xf numFmtId="1" fontId="49" fillId="20" borderId="54" xfId="0" applyNumberFormat="1" applyFont="1" applyFill="1" applyBorder="1" applyAlignment="1" applyProtection="1">
      <alignment horizontal="center" vertical="top" wrapText="1"/>
      <protection locked="0"/>
    </xf>
    <xf numFmtId="1" fontId="50" fillId="20" borderId="54" xfId="0" applyNumberFormat="1" applyFont="1" applyFill="1" applyBorder="1" applyAlignment="1" applyProtection="1">
      <alignment horizontal="center" vertical="top" wrapText="1"/>
      <protection locked="0"/>
    </xf>
    <xf numFmtId="0" fontId="51" fillId="20" borderId="55" xfId="0" applyFont="1" applyFill="1" applyBorder="1" applyAlignment="1" applyProtection="1">
      <alignment horizontal="center" vertical="top" wrapText="1"/>
      <protection locked="0"/>
    </xf>
    <xf numFmtId="0" fontId="0" fillId="21" borderId="56" xfId="0" applyFill="1" applyBorder="1" applyAlignment="1" applyProtection="1">
      <alignment horizontal="center" vertical="top"/>
      <protection locked="0"/>
    </xf>
    <xf numFmtId="0" fontId="0" fillId="21" borderId="57" xfId="0" applyFill="1" applyBorder="1" applyAlignment="1" applyProtection="1">
      <alignment horizontal="left" vertical="top" wrapText="1"/>
      <protection locked="0"/>
    </xf>
    <xf numFmtId="1" fontId="49" fillId="21" borderId="57" xfId="0" applyNumberFormat="1" applyFont="1" applyFill="1" applyBorder="1" applyAlignment="1" applyProtection="1">
      <alignment horizontal="center" vertical="top" wrapText="1"/>
      <protection locked="0"/>
    </xf>
    <xf numFmtId="1" fontId="50" fillId="21" borderId="57" xfId="0" applyNumberFormat="1" applyFont="1" applyFill="1" applyBorder="1" applyAlignment="1" applyProtection="1">
      <alignment horizontal="center" vertical="top" wrapText="1"/>
      <protection locked="0"/>
    </xf>
    <xf numFmtId="0" fontId="51" fillId="21" borderId="58" xfId="0" applyFont="1" applyFill="1" applyBorder="1" applyAlignment="1" applyProtection="1">
      <alignment horizontal="center" vertical="top" wrapText="1"/>
      <protection locked="0"/>
    </xf>
    <xf numFmtId="0" fontId="0" fillId="20" borderId="56" xfId="0" applyFill="1" applyBorder="1" applyAlignment="1" applyProtection="1">
      <alignment horizontal="center" vertical="top"/>
      <protection locked="0"/>
    </xf>
    <xf numFmtId="0" fontId="0" fillId="20" borderId="57" xfId="0" applyFill="1" applyBorder="1" applyAlignment="1" applyProtection="1">
      <alignment horizontal="left" vertical="top" wrapText="1"/>
      <protection locked="0"/>
    </xf>
    <xf numFmtId="1" fontId="49" fillId="20" borderId="57" xfId="0" applyNumberFormat="1" applyFont="1" applyFill="1" applyBorder="1" applyAlignment="1" applyProtection="1">
      <alignment horizontal="center" vertical="top" wrapText="1"/>
      <protection locked="0"/>
    </xf>
    <xf numFmtId="1" fontId="50" fillId="20" borderId="57" xfId="0" applyNumberFormat="1" applyFont="1" applyFill="1" applyBorder="1" applyAlignment="1" applyProtection="1">
      <alignment horizontal="center" vertical="top" wrapText="1"/>
      <protection locked="0"/>
    </xf>
    <xf numFmtId="0" fontId="51" fillId="20" borderId="58" xfId="0" applyFont="1" applyFill="1" applyBorder="1" applyAlignment="1" applyProtection="1">
      <alignment horizontal="center" vertical="top" wrapText="1"/>
      <protection locked="0"/>
    </xf>
    <xf numFmtId="0" fontId="0" fillId="21" borderId="59" xfId="0" applyFill="1" applyBorder="1" applyAlignment="1" applyProtection="1">
      <alignment horizontal="center" vertical="top"/>
      <protection locked="0"/>
    </xf>
    <xf numFmtId="0" fontId="0" fillId="21" borderId="60" xfId="0" applyFill="1" applyBorder="1" applyAlignment="1" applyProtection="1">
      <alignment horizontal="left" vertical="top" wrapText="1"/>
      <protection locked="0"/>
    </xf>
    <xf numFmtId="1" fontId="49" fillId="21" borderId="60" xfId="0" applyNumberFormat="1" applyFont="1" applyFill="1" applyBorder="1" applyAlignment="1" applyProtection="1">
      <alignment horizontal="center" vertical="top" wrapText="1"/>
      <protection locked="0"/>
    </xf>
    <xf numFmtId="1" fontId="50" fillId="21" borderId="60" xfId="0" applyNumberFormat="1" applyFont="1" applyFill="1" applyBorder="1" applyAlignment="1" applyProtection="1">
      <alignment horizontal="center" vertical="top" wrapText="1"/>
      <protection locked="0"/>
    </xf>
    <xf numFmtId="0" fontId="51" fillId="21" borderId="61" xfId="0" applyFont="1" applyFill="1" applyBorder="1" applyAlignment="1" applyProtection="1">
      <alignment horizontal="center" vertical="top" wrapText="1"/>
      <protection locked="0"/>
    </xf>
    <xf numFmtId="0" fontId="19" fillId="23" borderId="53" xfId="3" applyFill="1" applyBorder="1" applyAlignment="1" applyProtection="1">
      <alignment vertical="center"/>
      <protection hidden="1"/>
    </xf>
    <xf numFmtId="49" fontId="19" fillId="23" borderId="54" xfId="3" applyNumberFormat="1" applyFill="1" applyBorder="1" applyAlignment="1" applyProtection="1">
      <alignment horizontal="left" vertical="center"/>
      <protection hidden="1"/>
    </xf>
    <xf numFmtId="0" fontId="19" fillId="8" borderId="56" xfId="3" applyFill="1" applyBorder="1" applyAlignment="1" applyProtection="1">
      <alignment vertical="center"/>
      <protection hidden="1"/>
    </xf>
    <xf numFmtId="49" fontId="19" fillId="8" borderId="57" xfId="3" applyNumberFormat="1" applyFill="1" applyBorder="1" applyAlignment="1" applyProtection="1">
      <alignment horizontal="left" vertical="center"/>
      <protection hidden="1"/>
    </xf>
    <xf numFmtId="0" fontId="19" fillId="23" borderId="56" xfId="3" applyFill="1" applyBorder="1" applyAlignment="1" applyProtection="1">
      <alignment vertical="center"/>
      <protection hidden="1"/>
    </xf>
    <xf numFmtId="49" fontId="19" fillId="23" borderId="57" xfId="3" applyNumberFormat="1" applyFill="1" applyBorder="1" applyAlignment="1" applyProtection="1">
      <alignment horizontal="left" vertical="center"/>
      <protection hidden="1"/>
    </xf>
    <xf numFmtId="0" fontId="19" fillId="8" borderId="59" xfId="3" applyFill="1" applyBorder="1" applyAlignment="1" applyProtection="1">
      <alignment vertical="center"/>
      <protection hidden="1"/>
    </xf>
    <xf numFmtId="49" fontId="19" fillId="8" borderId="60" xfId="3" applyNumberFormat="1" applyFill="1" applyBorder="1" applyAlignment="1" applyProtection="1">
      <alignment horizontal="left" vertical="center"/>
      <protection hidden="1"/>
    </xf>
    <xf numFmtId="0" fontId="70" fillId="23" borderId="55" xfId="3" applyFont="1" applyFill="1" applyBorder="1" applyAlignment="1" applyProtection="1">
      <alignment vertical="center"/>
      <protection locked="0"/>
    </xf>
    <xf numFmtId="0" fontId="70" fillId="8" borderId="58" xfId="3" applyFont="1" applyFill="1" applyBorder="1" applyAlignment="1" applyProtection="1">
      <alignment vertical="center"/>
      <protection locked="0"/>
    </xf>
    <xf numFmtId="0" fontId="70" fillId="23" borderId="58" xfId="3" applyFont="1" applyFill="1" applyBorder="1" applyAlignment="1" applyProtection="1">
      <alignment vertical="center"/>
      <protection locked="0"/>
    </xf>
    <xf numFmtId="0" fontId="70" fillId="8" borderId="61" xfId="3" applyFont="1" applyFill="1" applyBorder="1" applyAlignment="1" applyProtection="1">
      <alignment vertical="center"/>
      <protection locked="0"/>
    </xf>
    <xf numFmtId="0" fontId="22" fillId="0" borderId="3" xfId="0" applyFont="1" applyBorder="1" applyAlignment="1" applyProtection="1">
      <alignment vertical="center"/>
      <protection hidden="1"/>
    </xf>
    <xf numFmtId="0" fontId="36" fillId="0" borderId="0" xfId="0" applyFont="1" applyAlignment="1" applyProtection="1">
      <alignment vertical="center"/>
      <protection locked="0" hidden="1"/>
    </xf>
    <xf numFmtId="0" fontId="22" fillId="0" borderId="0" xfId="0" applyFont="1" applyAlignment="1" applyProtection="1">
      <alignment vertical="center"/>
      <protection hidden="1"/>
    </xf>
    <xf numFmtId="0" fontId="71" fillId="0" borderId="0" xfId="0" applyFont="1" applyAlignment="1">
      <alignment textRotation="90"/>
    </xf>
    <xf numFmtId="0" fontId="72" fillId="0" borderId="0" xfId="0" applyFont="1" applyAlignment="1">
      <alignment textRotation="90"/>
    </xf>
    <xf numFmtId="0" fontId="73" fillId="0" borderId="0" xfId="0" applyFont="1" applyAlignment="1">
      <alignment textRotation="90"/>
    </xf>
    <xf numFmtId="0" fontId="74" fillId="0" borderId="0" xfId="0" applyFont="1" applyAlignment="1">
      <alignment horizontal="center" vertical="top"/>
    </xf>
    <xf numFmtId="0" fontId="72" fillId="0" borderId="0" xfId="0" applyFont="1"/>
    <xf numFmtId="0" fontId="51" fillId="0" borderId="0" xfId="0" applyFont="1"/>
    <xf numFmtId="0" fontId="75" fillId="0" borderId="0" xfId="0" applyFont="1" applyAlignment="1">
      <alignment horizontal="center" vertical="top"/>
    </xf>
    <xf numFmtId="0" fontId="76" fillId="9" borderId="0" xfId="0" applyFont="1" applyFill="1"/>
    <xf numFmtId="0" fontId="39" fillId="0" borderId="53" xfId="2" applyFont="1" applyFill="1" applyBorder="1" applyAlignment="1">
      <alignment horizontal="left" vertical="top" wrapText="1"/>
    </xf>
    <xf numFmtId="0" fontId="0" fillId="0" borderId="54" xfId="2" applyFont="1" applyFill="1" applyBorder="1" applyAlignment="1" applyProtection="1">
      <alignment horizontal="left" vertical="top" wrapText="1"/>
      <protection locked="0"/>
    </xf>
    <xf numFmtId="1" fontId="77" fillId="0" borderId="55" xfId="2" applyNumberFormat="1" applyFont="1" applyFill="1" applyBorder="1" applyAlignment="1" applyProtection="1">
      <alignment horizontal="center" vertical="center" wrapText="1"/>
      <protection locked="0"/>
    </xf>
    <xf numFmtId="0" fontId="27" fillId="0" borderId="0" xfId="1" applyFont="1" applyFill="1" applyBorder="1" applyAlignment="1">
      <alignment horizontal="center" vertical="center" wrapText="1"/>
    </xf>
    <xf numFmtId="0" fontId="3" fillId="0" borderId="54" xfId="2" applyFont="1" applyFill="1" applyBorder="1" applyAlignment="1" applyProtection="1">
      <alignment horizontal="left" vertical="top" wrapText="1"/>
      <protection locked="0"/>
    </xf>
    <xf numFmtId="1" fontId="78" fillId="0" borderId="55" xfId="2" applyNumberFormat="1" applyFont="1" applyFill="1" applyBorder="1" applyAlignment="1" applyProtection="1">
      <alignment horizontal="center" vertical="center" wrapText="1"/>
      <protection locked="0"/>
    </xf>
    <xf numFmtId="1" fontId="0" fillId="0" borderId="0" xfId="0" applyNumberFormat="1"/>
    <xf numFmtId="0" fontId="39" fillId="0" borderId="56" xfId="2" applyFont="1" applyFill="1" applyBorder="1" applyAlignment="1">
      <alignment horizontal="left" vertical="top" wrapText="1"/>
    </xf>
    <xf numFmtId="0" fontId="0" fillId="0" borderId="57" xfId="2" applyFont="1" applyFill="1" applyBorder="1" applyAlignment="1" applyProtection="1">
      <alignment horizontal="left" vertical="top" wrapText="1"/>
      <protection locked="0"/>
    </xf>
    <xf numFmtId="1" fontId="77" fillId="0" borderId="58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57" xfId="2" applyFont="1" applyFill="1" applyBorder="1" applyAlignment="1" applyProtection="1">
      <alignment horizontal="left" vertical="top" wrapText="1"/>
      <protection locked="0"/>
    </xf>
    <xf numFmtId="1" fontId="78" fillId="0" borderId="58" xfId="2" applyNumberFormat="1" applyFont="1" applyFill="1" applyBorder="1" applyAlignment="1" applyProtection="1">
      <alignment horizontal="center" vertical="center" wrapText="1"/>
      <protection locked="0"/>
    </xf>
    <xf numFmtId="0" fontId="39" fillId="0" borderId="59" xfId="2" applyFont="1" applyFill="1" applyBorder="1" applyAlignment="1">
      <alignment horizontal="left" vertical="top" wrapText="1"/>
    </xf>
    <xf numFmtId="0" fontId="0" fillId="0" borderId="60" xfId="2" applyFont="1" applyFill="1" applyBorder="1" applyAlignment="1" applyProtection="1">
      <alignment horizontal="left" vertical="top" wrapText="1"/>
      <protection locked="0"/>
    </xf>
    <xf numFmtId="1" fontId="77" fillId="0" borderId="61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60" xfId="2" applyFont="1" applyFill="1" applyBorder="1" applyAlignment="1" applyProtection="1">
      <alignment horizontal="left" vertical="top" wrapText="1"/>
      <protection locked="0"/>
    </xf>
    <xf numFmtId="1" fontId="78" fillId="0" borderId="61" xfId="2" applyNumberFormat="1" applyFont="1" applyFill="1" applyBorder="1" applyAlignment="1" applyProtection="1">
      <alignment horizontal="center" vertical="center" wrapText="1"/>
      <protection locked="0"/>
    </xf>
    <xf numFmtId="0" fontId="79" fillId="0" borderId="0" xfId="0" applyFont="1" applyAlignment="1">
      <alignment horizontal="center" textRotation="90"/>
    </xf>
    <xf numFmtId="0" fontId="80" fillId="0" borderId="0" xfId="0" applyFont="1" applyAlignment="1">
      <alignment horizontal="center"/>
    </xf>
    <xf numFmtId="0" fontId="72" fillId="0" borderId="0" xfId="0" applyFont="1" applyAlignment="1">
      <alignment horizontal="center" textRotation="90"/>
    </xf>
    <xf numFmtId="0" fontId="81" fillId="0" borderId="0" xfId="0" applyFont="1" applyAlignment="1">
      <alignment horizontal="center" textRotation="90"/>
    </xf>
    <xf numFmtId="0" fontId="82" fillId="0" borderId="0" xfId="0" applyFont="1" applyAlignment="1">
      <alignment horizontal="center"/>
    </xf>
    <xf numFmtId="1" fontId="83" fillId="0" borderId="55" xfId="2" applyNumberFormat="1" applyFont="1" applyFill="1" applyBorder="1" applyAlignment="1" applyProtection="1">
      <alignment horizontal="center" vertical="center" wrapText="1"/>
      <protection locked="0"/>
    </xf>
    <xf numFmtId="1" fontId="83" fillId="0" borderId="58" xfId="2" applyNumberFormat="1" applyFont="1" applyFill="1" applyBorder="1" applyAlignment="1" applyProtection="1">
      <alignment horizontal="center" vertical="center" wrapText="1"/>
      <protection locked="0"/>
    </xf>
    <xf numFmtId="1" fontId="83" fillId="0" borderId="61" xfId="2" applyNumberFormat="1" applyFont="1" applyFill="1" applyBorder="1" applyAlignment="1" applyProtection="1">
      <alignment horizontal="center" vertical="center" wrapText="1"/>
      <protection locked="0"/>
    </xf>
    <xf numFmtId="0" fontId="58" fillId="0" borderId="3" xfId="0" applyFont="1" applyBorder="1" applyAlignment="1" applyProtection="1">
      <alignment vertical="center"/>
      <protection hidden="1"/>
    </xf>
    <xf numFmtId="0" fontId="116" fillId="0" borderId="3" xfId="0" applyFont="1" applyBorder="1" applyAlignment="1" applyProtection="1">
      <alignment horizontal="right" vertical="center"/>
      <protection locked="0"/>
    </xf>
    <xf numFmtId="0" fontId="37" fillId="0" borderId="3" xfId="0" applyFont="1" applyBorder="1" applyAlignment="1" applyProtection="1">
      <alignment horizontal="center" vertical="center"/>
      <protection hidden="1"/>
    </xf>
    <xf numFmtId="0" fontId="97" fillId="0" borderId="0" xfId="0" applyFont="1" applyProtection="1">
      <protection hidden="1"/>
    </xf>
    <xf numFmtId="0" fontId="97" fillId="0" borderId="0" xfId="0" applyFont="1" applyAlignment="1" applyProtection="1">
      <alignment horizontal="left" vertical="top"/>
      <protection locked="0" hidden="1"/>
    </xf>
    <xf numFmtId="0" fontId="58" fillId="0" borderId="0" xfId="0" applyFont="1" applyAlignment="1" applyProtection="1">
      <alignment vertical="center"/>
      <protection hidden="1"/>
    </xf>
    <xf numFmtId="0" fontId="37" fillId="0" borderId="0" xfId="0" applyFont="1" applyAlignment="1" applyProtection="1">
      <alignment horizontal="center" vertical="center"/>
      <protection hidden="1"/>
    </xf>
    <xf numFmtId="0" fontId="26" fillId="0" borderId="0" xfId="0" applyFont="1" applyAlignment="1" applyProtection="1">
      <alignment horizontal="left" vertical="top"/>
      <protection hidden="1"/>
    </xf>
    <xf numFmtId="0" fontId="40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117" fillId="0" borderId="0" xfId="0" applyFont="1"/>
    <xf numFmtId="0" fontId="45" fillId="0" borderId="0" xfId="0" applyFont="1"/>
    <xf numFmtId="0" fontId="0" fillId="0" borderId="0" xfId="0" applyAlignment="1">
      <alignment horizontal="center"/>
    </xf>
    <xf numFmtId="0" fontId="97" fillId="0" borderId="0" xfId="0" applyFont="1" applyAlignment="1">
      <alignment horizontal="left" vertical="top"/>
    </xf>
    <xf numFmtId="0" fontId="39" fillId="9" borderId="0" xfId="0" applyFont="1" applyFill="1" applyAlignment="1">
      <alignment horizontal="left" vertical="top"/>
    </xf>
    <xf numFmtId="0" fontId="45" fillId="9" borderId="0" xfId="0" applyFont="1" applyFill="1" applyAlignment="1">
      <alignment horizontal="left" vertical="top"/>
    </xf>
    <xf numFmtId="0" fontId="51" fillId="9" borderId="0" xfId="0" applyFont="1" applyFill="1" applyAlignment="1">
      <alignment horizontal="left" vertical="top"/>
    </xf>
    <xf numFmtId="0" fontId="39" fillId="9" borderId="0" xfId="0" applyFont="1" applyFill="1" applyAlignment="1">
      <alignment horizontal="left"/>
    </xf>
    <xf numFmtId="0" fontId="39" fillId="0" borderId="0" xfId="0" applyFont="1" applyAlignment="1">
      <alignment horizontal="left"/>
    </xf>
    <xf numFmtId="0" fontId="45" fillId="9" borderId="0" xfId="0" applyFont="1" applyFill="1" applyAlignment="1">
      <alignment horizontal="left"/>
    </xf>
    <xf numFmtId="0" fontId="39" fillId="0" borderId="0" xfId="0" applyFont="1" applyAlignment="1">
      <alignment horizontal="center"/>
    </xf>
    <xf numFmtId="0" fontId="51" fillId="0" borderId="0" xfId="0" applyFont="1" applyAlignment="1">
      <alignment horizontal="center"/>
    </xf>
    <xf numFmtId="0" fontId="97" fillId="0" borderId="0" xfId="0" applyFont="1"/>
    <xf numFmtId="0" fontId="101" fillId="0" borderId="0" xfId="0" applyFont="1" applyAlignment="1">
      <alignment horizontal="left" vertical="top"/>
    </xf>
    <xf numFmtId="0" fontId="51" fillId="9" borderId="0" xfId="0" applyFont="1" applyFill="1" applyAlignment="1">
      <alignment horizontal="center" vertical="center"/>
    </xf>
    <xf numFmtId="0" fontId="63" fillId="47" borderId="0" xfId="0" applyFont="1" applyFill="1" applyAlignment="1">
      <alignment horizontal="left" vertical="center"/>
    </xf>
    <xf numFmtId="0" fontId="39" fillId="8" borderId="0" xfId="0" applyFont="1" applyFill="1" applyAlignment="1">
      <alignment horizontal="center" vertical="center"/>
    </xf>
    <xf numFmtId="0" fontId="101" fillId="47" borderId="0" xfId="0" applyFont="1" applyFill="1" applyAlignment="1">
      <alignment horizontal="left" vertical="center"/>
    </xf>
    <xf numFmtId="0" fontId="101" fillId="47" borderId="63" xfId="0" applyFont="1" applyFill="1" applyBorder="1" applyAlignment="1">
      <alignment horizontal="left" vertical="center"/>
    </xf>
    <xf numFmtId="0" fontId="101" fillId="47" borderId="63" xfId="0" applyFont="1" applyFill="1" applyBorder="1" applyAlignment="1">
      <alignment horizontal="center" vertical="center"/>
    </xf>
    <xf numFmtId="0" fontId="101" fillId="47" borderId="64" xfId="0" applyFont="1" applyFill="1" applyBorder="1" applyAlignment="1">
      <alignment horizontal="center" vertical="center"/>
    </xf>
    <xf numFmtId="0" fontId="97" fillId="47" borderId="64" xfId="0" applyFont="1" applyFill="1" applyBorder="1" applyAlignment="1">
      <alignment horizontal="center" vertical="center"/>
    </xf>
    <xf numFmtId="0" fontId="97" fillId="47" borderId="63" xfId="0" applyFont="1" applyFill="1" applyBorder="1" applyAlignment="1">
      <alignment horizontal="center" vertical="center"/>
    </xf>
    <xf numFmtId="0" fontId="97" fillId="47" borderId="62" xfId="0" applyFont="1" applyFill="1" applyBorder="1" applyAlignment="1">
      <alignment vertical="center"/>
    </xf>
    <xf numFmtId="0" fontId="63" fillId="10" borderId="0" xfId="0" applyFont="1" applyFill="1" applyAlignment="1">
      <alignment horizontal="left" vertical="center"/>
    </xf>
    <xf numFmtId="0" fontId="101" fillId="10" borderId="0" xfId="0" applyFont="1" applyFill="1" applyAlignment="1">
      <alignment horizontal="left" vertical="center"/>
    </xf>
    <xf numFmtId="0" fontId="101" fillId="10" borderId="63" xfId="0" applyFont="1" applyFill="1" applyBorder="1" applyAlignment="1">
      <alignment horizontal="left" vertical="center"/>
    </xf>
    <xf numFmtId="0" fontId="101" fillId="10" borderId="63" xfId="0" applyFont="1" applyFill="1" applyBorder="1" applyAlignment="1">
      <alignment horizontal="center" vertical="center"/>
    </xf>
    <xf numFmtId="0" fontId="97" fillId="10" borderId="64" xfId="0" applyFont="1" applyFill="1" applyBorder="1" applyAlignment="1">
      <alignment horizontal="center" vertical="center"/>
    </xf>
    <xf numFmtId="0" fontId="97" fillId="10" borderId="63" xfId="0" applyFont="1" applyFill="1" applyBorder="1" applyAlignment="1">
      <alignment horizontal="center" vertical="center"/>
    </xf>
    <xf numFmtId="0" fontId="97" fillId="10" borderId="0" xfId="0" applyFont="1" applyFill="1" applyAlignment="1">
      <alignment horizontal="center" vertical="center"/>
    </xf>
    <xf numFmtId="0" fontId="101" fillId="0" borderId="0" xfId="0" applyFont="1" applyAlignment="1">
      <alignment horizontal="left" vertical="center"/>
    </xf>
    <xf numFmtId="0" fontId="97" fillId="9" borderId="0" xfId="0" applyFont="1" applyFill="1" applyAlignment="1">
      <alignment horizontal="left" vertical="top"/>
    </xf>
    <xf numFmtId="0" fontId="39" fillId="9" borderId="0" xfId="0" applyFont="1" applyFill="1" applyAlignment="1">
      <alignment horizontal="center" vertical="top"/>
    </xf>
    <xf numFmtId="0" fontId="45" fillId="9" borderId="0" xfId="0" applyFont="1" applyFill="1" applyAlignment="1">
      <alignment horizontal="center" vertical="top"/>
    </xf>
    <xf numFmtId="0" fontId="97" fillId="0" borderId="0" xfId="0" applyFont="1" applyAlignment="1" applyProtection="1">
      <alignment vertical="top"/>
      <protection hidden="1"/>
    </xf>
    <xf numFmtId="0" fontId="39" fillId="9" borderId="0" xfId="0" applyFont="1" applyFill="1" applyAlignment="1">
      <alignment vertical="top"/>
    </xf>
    <xf numFmtId="0" fontId="39" fillId="9" borderId="0" xfId="0" applyFont="1" applyFill="1" applyAlignment="1" applyProtection="1">
      <alignment horizontal="center" vertical="top"/>
      <protection hidden="1"/>
    </xf>
    <xf numFmtId="0" fontId="0" fillId="19" borderId="60" xfId="0" applyFill="1" applyBorder="1" applyAlignment="1" applyProtection="1">
      <alignment horizontal="center" vertical="top" wrapText="1"/>
      <protection locked="0" hidden="1"/>
    </xf>
    <xf numFmtId="49" fontId="45" fillId="8" borderId="58" xfId="0" applyNumberFormat="1" applyFont="1" applyFill="1" applyBorder="1" applyAlignment="1">
      <alignment horizontal="center" vertical="top"/>
    </xf>
    <xf numFmtId="0" fontId="39" fillId="11" borderId="57" xfId="0" applyFont="1" applyFill="1" applyBorder="1" applyAlignment="1" applyProtection="1">
      <alignment horizontal="left" vertical="top" wrapText="1"/>
      <protection locked="0"/>
    </xf>
    <xf numFmtId="9" fontId="39" fillId="11" borderId="57" xfId="21" applyFont="1" applyFill="1" applyBorder="1" applyAlignment="1" applyProtection="1">
      <alignment horizontal="center" vertical="top" wrapText="1"/>
      <protection locked="0"/>
    </xf>
    <xf numFmtId="9" fontId="39" fillId="11" borderId="57" xfId="0" applyNumberFormat="1" applyFont="1" applyFill="1" applyBorder="1" applyAlignment="1">
      <alignment horizontal="center" vertical="top" wrapText="1"/>
    </xf>
    <xf numFmtId="9" fontId="39" fillId="14" borderId="57" xfId="0" applyNumberFormat="1" applyFont="1" applyFill="1" applyBorder="1" applyAlignment="1" applyProtection="1">
      <alignment horizontal="center" vertical="center" wrapText="1"/>
      <protection locked="0"/>
    </xf>
    <xf numFmtId="9" fontId="39" fillId="24" borderId="57" xfId="0" applyNumberFormat="1" applyFont="1" applyFill="1" applyBorder="1" applyAlignment="1" applyProtection="1">
      <alignment horizontal="center" vertical="center" wrapText="1"/>
      <protection locked="0"/>
    </xf>
    <xf numFmtId="0" fontId="51" fillId="11" borderId="57" xfId="0" applyFont="1" applyFill="1" applyBorder="1" applyAlignment="1" applyProtection="1">
      <alignment horizontal="center" vertical="top" wrapText="1"/>
      <protection hidden="1"/>
    </xf>
    <xf numFmtId="0" fontId="97" fillId="9" borderId="0" xfId="0" applyFont="1" applyFill="1" applyAlignment="1" applyProtection="1">
      <alignment horizontal="center" vertical="top"/>
      <protection hidden="1"/>
    </xf>
    <xf numFmtId="0" fontId="94" fillId="19" borderId="54" xfId="0" applyFont="1" applyFill="1" applyBorder="1" applyAlignment="1" applyProtection="1">
      <alignment horizontal="left" vertical="top" wrapText="1"/>
      <protection hidden="1"/>
    </xf>
    <xf numFmtId="0" fontId="39" fillId="11" borderId="57" xfId="0" applyFont="1" applyFill="1" applyBorder="1" applyAlignment="1" applyProtection="1">
      <alignment horizontal="center" vertical="top" wrapText="1"/>
      <protection locked="0"/>
    </xf>
    <xf numFmtId="0" fontId="94" fillId="19" borderId="63" xfId="0" applyFont="1" applyFill="1" applyBorder="1" applyAlignment="1" applyProtection="1">
      <alignment horizontal="left" vertical="top" wrapText="1"/>
      <protection hidden="1"/>
    </xf>
    <xf numFmtId="0" fontId="0" fillId="18" borderId="60" xfId="0" applyFill="1" applyBorder="1" applyAlignment="1" applyProtection="1">
      <alignment horizontal="center" vertical="top" wrapText="1"/>
      <protection locked="0" hidden="1"/>
    </xf>
    <xf numFmtId="0" fontId="39" fillId="12" borderId="57" xfId="0" applyFont="1" applyFill="1" applyBorder="1" applyAlignment="1" applyProtection="1">
      <alignment horizontal="left" vertical="top" wrapText="1"/>
      <protection locked="0"/>
    </xf>
    <xf numFmtId="0" fontId="39" fillId="12" borderId="57" xfId="0" applyFont="1" applyFill="1" applyBorder="1" applyAlignment="1" applyProtection="1">
      <alignment horizontal="center" vertical="top" wrapText="1"/>
      <protection locked="0"/>
    </xf>
    <xf numFmtId="9" fontId="39" fillId="12" borderId="57" xfId="0" applyNumberFormat="1" applyFont="1" applyFill="1" applyBorder="1" applyAlignment="1">
      <alignment horizontal="center" vertical="top" wrapText="1"/>
    </xf>
    <xf numFmtId="9" fontId="39" fillId="13" borderId="57" xfId="0" applyNumberFormat="1" applyFont="1" applyFill="1" applyBorder="1" applyAlignment="1" applyProtection="1">
      <alignment horizontal="center" vertical="center" wrapText="1"/>
      <protection locked="0"/>
    </xf>
    <xf numFmtId="9" fontId="39" fillId="4" borderId="57" xfId="0" applyNumberFormat="1" applyFont="1" applyFill="1" applyBorder="1" applyAlignment="1" applyProtection="1">
      <alignment horizontal="center" vertical="center" wrapText="1"/>
      <protection locked="0"/>
    </xf>
    <xf numFmtId="0" fontId="51" fillId="12" borderId="57" xfId="0" applyFont="1" applyFill="1" applyBorder="1" applyAlignment="1" applyProtection="1">
      <alignment horizontal="center" vertical="top" wrapText="1"/>
      <protection hidden="1"/>
    </xf>
    <xf numFmtId="0" fontId="94" fillId="18" borderId="54" xfId="0" applyFont="1" applyFill="1" applyBorder="1" applyAlignment="1" applyProtection="1">
      <alignment horizontal="left" vertical="top" wrapText="1"/>
      <protection hidden="1"/>
    </xf>
    <xf numFmtId="0" fontId="94" fillId="18" borderId="63" xfId="0" applyFont="1" applyFill="1" applyBorder="1" applyAlignment="1" applyProtection="1">
      <alignment horizontal="left" vertical="top" wrapText="1"/>
      <protection hidden="1"/>
    </xf>
    <xf numFmtId="0" fontId="39" fillId="11" borderId="57" xfId="0" applyFont="1" applyFill="1" applyBorder="1" applyAlignment="1" applyProtection="1">
      <alignment horizontal="center" vertical="center" wrapText="1"/>
      <protection locked="0"/>
    </xf>
    <xf numFmtId="9" fontId="39" fillId="11" borderId="57" xfId="0" applyNumberFormat="1" applyFont="1" applyFill="1" applyBorder="1" applyAlignment="1">
      <alignment horizontal="center" vertical="center" wrapText="1"/>
    </xf>
    <xf numFmtId="0" fontId="51" fillId="11" borderId="57" xfId="0" applyFont="1" applyFill="1" applyBorder="1" applyAlignment="1" applyProtection="1">
      <alignment horizontal="center" vertical="center" wrapText="1"/>
      <protection hidden="1"/>
    </xf>
    <xf numFmtId="0" fontId="39" fillId="12" borderId="57" xfId="0" applyFont="1" applyFill="1" applyBorder="1" applyAlignment="1" applyProtection="1">
      <alignment horizontal="center" vertical="center" wrapText="1"/>
      <protection locked="0"/>
    </xf>
    <xf numFmtId="9" fontId="39" fillId="12" borderId="57" xfId="0" applyNumberFormat="1" applyFont="1" applyFill="1" applyBorder="1" applyAlignment="1">
      <alignment horizontal="center" vertical="center" wrapText="1"/>
    </xf>
    <xf numFmtId="9" fontId="39" fillId="12" borderId="57" xfId="0" applyNumberFormat="1" applyFont="1" applyFill="1" applyBorder="1" applyAlignment="1" applyProtection="1">
      <alignment horizontal="center" vertical="center" wrapText="1"/>
      <protection locked="0"/>
    </xf>
    <xf numFmtId="0" fontId="51" fillId="12" borderId="57" xfId="0" applyFont="1" applyFill="1" applyBorder="1" applyAlignment="1" applyProtection="1">
      <alignment horizontal="center" vertical="center" wrapText="1"/>
      <protection hidden="1"/>
    </xf>
    <xf numFmtId="0" fontId="39" fillId="9" borderId="0" xfId="0" applyFont="1" applyFill="1"/>
    <xf numFmtId="0" fontId="39" fillId="9" borderId="0" xfId="0" applyFont="1" applyFill="1" applyAlignment="1">
      <alignment horizontal="center" vertical="center"/>
    </xf>
    <xf numFmtId="0" fontId="39" fillId="9" borderId="0" xfId="0" applyFont="1" applyFill="1" applyAlignment="1">
      <alignment horizontal="center"/>
    </xf>
    <xf numFmtId="0" fontId="45" fillId="9" borderId="0" xfId="0" applyFont="1" applyFill="1" applyAlignment="1">
      <alignment horizontal="center"/>
    </xf>
    <xf numFmtId="0" fontId="39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39" fillId="0" borderId="0" xfId="0" applyFont="1" applyAlignment="1">
      <alignment horizontal="left" vertical="center"/>
    </xf>
    <xf numFmtId="0" fontId="45" fillId="9" borderId="0" xfId="0" applyFont="1" applyFill="1" applyAlignment="1">
      <alignment horizontal="center" vertical="center"/>
    </xf>
    <xf numFmtId="0" fontId="85" fillId="0" borderId="3" xfId="0" applyFont="1" applyBorder="1"/>
    <xf numFmtId="0" fontId="85" fillId="0" borderId="0" xfId="0" applyFont="1"/>
    <xf numFmtId="0" fontId="37" fillId="0" borderId="0" xfId="0" applyFont="1" applyAlignment="1" applyProtection="1">
      <alignment vertical="center"/>
      <protection locked="0" hidden="1"/>
    </xf>
    <xf numFmtId="0" fontId="45" fillId="0" borderId="0" xfId="0" applyFont="1" applyAlignment="1">
      <alignment horizontal="center"/>
    </xf>
    <xf numFmtId="0" fontId="63" fillId="43" borderId="57" xfId="0" applyFont="1" applyFill="1" applyBorder="1" applyAlignment="1">
      <alignment horizontal="left" vertical="center"/>
    </xf>
    <xf numFmtId="0" fontId="134" fillId="43" borderId="57" xfId="0" applyFont="1" applyFill="1" applyBorder="1" applyAlignment="1">
      <alignment horizontal="center" textRotation="90"/>
    </xf>
    <xf numFmtId="0" fontId="101" fillId="43" borderId="57" xfId="0" applyFont="1" applyFill="1" applyBorder="1" applyAlignment="1">
      <alignment horizontal="left" vertical="center"/>
    </xf>
    <xf numFmtId="0" fontId="101" fillId="43" borderId="56" xfId="0" applyFont="1" applyFill="1" applyBorder="1" applyAlignment="1">
      <alignment horizontal="center" vertical="center"/>
    </xf>
    <xf numFmtId="0" fontId="118" fillId="9" borderId="0" xfId="16" applyFont="1" applyFill="1" applyBorder="1" applyAlignment="1" applyProtection="1">
      <alignment horizontal="center" vertical="top" wrapText="1"/>
    </xf>
    <xf numFmtId="0" fontId="39" fillId="6" borderId="57" xfId="0" applyFont="1" applyFill="1" applyBorder="1" applyAlignment="1" applyProtection="1">
      <alignment horizontal="left" vertical="top" wrapText="1"/>
      <protection locked="0"/>
    </xf>
    <xf numFmtId="0" fontId="85" fillId="6" borderId="57" xfId="0" applyFont="1" applyFill="1" applyBorder="1" applyAlignment="1" applyProtection="1">
      <alignment horizontal="center" vertical="top" wrapText="1"/>
      <protection locked="0"/>
    </xf>
    <xf numFmtId="14" fontId="119" fillId="6" borderId="57" xfId="5" applyNumberFormat="1" applyFont="1" applyFill="1" applyBorder="1" applyAlignment="1" applyProtection="1">
      <alignment horizontal="left" vertical="top" wrapText="1"/>
      <protection locked="0"/>
    </xf>
    <xf numFmtId="0" fontId="51" fillId="6" borderId="57" xfId="0" quotePrefix="1" applyFont="1" applyFill="1" applyBorder="1" applyAlignment="1" applyProtection="1">
      <alignment horizontal="center" vertical="top" wrapText="1"/>
      <protection locked="0"/>
    </xf>
    <xf numFmtId="0" fontId="97" fillId="9" borderId="0" xfId="0" applyFont="1" applyFill="1" applyAlignment="1">
      <alignment horizontal="center" vertical="top"/>
    </xf>
    <xf numFmtId="0" fontId="39" fillId="17" borderId="57" xfId="0" applyFont="1" applyFill="1" applyBorder="1" applyAlignment="1" applyProtection="1">
      <alignment horizontal="left" vertical="top" wrapText="1"/>
      <protection locked="0"/>
    </xf>
    <xf numFmtId="0" fontId="85" fillId="17" borderId="57" xfId="0" applyFont="1" applyFill="1" applyBorder="1" applyAlignment="1" applyProtection="1">
      <alignment horizontal="center" vertical="top" wrapText="1"/>
      <protection locked="0"/>
    </xf>
    <xf numFmtId="14" fontId="119" fillId="17" borderId="57" xfId="5" applyNumberFormat="1" applyFont="1" applyFill="1" applyBorder="1" applyAlignment="1" applyProtection="1">
      <alignment horizontal="left" vertical="top" wrapText="1"/>
      <protection locked="0"/>
    </xf>
    <xf numFmtId="0" fontId="51" fillId="17" borderId="57" xfId="0" quotePrefix="1" applyFont="1" applyFill="1" applyBorder="1" applyAlignment="1" applyProtection="1">
      <alignment horizontal="center" vertical="top" wrapText="1"/>
      <protection locked="0"/>
    </xf>
    <xf numFmtId="14" fontId="119" fillId="6" borderId="57" xfId="5" applyNumberFormat="1" applyFont="1" applyFill="1" applyBorder="1" applyAlignment="1" applyProtection="1">
      <alignment horizontal="left" vertical="center" wrapText="1"/>
      <protection locked="0"/>
    </xf>
    <xf numFmtId="0" fontId="51" fillId="6" borderId="57" xfId="0" quotePrefix="1" applyFont="1" applyFill="1" applyBorder="1" applyAlignment="1" applyProtection="1">
      <alignment horizontal="center" vertical="center" wrapText="1"/>
      <protection locked="0"/>
    </xf>
    <xf numFmtId="14" fontId="119" fillId="17" borderId="57" xfId="5" applyNumberFormat="1" applyFont="1" applyFill="1" applyBorder="1" applyAlignment="1" applyProtection="1">
      <alignment horizontal="left" vertical="center" wrapText="1"/>
      <protection locked="0"/>
    </xf>
    <xf numFmtId="0" fontId="51" fillId="17" borderId="57" xfId="0" quotePrefix="1" applyFont="1" applyFill="1" applyBorder="1" applyAlignment="1" applyProtection="1">
      <alignment horizontal="center" vertical="center" wrapText="1"/>
      <protection locked="0"/>
    </xf>
    <xf numFmtId="0" fontId="39" fillId="9" borderId="56" xfId="3" applyFont="1" applyFill="1" applyBorder="1" applyAlignment="1">
      <alignment horizontal="center" vertical="top"/>
    </xf>
    <xf numFmtId="49" fontId="8" fillId="9" borderId="57" xfId="3" applyNumberFormat="1" applyFont="1" applyFill="1" applyBorder="1" applyAlignment="1" applyProtection="1">
      <alignment horizontal="left" vertical="top" wrapText="1"/>
      <protection locked="0"/>
    </xf>
    <xf numFmtId="0" fontId="49" fillId="9" borderId="57" xfId="3" applyFont="1" applyFill="1" applyBorder="1" applyAlignment="1" applyProtection="1">
      <alignment horizontal="center" vertical="center"/>
      <protection locked="0"/>
    </xf>
    <xf numFmtId="1" fontId="49" fillId="9" borderId="57" xfId="3" applyNumberFormat="1" applyFont="1" applyFill="1" applyBorder="1" applyAlignment="1" applyProtection="1">
      <alignment horizontal="center" vertical="center" wrapText="1"/>
      <protection locked="0"/>
    </xf>
    <xf numFmtId="1" fontId="41" fillId="9" borderId="57" xfId="3" applyNumberFormat="1" applyFont="1" applyFill="1" applyBorder="1" applyAlignment="1">
      <alignment horizontal="center" vertical="center" wrapText="1"/>
    </xf>
    <xf numFmtId="49" fontId="39" fillId="9" borderId="57" xfId="3" applyNumberFormat="1" applyFont="1" applyFill="1" applyBorder="1" applyAlignment="1" applyProtection="1">
      <alignment horizontal="left" vertical="top" wrapText="1"/>
      <protection locked="0"/>
    </xf>
    <xf numFmtId="0" fontId="51" fillId="9" borderId="58" xfId="3" applyFont="1" applyFill="1" applyBorder="1" applyAlignment="1" applyProtection="1">
      <alignment horizontal="center" vertical="center" wrapText="1"/>
      <protection locked="0"/>
    </xf>
    <xf numFmtId="49" fontId="8" fillId="8" borderId="57" xfId="3" applyNumberFormat="1" applyFont="1" applyFill="1" applyBorder="1" applyAlignment="1" applyProtection="1">
      <alignment horizontal="left" vertical="top" wrapText="1"/>
      <protection locked="0"/>
    </xf>
    <xf numFmtId="0" fontId="49" fillId="23" borderId="57" xfId="3" applyFont="1" applyFill="1" applyBorder="1" applyAlignment="1" applyProtection="1">
      <alignment horizontal="center" vertical="center"/>
      <protection locked="0"/>
    </xf>
    <xf numFmtId="1" fontId="49" fillId="23" borderId="57" xfId="3" applyNumberFormat="1" applyFont="1" applyFill="1" applyBorder="1" applyAlignment="1" applyProtection="1">
      <alignment horizontal="center" vertical="center" wrapText="1"/>
      <protection locked="0"/>
    </xf>
    <xf numFmtId="1" fontId="49" fillId="8" borderId="57" xfId="3" applyNumberFormat="1" applyFont="1" applyFill="1" applyBorder="1" applyAlignment="1" applyProtection="1">
      <alignment horizontal="center" vertical="center" wrapText="1"/>
      <protection locked="0"/>
    </xf>
    <xf numFmtId="49" fontId="39" fillId="8" borderId="57" xfId="3" applyNumberFormat="1" applyFont="1" applyFill="1" applyBorder="1" applyAlignment="1" applyProtection="1">
      <alignment horizontal="left" vertical="top" wrapText="1"/>
      <protection locked="0"/>
    </xf>
    <xf numFmtId="49" fontId="8" fillId="23" borderId="57" xfId="3" applyNumberFormat="1" applyFont="1" applyFill="1" applyBorder="1" applyAlignment="1" applyProtection="1">
      <alignment horizontal="left" vertical="top" wrapText="1"/>
      <protection locked="0"/>
    </xf>
    <xf numFmtId="49" fontId="39" fillId="23" borderId="57" xfId="3" applyNumberFormat="1" applyFont="1" applyFill="1" applyBorder="1" applyAlignment="1" applyProtection="1">
      <alignment horizontal="left" vertical="top" wrapText="1"/>
      <protection locked="0"/>
    </xf>
    <xf numFmtId="0" fontId="39" fillId="9" borderId="59" xfId="3" applyFont="1" applyFill="1" applyBorder="1" applyAlignment="1">
      <alignment horizontal="center" vertical="top"/>
    </xf>
    <xf numFmtId="49" fontId="8" fillId="8" borderId="60" xfId="3" applyNumberFormat="1" applyFont="1" applyFill="1" applyBorder="1" applyAlignment="1" applyProtection="1">
      <alignment horizontal="left" vertical="top" wrapText="1"/>
      <protection locked="0"/>
    </xf>
    <xf numFmtId="0" fontId="49" fillId="23" borderId="60" xfId="3" applyFont="1" applyFill="1" applyBorder="1" applyAlignment="1" applyProtection="1">
      <alignment horizontal="center" vertical="center"/>
      <protection locked="0"/>
    </xf>
    <xf numFmtId="1" fontId="49" fillId="23" borderId="60" xfId="3" applyNumberFormat="1" applyFont="1" applyFill="1" applyBorder="1" applyAlignment="1" applyProtection="1">
      <alignment horizontal="center" vertical="center" wrapText="1"/>
      <protection locked="0"/>
    </xf>
    <xf numFmtId="1" fontId="49" fillId="8" borderId="60" xfId="3" applyNumberFormat="1" applyFont="1" applyFill="1" applyBorder="1" applyAlignment="1" applyProtection="1">
      <alignment horizontal="center" vertical="center" wrapText="1"/>
      <protection locked="0"/>
    </xf>
    <xf numFmtId="1" fontId="41" fillId="9" borderId="60" xfId="3" applyNumberFormat="1" applyFont="1" applyFill="1" applyBorder="1" applyAlignment="1">
      <alignment horizontal="center" vertical="center" wrapText="1"/>
    </xf>
    <xf numFmtId="49" fontId="39" fillId="8" borderId="60" xfId="3" applyNumberFormat="1" applyFont="1" applyFill="1" applyBorder="1" applyAlignment="1" applyProtection="1">
      <alignment horizontal="left" vertical="top" wrapText="1"/>
      <protection locked="0"/>
    </xf>
    <xf numFmtId="0" fontId="51" fillId="8" borderId="61" xfId="3" applyFont="1" applyFill="1" applyBorder="1" applyAlignment="1" applyProtection="1">
      <alignment horizontal="center" vertical="center" wrapText="1"/>
      <protection locked="0"/>
    </xf>
    <xf numFmtId="0" fontId="40" fillId="0" borderId="0" xfId="0" applyFont="1" applyAlignment="1" applyProtection="1">
      <alignment vertical="center"/>
      <protection locked="0" hidden="1"/>
    </xf>
    <xf numFmtId="0" fontId="41" fillId="0" borderId="0" xfId="0" applyFont="1" applyAlignment="1">
      <alignment horizontal="left" vertical="top"/>
    </xf>
    <xf numFmtId="0" fontId="59" fillId="0" borderId="0" xfId="0" applyFont="1" applyAlignment="1">
      <alignment vertical="top" textRotation="90" shrinkToFit="1"/>
    </xf>
    <xf numFmtId="0" fontId="59" fillId="0" borderId="0" xfId="0" applyFont="1" applyAlignment="1">
      <alignment horizontal="center" vertical="top" textRotation="90" shrinkToFit="1"/>
    </xf>
    <xf numFmtId="0" fontId="39" fillId="0" borderId="0" xfId="0" applyFont="1" applyAlignment="1">
      <alignment vertical="top"/>
    </xf>
    <xf numFmtId="49" fontId="39" fillId="0" borderId="70" xfId="3" applyNumberFormat="1" applyFont="1" applyBorder="1" applyAlignment="1" applyProtection="1">
      <alignment horizontal="right" vertical="center" wrapText="1"/>
      <protection hidden="1"/>
    </xf>
    <xf numFmtId="9" fontId="65" fillId="0" borderId="71" xfId="3" applyNumberFormat="1" applyFont="1" applyBorder="1" applyAlignment="1" applyProtection="1">
      <alignment horizontal="center" vertical="center"/>
      <protection hidden="1"/>
    </xf>
    <xf numFmtId="0" fontId="23" fillId="10" borderId="54" xfId="3" applyFont="1" applyFill="1" applyBorder="1" applyAlignment="1">
      <alignment horizontal="left" vertical="top" wrapText="1"/>
    </xf>
    <xf numFmtId="9" fontId="51" fillId="9" borderId="57" xfId="3" applyNumberFormat="1" applyFont="1" applyFill="1" applyBorder="1" applyAlignment="1" applyProtection="1">
      <alignment horizontal="center" vertical="center"/>
      <protection locked="0"/>
    </xf>
    <xf numFmtId="1" fontId="49" fillId="23" borderId="57" xfId="3" applyNumberFormat="1" applyFont="1" applyFill="1" applyBorder="1" applyAlignment="1" applyProtection="1">
      <alignment horizontal="center" vertical="center" wrapText="1"/>
      <protection hidden="1"/>
    </xf>
    <xf numFmtId="49" fontId="39" fillId="8" borderId="57" xfId="3" quotePrefix="1" applyNumberFormat="1" applyFont="1" applyFill="1" applyBorder="1" applyAlignment="1" applyProtection="1">
      <alignment horizontal="left" vertical="top" wrapText="1"/>
      <protection locked="0"/>
    </xf>
    <xf numFmtId="0" fontId="39" fillId="8" borderId="56" xfId="3" applyFont="1" applyFill="1" applyBorder="1" applyAlignment="1">
      <alignment horizontal="center" vertical="top"/>
    </xf>
    <xf numFmtId="9" fontId="51" fillId="8" borderId="57" xfId="3" applyNumberFormat="1" applyFont="1" applyFill="1" applyBorder="1" applyAlignment="1" applyProtection="1">
      <alignment horizontal="center" vertical="center"/>
      <protection locked="0"/>
    </xf>
    <xf numFmtId="0" fontId="39" fillId="23" borderId="56" xfId="3" applyFont="1" applyFill="1" applyBorder="1" applyAlignment="1">
      <alignment horizontal="center" vertical="top"/>
    </xf>
    <xf numFmtId="9" fontId="51" fillId="23" borderId="57" xfId="3" applyNumberFormat="1" applyFont="1" applyFill="1" applyBorder="1" applyAlignment="1" applyProtection="1">
      <alignment horizontal="center" vertical="center"/>
      <protection locked="0"/>
    </xf>
    <xf numFmtId="0" fontId="39" fillId="8" borderId="59" xfId="3" applyFont="1" applyFill="1" applyBorder="1" applyAlignment="1">
      <alignment horizontal="center" vertical="top"/>
    </xf>
    <xf numFmtId="9" fontId="51" fillId="23" borderId="60" xfId="3" applyNumberFormat="1" applyFont="1" applyFill="1" applyBorder="1" applyAlignment="1" applyProtection="1">
      <alignment horizontal="center" vertical="center"/>
      <protection locked="0"/>
    </xf>
    <xf numFmtId="1" fontId="49" fillId="23" borderId="60" xfId="3" applyNumberFormat="1" applyFont="1" applyFill="1" applyBorder="1" applyAlignment="1" applyProtection="1">
      <alignment horizontal="center" vertical="center" wrapText="1"/>
      <protection hidden="1"/>
    </xf>
    <xf numFmtId="49" fontId="39" fillId="8" borderId="60" xfId="3" quotePrefix="1" applyNumberFormat="1" applyFont="1" applyFill="1" applyBorder="1" applyAlignment="1" applyProtection="1">
      <alignment horizontal="left" vertical="top" wrapText="1"/>
      <protection locked="0"/>
    </xf>
    <xf numFmtId="0" fontId="68" fillId="10" borderId="54" xfId="3" applyFont="1" applyFill="1" applyBorder="1" applyAlignment="1">
      <alignment vertical="top" wrapText="1"/>
    </xf>
    <xf numFmtId="0" fontId="8" fillId="20" borderId="56" xfId="3" applyFont="1" applyFill="1" applyBorder="1" applyAlignment="1" applyProtection="1">
      <alignment horizontal="center" vertical="top"/>
      <protection hidden="1"/>
    </xf>
    <xf numFmtId="0" fontId="9" fillId="20" borderId="57" xfId="3" applyFont="1" applyFill="1" applyBorder="1" applyAlignment="1" applyProtection="1">
      <alignment horizontal="left" vertical="top" wrapText="1"/>
      <protection locked="0"/>
    </xf>
    <xf numFmtId="0" fontId="19" fillId="21" borderId="57" xfId="3" applyFill="1" applyBorder="1" applyAlignment="1" applyProtection="1">
      <alignment horizontal="left" vertical="top" wrapText="1"/>
      <protection locked="0"/>
    </xf>
    <xf numFmtId="1" fontId="49" fillId="21" borderId="57" xfId="3" applyNumberFormat="1" applyFont="1" applyFill="1" applyBorder="1" applyAlignment="1" applyProtection="1">
      <alignment horizontal="center" vertical="center" wrapText="1"/>
      <protection locked="0"/>
    </xf>
    <xf numFmtId="1" fontId="50" fillId="21" borderId="57" xfId="3" applyNumberFormat="1" applyFont="1" applyFill="1" applyBorder="1" applyAlignment="1" applyProtection="1">
      <alignment horizontal="center" vertical="center" wrapText="1"/>
      <protection locked="0"/>
    </xf>
    <xf numFmtId="0" fontId="51" fillId="21" borderId="58" xfId="3" applyFont="1" applyFill="1" applyBorder="1" applyAlignment="1" applyProtection="1">
      <alignment horizontal="center" vertical="center" wrapText="1"/>
      <protection locked="0"/>
    </xf>
    <xf numFmtId="0" fontId="8" fillId="21" borderId="56" xfId="3" applyFont="1" applyFill="1" applyBorder="1" applyAlignment="1" applyProtection="1">
      <alignment horizontal="center" vertical="top"/>
      <protection hidden="1"/>
    </xf>
    <xf numFmtId="0" fontId="9" fillId="21" borderId="57" xfId="3" applyFont="1" applyFill="1" applyBorder="1" applyAlignment="1" applyProtection="1">
      <alignment horizontal="left" vertical="top" wrapText="1"/>
      <protection locked="0"/>
    </xf>
    <xf numFmtId="0" fontId="19" fillId="22" borderId="57" xfId="3" applyFill="1" applyBorder="1" applyAlignment="1" applyProtection="1">
      <alignment horizontal="left" vertical="top" wrapText="1"/>
      <protection locked="0"/>
    </xf>
    <xf numFmtId="1" fontId="49" fillId="22" borderId="57" xfId="3" applyNumberFormat="1" applyFont="1" applyFill="1" applyBorder="1" applyAlignment="1" applyProtection="1">
      <alignment horizontal="center" vertical="center" wrapText="1"/>
      <protection locked="0"/>
    </xf>
    <xf numFmtId="1" fontId="50" fillId="22" borderId="57" xfId="3" applyNumberFormat="1" applyFont="1" applyFill="1" applyBorder="1" applyAlignment="1" applyProtection="1">
      <alignment horizontal="center" vertical="center" wrapText="1"/>
      <protection locked="0"/>
    </xf>
    <xf numFmtId="0" fontId="51" fillId="22" borderId="58" xfId="3" applyFont="1" applyFill="1" applyBorder="1" applyAlignment="1" applyProtection="1">
      <alignment horizontal="center" vertical="center" wrapText="1"/>
      <protection locked="0"/>
    </xf>
    <xf numFmtId="0" fontId="8" fillId="23" borderId="56" xfId="3" applyFont="1" applyFill="1" applyBorder="1" applyAlignment="1" applyProtection="1">
      <alignment horizontal="center" vertical="top"/>
      <protection hidden="1"/>
    </xf>
    <xf numFmtId="0" fontId="19" fillId="23" borderId="57" xfId="3" applyFill="1" applyBorder="1" applyAlignment="1" applyProtection="1">
      <alignment horizontal="left" vertical="top" wrapText="1"/>
      <protection locked="0"/>
    </xf>
    <xf numFmtId="0" fontId="19" fillId="24" borderId="57" xfId="3" applyFill="1" applyBorder="1" applyAlignment="1" applyProtection="1">
      <alignment horizontal="left" vertical="top" wrapText="1"/>
      <protection locked="0"/>
    </xf>
    <xf numFmtId="1" fontId="49" fillId="24" borderId="57" xfId="3" applyNumberFormat="1" applyFont="1" applyFill="1" applyBorder="1" applyAlignment="1" applyProtection="1">
      <alignment horizontal="center" vertical="center" wrapText="1"/>
      <protection locked="0"/>
    </xf>
    <xf numFmtId="1" fontId="50" fillId="24" borderId="57" xfId="3" applyNumberFormat="1" applyFont="1" applyFill="1" applyBorder="1" applyAlignment="1" applyProtection="1">
      <alignment horizontal="center" vertical="center" wrapText="1"/>
      <protection locked="0"/>
    </xf>
    <xf numFmtId="0" fontId="51" fillId="24" borderId="58" xfId="3" applyFont="1" applyFill="1" applyBorder="1" applyAlignment="1" applyProtection="1">
      <alignment horizontal="center" vertical="center" wrapText="1"/>
      <protection locked="0"/>
    </xf>
    <xf numFmtId="0" fontId="8" fillId="8" borderId="56" xfId="3" applyFont="1" applyFill="1" applyBorder="1" applyAlignment="1" applyProtection="1">
      <alignment horizontal="center" vertical="top"/>
      <protection hidden="1"/>
    </xf>
    <xf numFmtId="0" fontId="19" fillId="8" borderId="57" xfId="3" applyFill="1" applyBorder="1" applyAlignment="1" applyProtection="1">
      <alignment horizontal="left" vertical="top" wrapText="1"/>
      <protection locked="0"/>
    </xf>
    <xf numFmtId="0" fontId="19" fillId="14" borderId="57" xfId="3" applyFill="1" applyBorder="1" applyAlignment="1" applyProtection="1">
      <alignment horizontal="left" vertical="top" wrapText="1"/>
      <protection locked="0"/>
    </xf>
    <xf numFmtId="1" fontId="49" fillId="14" borderId="57" xfId="3" applyNumberFormat="1" applyFont="1" applyFill="1" applyBorder="1" applyAlignment="1" applyProtection="1">
      <alignment horizontal="center" vertical="center" wrapText="1"/>
      <protection locked="0"/>
    </xf>
    <xf numFmtId="1" fontId="50" fillId="14" borderId="57" xfId="3" applyNumberFormat="1" applyFont="1" applyFill="1" applyBorder="1" applyAlignment="1" applyProtection="1">
      <alignment horizontal="center" vertical="center" wrapText="1"/>
      <protection locked="0"/>
    </xf>
    <xf numFmtId="0" fontId="51" fillId="14" borderId="58" xfId="3" applyFont="1" applyFill="1" applyBorder="1" applyAlignment="1" applyProtection="1">
      <alignment horizontal="center" vertical="center" wrapText="1"/>
      <protection locked="0"/>
    </xf>
    <xf numFmtId="0" fontId="8" fillId="22" borderId="56" xfId="3" applyFont="1" applyFill="1" applyBorder="1" applyAlignment="1" applyProtection="1">
      <alignment horizontal="center" vertical="top"/>
      <protection hidden="1"/>
    </xf>
    <xf numFmtId="0" fontId="19" fillId="6" borderId="57" xfId="3" applyFill="1" applyBorder="1" applyAlignment="1" applyProtection="1">
      <alignment horizontal="left" vertical="top" wrapText="1"/>
      <protection locked="0"/>
    </xf>
    <xf numFmtId="1" fontId="49" fillId="6" borderId="57" xfId="3" applyNumberFormat="1" applyFont="1" applyFill="1" applyBorder="1" applyAlignment="1" applyProtection="1">
      <alignment horizontal="center" vertical="center" wrapText="1"/>
      <protection locked="0"/>
    </xf>
    <xf numFmtId="1" fontId="50" fillId="6" borderId="57" xfId="3" applyNumberFormat="1" applyFont="1" applyFill="1" applyBorder="1" applyAlignment="1" applyProtection="1">
      <alignment horizontal="center" vertical="center" wrapText="1"/>
      <protection locked="0"/>
    </xf>
    <xf numFmtId="0" fontId="51" fillId="6" borderId="58" xfId="3" applyFont="1" applyFill="1" applyBorder="1" applyAlignment="1" applyProtection="1">
      <alignment horizontal="center" vertical="center" wrapText="1"/>
      <protection locked="0"/>
    </xf>
    <xf numFmtId="0" fontId="8" fillId="32" borderId="56" xfId="3" applyFont="1" applyFill="1" applyBorder="1" applyAlignment="1" applyProtection="1">
      <alignment horizontal="center" vertical="top"/>
      <protection hidden="1"/>
    </xf>
    <xf numFmtId="0" fontId="19" fillId="32" borderId="57" xfId="3" applyFill="1" applyBorder="1" applyAlignment="1" applyProtection="1">
      <alignment horizontal="left" vertical="top" wrapText="1"/>
      <protection locked="0"/>
    </xf>
    <xf numFmtId="0" fontId="19" fillId="19" borderId="57" xfId="3" applyFill="1" applyBorder="1" applyAlignment="1" applyProtection="1">
      <alignment horizontal="left" vertical="top" wrapText="1"/>
      <protection locked="0"/>
    </xf>
    <xf numFmtId="1" fontId="49" fillId="19" borderId="57" xfId="3" applyNumberFormat="1" applyFont="1" applyFill="1" applyBorder="1" applyAlignment="1" applyProtection="1">
      <alignment horizontal="center" vertical="center" wrapText="1"/>
      <protection locked="0"/>
    </xf>
    <xf numFmtId="1" fontId="50" fillId="19" borderId="57" xfId="3" applyNumberFormat="1" applyFont="1" applyFill="1" applyBorder="1" applyAlignment="1" applyProtection="1">
      <alignment horizontal="center" vertical="center" wrapText="1"/>
      <protection locked="0"/>
    </xf>
    <xf numFmtId="0" fontId="51" fillId="19" borderId="58" xfId="3" applyFont="1" applyFill="1" applyBorder="1" applyAlignment="1" applyProtection="1">
      <alignment horizontal="center" vertical="center" wrapText="1"/>
      <protection locked="0"/>
    </xf>
    <xf numFmtId="0" fontId="8" fillId="13" borderId="56" xfId="3" applyFont="1" applyFill="1" applyBorder="1" applyAlignment="1" applyProtection="1">
      <alignment horizontal="center" vertical="top"/>
      <protection hidden="1"/>
    </xf>
    <xf numFmtId="0" fontId="19" fillId="13" borderId="57" xfId="3" applyFill="1" applyBorder="1" applyAlignment="1" applyProtection="1">
      <alignment horizontal="left" vertical="top" wrapText="1"/>
      <protection locked="0"/>
    </xf>
    <xf numFmtId="1" fontId="50" fillId="18" borderId="57" xfId="3" applyNumberFormat="1" applyFont="1" applyFill="1" applyBorder="1" applyAlignment="1" applyProtection="1">
      <alignment horizontal="center" vertical="center" wrapText="1"/>
      <protection locked="0"/>
    </xf>
    <xf numFmtId="0" fontId="19" fillId="18" borderId="57" xfId="3" applyFill="1" applyBorder="1" applyAlignment="1" applyProtection="1">
      <alignment horizontal="left" vertical="top" wrapText="1"/>
      <protection locked="0"/>
    </xf>
    <xf numFmtId="0" fontId="51" fillId="18" borderId="58" xfId="3" applyFont="1" applyFill="1" applyBorder="1" applyAlignment="1" applyProtection="1">
      <alignment horizontal="center" vertical="center" wrapText="1"/>
      <protection locked="0"/>
    </xf>
    <xf numFmtId="0" fontId="62" fillId="14" borderId="56" xfId="3" applyFont="1" applyFill="1" applyBorder="1" applyAlignment="1" applyProtection="1">
      <alignment horizontal="center" vertical="top"/>
      <protection hidden="1"/>
    </xf>
    <xf numFmtId="0" fontId="62" fillId="14" borderId="57" xfId="3" applyFont="1" applyFill="1" applyBorder="1" applyAlignment="1" applyProtection="1">
      <alignment horizontal="left" vertical="top" wrapText="1"/>
      <protection locked="0"/>
    </xf>
    <xf numFmtId="0" fontId="62" fillId="25" borderId="57" xfId="3" applyFont="1" applyFill="1" applyBorder="1" applyAlignment="1" applyProtection="1">
      <alignment horizontal="left" vertical="top" wrapText="1"/>
      <protection locked="0"/>
    </xf>
    <xf numFmtId="1" fontId="49" fillId="25" borderId="57" xfId="3" applyNumberFormat="1" applyFont="1" applyFill="1" applyBorder="1" applyAlignment="1" applyProtection="1">
      <alignment horizontal="center" vertical="center" wrapText="1"/>
      <protection locked="0"/>
    </xf>
    <xf numFmtId="1" fontId="50" fillId="25" borderId="57" xfId="3" applyNumberFormat="1" applyFont="1" applyFill="1" applyBorder="1" applyAlignment="1" applyProtection="1">
      <alignment horizontal="center" vertical="center" wrapText="1"/>
      <protection locked="0"/>
    </xf>
    <xf numFmtId="0" fontId="19" fillId="25" borderId="57" xfId="3" applyFill="1" applyBorder="1" applyAlignment="1" applyProtection="1">
      <alignment horizontal="left" vertical="top" wrapText="1"/>
      <protection locked="0"/>
    </xf>
    <xf numFmtId="0" fontId="51" fillId="25" borderId="58" xfId="3" applyFont="1" applyFill="1" applyBorder="1" applyAlignment="1" applyProtection="1">
      <alignment horizontal="center" vertical="center" wrapText="1"/>
      <protection locked="0"/>
    </xf>
    <xf numFmtId="0" fontId="8" fillId="17" borderId="56" xfId="3" applyFont="1" applyFill="1" applyBorder="1" applyAlignment="1" applyProtection="1">
      <alignment horizontal="center" vertical="top"/>
      <protection hidden="1"/>
    </xf>
    <xf numFmtId="0" fontId="19" fillId="17" borderId="57" xfId="3" applyFill="1" applyBorder="1" applyAlignment="1" applyProtection="1">
      <alignment horizontal="left" vertical="top" wrapText="1"/>
      <protection locked="0"/>
    </xf>
    <xf numFmtId="0" fontId="19" fillId="5" borderId="57" xfId="3" applyFill="1" applyBorder="1" applyAlignment="1" applyProtection="1">
      <alignment horizontal="left" vertical="top" wrapText="1"/>
      <protection locked="0"/>
    </xf>
    <xf numFmtId="1" fontId="49" fillId="5" borderId="57" xfId="3" applyNumberFormat="1" applyFont="1" applyFill="1" applyBorder="1" applyAlignment="1" applyProtection="1">
      <alignment horizontal="center" vertical="center" wrapText="1"/>
      <protection locked="0"/>
    </xf>
    <xf numFmtId="1" fontId="50" fillId="5" borderId="57" xfId="3" applyNumberFormat="1" applyFont="1" applyFill="1" applyBorder="1" applyAlignment="1" applyProtection="1">
      <alignment horizontal="center" vertical="center" wrapText="1"/>
      <protection locked="0"/>
    </xf>
    <xf numFmtId="0" fontId="51" fillId="5" borderId="58" xfId="3" applyFont="1" applyFill="1" applyBorder="1" applyAlignment="1" applyProtection="1">
      <alignment horizontal="center" vertical="center" wrapText="1"/>
      <protection locked="0"/>
    </xf>
    <xf numFmtId="0" fontId="8" fillId="6" borderId="56" xfId="3" applyFont="1" applyFill="1" applyBorder="1" applyAlignment="1" applyProtection="1">
      <alignment horizontal="center" vertical="top"/>
      <protection hidden="1"/>
    </xf>
    <xf numFmtId="0" fontId="8" fillId="18" borderId="56" xfId="3" applyFont="1" applyFill="1" applyBorder="1" applyAlignment="1" applyProtection="1">
      <alignment horizontal="center" vertical="top"/>
      <protection hidden="1"/>
    </xf>
    <xf numFmtId="0" fontId="8" fillId="19" borderId="56" xfId="3" applyFont="1" applyFill="1" applyBorder="1" applyAlignment="1" applyProtection="1">
      <alignment horizontal="center" vertical="top"/>
      <protection hidden="1"/>
    </xf>
    <xf numFmtId="0" fontId="8" fillId="33" borderId="56" xfId="3" applyFont="1" applyFill="1" applyBorder="1" applyAlignment="1" applyProtection="1">
      <alignment horizontal="center" vertical="top"/>
      <protection hidden="1"/>
    </xf>
    <xf numFmtId="0" fontId="19" fillId="33" borderId="57" xfId="3" applyFill="1" applyBorder="1" applyAlignment="1" applyProtection="1">
      <alignment horizontal="left" vertical="top" wrapText="1"/>
      <protection locked="0"/>
    </xf>
    <xf numFmtId="0" fontId="8" fillId="34" borderId="56" xfId="3" applyFont="1" applyFill="1" applyBorder="1" applyAlignment="1" applyProtection="1">
      <alignment horizontal="center" vertical="top"/>
      <protection hidden="1"/>
    </xf>
    <xf numFmtId="0" fontId="19" fillId="34" borderId="57" xfId="3" applyFill="1" applyBorder="1" applyAlignment="1" applyProtection="1">
      <alignment horizontal="left" vertical="top" wrapText="1"/>
      <protection locked="0"/>
    </xf>
    <xf numFmtId="0" fontId="8" fillId="16" borderId="59" xfId="3" applyFont="1" applyFill="1" applyBorder="1" applyAlignment="1" applyProtection="1">
      <alignment horizontal="center" vertical="top"/>
      <protection hidden="1"/>
    </xf>
    <xf numFmtId="0" fontId="19" fillId="16" borderId="60" xfId="3" applyFill="1" applyBorder="1" applyAlignment="1" applyProtection="1">
      <alignment horizontal="left" vertical="top" wrapText="1"/>
      <protection locked="0"/>
    </xf>
    <xf numFmtId="0" fontId="19" fillId="5" borderId="60" xfId="3" applyFill="1" applyBorder="1" applyAlignment="1" applyProtection="1">
      <alignment horizontal="left" vertical="top" wrapText="1"/>
      <protection locked="0"/>
    </xf>
    <xf numFmtId="1" fontId="49" fillId="5" borderId="60" xfId="3" applyNumberFormat="1" applyFont="1" applyFill="1" applyBorder="1" applyAlignment="1" applyProtection="1">
      <alignment horizontal="center" vertical="center" wrapText="1"/>
      <protection locked="0"/>
    </xf>
    <xf numFmtId="1" fontId="50" fillId="5" borderId="60" xfId="3" applyNumberFormat="1" applyFont="1" applyFill="1" applyBorder="1" applyAlignment="1" applyProtection="1">
      <alignment horizontal="center" vertical="center" wrapText="1"/>
      <protection locked="0"/>
    </xf>
    <xf numFmtId="0" fontId="51" fillId="5" borderId="61" xfId="3" applyFont="1" applyFill="1" applyBorder="1" applyAlignment="1" applyProtection="1">
      <alignment horizontal="center" vertical="center" wrapText="1"/>
      <protection locked="0"/>
    </xf>
    <xf numFmtId="1" fontId="135" fillId="0" borderId="72" xfId="3" applyNumberFormat="1" applyFont="1" applyBorder="1" applyAlignment="1" applyProtection="1">
      <alignment horizontal="center" vertical="center" wrapText="1"/>
      <protection locked="0"/>
    </xf>
    <xf numFmtId="1" fontId="135" fillId="0" borderId="12" xfId="3" applyNumberFormat="1" applyFont="1" applyBorder="1" applyAlignment="1" applyProtection="1">
      <alignment horizontal="center" vertical="center" wrapText="1"/>
      <protection locked="0"/>
    </xf>
    <xf numFmtId="1" fontId="135" fillId="0" borderId="73" xfId="3" applyNumberFormat="1" applyFont="1" applyBorder="1" applyAlignment="1" applyProtection="1">
      <alignment horizontal="center" vertical="center" wrapText="1"/>
      <protection locked="0"/>
    </xf>
    <xf numFmtId="0" fontId="88" fillId="10" borderId="54" xfId="3" applyFont="1" applyFill="1" applyBorder="1" applyAlignment="1">
      <alignment vertical="top" wrapText="1"/>
    </xf>
    <xf numFmtId="0" fontId="19" fillId="20" borderId="56" xfId="3" applyFill="1" applyBorder="1" applyAlignment="1" applyProtection="1">
      <alignment horizontal="center" vertical="top"/>
      <protection hidden="1"/>
    </xf>
    <xf numFmtId="0" fontId="19" fillId="20" borderId="57" xfId="3" applyFill="1" applyBorder="1" applyAlignment="1" applyProtection="1">
      <alignment horizontal="left" vertical="top" wrapText="1"/>
      <protection locked="0"/>
    </xf>
    <xf numFmtId="0" fontId="19" fillId="21" borderId="56" xfId="3" applyFill="1" applyBorder="1" applyAlignment="1" applyProtection="1">
      <alignment horizontal="center" vertical="top"/>
      <protection hidden="1"/>
    </xf>
    <xf numFmtId="0" fontId="19" fillId="23" borderId="56" xfId="3" applyFill="1" applyBorder="1" applyAlignment="1" applyProtection="1">
      <alignment horizontal="center" vertical="top"/>
      <protection hidden="1"/>
    </xf>
    <xf numFmtId="0" fontId="19" fillId="8" borderId="56" xfId="3" applyFill="1" applyBorder="1" applyAlignment="1" applyProtection="1">
      <alignment horizontal="center" vertical="top"/>
      <protection hidden="1"/>
    </xf>
    <xf numFmtId="0" fontId="19" fillId="22" borderId="56" xfId="3" applyFill="1" applyBorder="1" applyAlignment="1" applyProtection="1">
      <alignment horizontal="center" vertical="top"/>
      <protection hidden="1"/>
    </xf>
    <xf numFmtId="0" fontId="19" fillId="32" borderId="56" xfId="3" applyFill="1" applyBorder="1" applyAlignment="1" applyProtection="1">
      <alignment horizontal="center" vertical="top"/>
      <protection hidden="1"/>
    </xf>
    <xf numFmtId="0" fontId="19" fillId="13" borderId="56" xfId="3" applyFill="1" applyBorder="1" applyAlignment="1" applyProtection="1">
      <alignment horizontal="center" vertical="top"/>
      <protection hidden="1"/>
    </xf>
    <xf numFmtId="0" fontId="19" fillId="17" borderId="56" xfId="3" applyFill="1" applyBorder="1" applyAlignment="1" applyProtection="1">
      <alignment horizontal="center" vertical="top"/>
      <protection hidden="1"/>
    </xf>
    <xf numFmtId="0" fontId="19" fillId="6" borderId="56" xfId="3" applyFill="1" applyBorder="1" applyAlignment="1" applyProtection="1">
      <alignment horizontal="center" vertical="top"/>
      <protection hidden="1"/>
    </xf>
    <xf numFmtId="0" fontId="19" fillId="18" borderId="56" xfId="3" applyFill="1" applyBorder="1" applyAlignment="1" applyProtection="1">
      <alignment horizontal="center" vertical="top"/>
      <protection hidden="1"/>
    </xf>
    <xf numFmtId="0" fontId="19" fillId="19" borderId="56" xfId="3" applyFill="1" applyBorder="1" applyAlignment="1" applyProtection="1">
      <alignment horizontal="center" vertical="top"/>
      <protection hidden="1"/>
    </xf>
    <xf numFmtId="0" fontId="19" fillId="33" borderId="56" xfId="3" applyFill="1" applyBorder="1" applyAlignment="1" applyProtection="1">
      <alignment horizontal="center" vertical="top"/>
      <protection hidden="1"/>
    </xf>
    <xf numFmtId="0" fontId="19" fillId="34" borderId="56" xfId="3" applyFill="1" applyBorder="1" applyAlignment="1" applyProtection="1">
      <alignment horizontal="center" vertical="top"/>
      <protection hidden="1"/>
    </xf>
    <xf numFmtId="0" fontId="19" fillId="16" borderId="59" xfId="3" applyFill="1" applyBorder="1" applyAlignment="1" applyProtection="1">
      <alignment horizontal="center" vertical="top"/>
      <protection hidden="1"/>
    </xf>
    <xf numFmtId="49" fontId="18" fillId="0" borderId="57" xfId="3" applyNumberFormat="1" applyFont="1" applyBorder="1" applyAlignment="1" applyProtection="1">
      <alignment horizontal="left" vertical="top" wrapText="1"/>
      <protection locked="0"/>
    </xf>
    <xf numFmtId="0" fontId="18" fillId="0" borderId="58" xfId="3" applyFont="1" applyBorder="1" applyAlignment="1" applyProtection="1">
      <alignment horizontal="left" vertical="top" wrapText="1"/>
      <protection locked="0"/>
    </xf>
    <xf numFmtId="49" fontId="18" fillId="0" borderId="60" xfId="3" applyNumberFormat="1" applyFont="1" applyBorder="1" applyAlignment="1" applyProtection="1">
      <alignment horizontal="left" vertical="top" wrapText="1"/>
      <protection locked="0"/>
    </xf>
    <xf numFmtId="0" fontId="18" fillId="0" borderId="61" xfId="3" applyFont="1" applyBorder="1" applyAlignment="1" applyProtection="1">
      <alignment horizontal="left" vertical="top" wrapText="1"/>
      <protection locked="0"/>
    </xf>
    <xf numFmtId="0" fontId="63" fillId="10" borderId="0" xfId="0" applyFont="1" applyFill="1" applyAlignment="1">
      <alignment vertical="top"/>
    </xf>
    <xf numFmtId="0" fontId="64" fillId="11" borderId="53" xfId="0" applyFont="1" applyFill="1" applyBorder="1" applyAlignment="1">
      <alignment vertical="top" wrapText="1"/>
    </xf>
    <xf numFmtId="0" fontId="64" fillId="11" borderId="54" xfId="0" applyFont="1" applyFill="1" applyBorder="1" applyAlignment="1">
      <alignment vertical="top" wrapText="1"/>
    </xf>
    <xf numFmtId="0" fontId="65" fillId="11" borderId="55" xfId="0" applyFont="1" applyFill="1" applyBorder="1" applyAlignment="1">
      <alignment vertical="top" wrapText="1"/>
    </xf>
    <xf numFmtId="0" fontId="39" fillId="0" borderId="57" xfId="0" applyFont="1" applyBorder="1" applyAlignment="1" applyProtection="1">
      <alignment horizontal="left" vertical="top" wrapText="1"/>
      <protection locked="0"/>
    </xf>
    <xf numFmtId="9" fontId="39" fillId="0" borderId="57" xfId="0" applyNumberFormat="1" applyFont="1" applyBorder="1" applyAlignment="1" applyProtection="1">
      <alignment horizontal="left" vertical="top" wrapText="1"/>
      <protection locked="0"/>
    </xf>
    <xf numFmtId="1" fontId="49" fillId="0" borderId="57" xfId="0" applyNumberFormat="1" applyFont="1" applyBorder="1" applyAlignment="1" applyProtection="1">
      <alignment horizontal="center" vertical="center" wrapText="1"/>
      <protection locked="0"/>
    </xf>
    <xf numFmtId="0" fontId="51" fillId="0" borderId="58" xfId="0" applyFont="1" applyBorder="1" applyAlignment="1" applyProtection="1">
      <alignment horizontal="center" vertical="center" wrapText="1"/>
      <protection locked="0"/>
    </xf>
    <xf numFmtId="0" fontId="66" fillId="0" borderId="0" xfId="0" applyFont="1"/>
    <xf numFmtId="0" fontId="39" fillId="22" borderId="59" xfId="0" applyFont="1" applyFill="1" applyBorder="1" applyAlignment="1" applyProtection="1">
      <alignment horizontal="center" vertical="top"/>
      <protection hidden="1"/>
    </xf>
    <xf numFmtId="49" fontId="39" fillId="22" borderId="60" xfId="0" applyNumberFormat="1" applyFont="1" applyFill="1" applyBorder="1" applyAlignment="1" applyProtection="1">
      <alignment horizontal="right" vertical="center" wrapText="1"/>
      <protection hidden="1"/>
    </xf>
    <xf numFmtId="9" fontId="65" fillId="22" borderId="60" xfId="0" applyNumberFormat="1" applyFont="1" applyFill="1" applyBorder="1" applyAlignment="1" applyProtection="1">
      <alignment horizontal="center" vertical="center"/>
      <protection hidden="1"/>
    </xf>
    <xf numFmtId="1" fontId="51" fillId="22" borderId="60" xfId="0" applyNumberFormat="1" applyFont="1" applyFill="1" applyBorder="1" applyAlignment="1" applyProtection="1">
      <alignment horizontal="center" vertical="center" wrapText="1"/>
      <protection hidden="1"/>
    </xf>
    <xf numFmtId="1" fontId="51" fillId="22" borderId="61" xfId="0" applyNumberFormat="1" applyFont="1" applyFill="1" applyBorder="1" applyAlignment="1" applyProtection="1">
      <alignment horizontal="center" vertical="center" wrapText="1"/>
      <protection hidden="1"/>
    </xf>
    <xf numFmtId="0" fontId="39" fillId="12" borderId="59" xfId="0" applyFont="1" applyFill="1" applyBorder="1" applyAlignment="1" applyProtection="1">
      <alignment horizontal="center" vertical="top"/>
      <protection hidden="1"/>
    </xf>
    <xf numFmtId="49" fontId="39" fillId="12" borderId="60" xfId="0" applyNumberFormat="1" applyFont="1" applyFill="1" applyBorder="1" applyAlignment="1" applyProtection="1">
      <alignment horizontal="right" vertical="center" wrapText="1"/>
      <protection hidden="1"/>
    </xf>
    <xf numFmtId="9" fontId="65" fillId="12" borderId="60" xfId="0" applyNumberFormat="1" applyFont="1" applyFill="1" applyBorder="1" applyAlignment="1" applyProtection="1">
      <alignment horizontal="center" vertical="center"/>
      <protection hidden="1"/>
    </xf>
    <xf numFmtId="1" fontId="51" fillId="12" borderId="60" xfId="0" applyNumberFormat="1" applyFont="1" applyFill="1" applyBorder="1" applyAlignment="1" applyProtection="1">
      <alignment horizontal="center" vertical="center" wrapText="1"/>
      <protection hidden="1"/>
    </xf>
    <xf numFmtId="1" fontId="51" fillId="12" borderId="61" xfId="0" applyNumberFormat="1" applyFont="1" applyFill="1" applyBorder="1" applyAlignment="1" applyProtection="1">
      <alignment horizontal="center" vertical="center" wrapText="1"/>
      <protection hidden="1"/>
    </xf>
    <xf numFmtId="0" fontId="37" fillId="0" borderId="3" xfId="18" applyFont="1" applyBorder="1" applyAlignment="1" applyProtection="1">
      <alignment horizontal="left" vertical="center"/>
      <protection hidden="1"/>
    </xf>
    <xf numFmtId="0" fontId="0" fillId="0" borderId="0" xfId="0" applyProtection="1">
      <protection locked="0"/>
    </xf>
    <xf numFmtId="0" fontId="36" fillId="0" borderId="0" xfId="18" applyFont="1" applyAlignment="1" applyProtection="1">
      <alignment vertical="center"/>
      <protection hidden="1"/>
    </xf>
    <xf numFmtId="0" fontId="39" fillId="0" borderId="3" xfId="18" applyFont="1" applyBorder="1" applyProtection="1">
      <protection hidden="1"/>
    </xf>
    <xf numFmtId="0" fontId="40" fillId="0" borderId="3" xfId="18" applyFont="1" applyBorder="1" applyAlignment="1" applyProtection="1">
      <alignment vertical="center"/>
      <protection hidden="1"/>
    </xf>
    <xf numFmtId="0" fontId="36" fillId="0" borderId="0" xfId="0" applyFont="1" applyAlignment="1">
      <alignment vertical="center"/>
    </xf>
    <xf numFmtId="0" fontId="39" fillId="0" borderId="3" xfId="3" applyFont="1" applyBorder="1" applyProtection="1">
      <protection hidden="1"/>
    </xf>
    <xf numFmtId="167" fontId="24" fillId="0" borderId="0" xfId="3" applyNumberFormat="1" applyFont="1" applyAlignment="1" applyProtection="1">
      <alignment vertical="center" wrapText="1"/>
      <protection hidden="1"/>
    </xf>
    <xf numFmtId="0" fontId="24" fillId="0" borderId="0" xfId="3" applyFont="1" applyAlignment="1" applyProtection="1">
      <alignment vertical="center" wrapText="1"/>
      <protection hidden="1"/>
    </xf>
    <xf numFmtId="0" fontId="129" fillId="0" borderId="0" xfId="18" applyFont="1" applyAlignment="1" applyProtection="1">
      <alignment horizontal="right" vertical="center"/>
      <protection hidden="1"/>
    </xf>
    <xf numFmtId="0" fontId="136" fillId="0" borderId="0" xfId="0" applyFont="1" applyAlignment="1" applyProtection="1">
      <alignment vertical="center"/>
      <protection hidden="1"/>
    </xf>
    <xf numFmtId="0" fontId="39" fillId="0" borderId="0" xfId="18" applyFont="1" applyProtection="1">
      <protection locked="0" hidden="1"/>
    </xf>
    <xf numFmtId="0" fontId="19" fillId="4" borderId="1" xfId="3" applyFill="1" applyBorder="1" applyAlignment="1" applyProtection="1">
      <alignment vertical="center" wrapText="1"/>
      <protection hidden="1"/>
    </xf>
    <xf numFmtId="0" fontId="28" fillId="0" borderId="1" xfId="3" applyFont="1" applyBorder="1" applyAlignment="1" applyProtection="1">
      <alignment vertical="center" wrapText="1"/>
      <protection hidden="1"/>
    </xf>
    <xf numFmtId="0" fontId="0" fillId="0" borderId="1" xfId="3" applyFont="1" applyBorder="1" applyAlignment="1" applyProtection="1">
      <alignment vertical="center" wrapText="1"/>
      <protection hidden="1"/>
    </xf>
    <xf numFmtId="0" fontId="19" fillId="0" borderId="0" xfId="3" applyAlignment="1" applyProtection="1">
      <alignment vertical="center" wrapText="1"/>
      <protection hidden="1"/>
    </xf>
    <xf numFmtId="0" fontId="10" fillId="0" borderId="0" xfId="3" applyFont="1" applyAlignment="1" applyProtection="1">
      <alignment vertical="center" wrapText="1"/>
      <protection hidden="1"/>
    </xf>
    <xf numFmtId="0" fontId="25" fillId="4" borderId="2" xfId="3" applyFont="1" applyFill="1" applyBorder="1" applyAlignment="1" applyProtection="1">
      <alignment vertical="center" wrapText="1"/>
      <protection hidden="1"/>
    </xf>
    <xf numFmtId="0" fontId="28" fillId="5" borderId="1" xfId="3" applyFont="1" applyFill="1" applyBorder="1" applyAlignment="1" applyProtection="1">
      <alignment horizontal="center" vertical="center" wrapText="1"/>
      <protection hidden="1"/>
    </xf>
    <xf numFmtId="0" fontId="29" fillId="6" borderId="1" xfId="3" applyFont="1" applyFill="1" applyBorder="1" applyAlignment="1" applyProtection="1">
      <alignment horizontal="center" vertical="center" wrapText="1"/>
      <protection hidden="1"/>
    </xf>
    <xf numFmtId="0" fontId="25" fillId="4" borderId="1" xfId="3" applyFont="1" applyFill="1" applyBorder="1" applyAlignment="1" applyProtection="1">
      <alignment vertical="center" wrapText="1"/>
      <protection hidden="1"/>
    </xf>
    <xf numFmtId="0" fontId="25" fillId="6" borderId="1" xfId="3" applyFont="1" applyFill="1" applyBorder="1" applyAlignment="1" applyProtection="1">
      <alignment vertical="center" wrapText="1"/>
      <protection hidden="1"/>
    </xf>
    <xf numFmtId="0" fontId="25" fillId="6" borderId="2" xfId="3" applyFont="1" applyFill="1" applyBorder="1" applyAlignment="1" applyProtection="1">
      <alignment vertical="center" wrapText="1"/>
      <protection hidden="1"/>
    </xf>
    <xf numFmtId="167" fontId="25" fillId="6" borderId="75" xfId="3" applyNumberFormat="1" applyFont="1" applyFill="1" applyBorder="1" applyAlignment="1" applyProtection="1">
      <alignment vertical="center" wrapText="1"/>
      <protection hidden="1"/>
    </xf>
    <xf numFmtId="0" fontId="113" fillId="7" borderId="57" xfId="0" applyFont="1" applyFill="1" applyBorder="1" applyProtection="1">
      <protection hidden="1"/>
    </xf>
    <xf numFmtId="0" fontId="33" fillId="7" borderId="74" xfId="3" applyFont="1" applyFill="1" applyBorder="1" applyAlignment="1" applyProtection="1">
      <alignment vertical="center" wrapText="1"/>
      <protection hidden="1"/>
    </xf>
    <xf numFmtId="0" fontId="32" fillId="7" borderId="57" xfId="4" applyFont="1" applyFill="1" applyBorder="1" applyAlignment="1" applyProtection="1">
      <alignment horizontal="left" vertical="center" wrapText="1"/>
      <protection hidden="1"/>
    </xf>
    <xf numFmtId="0" fontId="26" fillId="7" borderId="57" xfId="3" applyFont="1" applyFill="1" applyBorder="1" applyAlignment="1" applyProtection="1">
      <alignment vertical="center" wrapText="1"/>
      <protection hidden="1"/>
    </xf>
    <xf numFmtId="167" fontId="24" fillId="7" borderId="57" xfId="3" applyNumberFormat="1" applyFont="1" applyFill="1" applyBorder="1" applyAlignment="1" applyProtection="1">
      <alignment vertical="center" wrapText="1"/>
      <protection hidden="1"/>
    </xf>
    <xf numFmtId="0" fontId="26" fillId="0" borderId="0" xfId="3" applyFont="1" applyAlignment="1" applyProtection="1">
      <alignment vertical="center" wrapText="1"/>
      <protection hidden="1"/>
    </xf>
    <xf numFmtId="0" fontId="19" fillId="4" borderId="7" xfId="3" applyFill="1" applyBorder="1" applyAlignment="1" applyProtection="1">
      <alignment vertical="center" wrapText="1"/>
      <protection hidden="1"/>
    </xf>
    <xf numFmtId="0" fontId="8" fillId="0" borderId="7" xfId="3" applyFont="1" applyBorder="1" applyAlignment="1" applyProtection="1">
      <alignment vertical="center" wrapText="1"/>
      <protection hidden="1"/>
    </xf>
    <xf numFmtId="0" fontId="0" fillId="0" borderId="7" xfId="3" applyFont="1" applyBorder="1" applyAlignment="1" applyProtection="1">
      <alignment vertical="center" wrapText="1"/>
      <protection hidden="1"/>
    </xf>
    <xf numFmtId="0" fontId="19" fillId="0" borderId="7" xfId="3" applyBorder="1" applyAlignment="1" applyProtection="1">
      <alignment vertical="center" wrapText="1"/>
      <protection hidden="1"/>
    </xf>
    <xf numFmtId="167" fontId="26" fillId="0" borderId="76" xfId="3" applyNumberFormat="1" applyFont="1" applyBorder="1" applyAlignment="1" applyProtection="1">
      <alignment vertical="center" wrapText="1"/>
      <protection hidden="1"/>
    </xf>
    <xf numFmtId="0" fontId="8" fillId="0" borderId="1" xfId="3" applyFont="1" applyBorder="1" applyAlignment="1" applyProtection="1">
      <alignment vertical="center" wrapText="1"/>
      <protection hidden="1"/>
    </xf>
    <xf numFmtId="0" fontId="19" fillId="0" borderId="1" xfId="3" applyBorder="1" applyAlignment="1" applyProtection="1">
      <alignment vertical="center" wrapText="1"/>
      <protection hidden="1"/>
    </xf>
    <xf numFmtId="167" fontId="26" fillId="0" borderId="8" xfId="3" applyNumberFormat="1" applyFont="1" applyBorder="1" applyAlignment="1" applyProtection="1">
      <alignment vertical="center" wrapText="1"/>
      <protection hidden="1"/>
    </xf>
    <xf numFmtId="0" fontId="20" fillId="0" borderId="1" xfId="3" applyFont="1" applyBorder="1" applyAlignment="1" applyProtection="1">
      <alignment vertical="center" wrapText="1"/>
      <protection hidden="1"/>
    </xf>
    <xf numFmtId="0" fontId="7" fillId="0" borderId="1" xfId="3" applyFont="1" applyBorder="1" applyAlignment="1" applyProtection="1">
      <alignment vertical="center" wrapText="1"/>
      <protection hidden="1"/>
    </xf>
    <xf numFmtId="0" fontId="19" fillId="4" borderId="2" xfId="3" applyFill="1" applyBorder="1" applyAlignment="1" applyProtection="1">
      <alignment vertical="center" wrapText="1"/>
      <protection hidden="1"/>
    </xf>
    <xf numFmtId="0" fontId="20" fillId="0" borderId="2" xfId="3" applyFont="1" applyBorder="1" applyAlignment="1" applyProtection="1">
      <alignment vertical="center" wrapText="1"/>
      <protection hidden="1"/>
    </xf>
    <xf numFmtId="0" fontId="19" fillId="0" borderId="2" xfId="3" applyBorder="1" applyAlignment="1" applyProtection="1">
      <alignment vertical="center" wrapText="1"/>
      <protection hidden="1"/>
    </xf>
    <xf numFmtId="167" fontId="26" fillId="0" borderId="75" xfId="3" applyNumberFormat="1" applyFont="1" applyBorder="1" applyAlignment="1" applyProtection="1">
      <alignment vertical="center" wrapText="1"/>
      <protection hidden="1"/>
    </xf>
    <xf numFmtId="0" fontId="2" fillId="0" borderId="2" xfId="3" applyFont="1" applyBorder="1" applyAlignment="1" applyProtection="1">
      <alignment vertical="center" wrapText="1"/>
      <protection hidden="1"/>
    </xf>
    <xf numFmtId="0" fontId="28" fillId="0" borderId="74" xfId="3" applyFont="1" applyBorder="1" applyAlignment="1" applyProtection="1">
      <alignment vertical="center" wrapText="1"/>
      <protection hidden="1"/>
    </xf>
    <xf numFmtId="0" fontId="0" fillId="0" borderId="7" xfId="3" applyFont="1" applyBorder="1" applyAlignment="1" applyProtection="1">
      <alignment horizontal="left" vertical="center" wrapText="1"/>
      <protection hidden="1"/>
    </xf>
    <xf numFmtId="0" fontId="0" fillId="0" borderId="1" xfId="3" applyFont="1" applyBorder="1" applyAlignment="1" applyProtection="1">
      <alignment horizontal="left" vertical="center" wrapText="1"/>
      <protection hidden="1"/>
    </xf>
    <xf numFmtId="0" fontId="14" fillId="0" borderId="1" xfId="3" applyFont="1" applyBorder="1" applyAlignment="1" applyProtection="1">
      <alignment vertical="center" wrapText="1"/>
      <protection hidden="1"/>
    </xf>
    <xf numFmtId="0" fontId="19" fillId="0" borderId="1" xfId="3" applyBorder="1" applyAlignment="1" applyProtection="1">
      <alignment horizontal="left" vertical="center" wrapText="1"/>
      <protection hidden="1"/>
    </xf>
    <xf numFmtId="0" fontId="9" fillId="0" borderId="1" xfId="3" applyFont="1" applyBorder="1" applyAlignment="1" applyProtection="1">
      <alignment vertical="center" wrapText="1"/>
      <protection hidden="1"/>
    </xf>
    <xf numFmtId="0" fontId="19" fillId="0" borderId="2" xfId="3" applyBorder="1" applyAlignment="1" applyProtection="1">
      <alignment horizontal="left" vertical="center" wrapText="1"/>
      <protection hidden="1"/>
    </xf>
    <xf numFmtId="0" fontId="19" fillId="0" borderId="7" xfId="3" applyBorder="1" applyAlignment="1" applyProtection="1">
      <alignment horizontal="left" vertical="center" wrapText="1"/>
      <protection hidden="1"/>
    </xf>
    <xf numFmtId="0" fontId="0" fillId="0" borderId="2" xfId="3" applyFont="1" applyBorder="1" applyAlignment="1" applyProtection="1">
      <alignment vertical="center" wrapText="1"/>
      <protection hidden="1"/>
    </xf>
    <xf numFmtId="0" fontId="0" fillId="0" borderId="2" xfId="3" applyFont="1" applyBorder="1" applyAlignment="1" applyProtection="1">
      <alignment horizontal="left" vertical="center" wrapText="1"/>
      <protection hidden="1"/>
    </xf>
    <xf numFmtId="0" fontId="4" fillId="0" borderId="1" xfId="3" applyFont="1" applyBorder="1" applyAlignment="1" applyProtection="1">
      <alignment vertical="center" wrapText="1"/>
      <protection hidden="1"/>
    </xf>
    <xf numFmtId="0" fontId="8" fillId="0" borderId="1" xfId="3" applyFont="1" applyBorder="1" applyAlignment="1" applyProtection="1">
      <alignment horizontal="left" vertical="top" wrapText="1"/>
      <protection hidden="1"/>
    </xf>
    <xf numFmtId="0" fontId="8" fillId="0" borderId="2" xfId="3" applyFont="1" applyBorder="1" applyAlignment="1" applyProtection="1">
      <alignment horizontal="left" vertical="top" wrapText="1"/>
      <protection hidden="1"/>
    </xf>
    <xf numFmtId="0" fontId="0" fillId="0" borderId="7" xfId="3" applyFont="1" applyBorder="1" applyAlignment="1" applyProtection="1">
      <alignment vertical="top" wrapText="1"/>
      <protection hidden="1"/>
    </xf>
    <xf numFmtId="0" fontId="0" fillId="0" borderId="7" xfId="3" applyFont="1" applyBorder="1" applyAlignment="1" applyProtection="1">
      <alignment horizontal="left" vertical="top" wrapText="1"/>
      <protection hidden="1"/>
    </xf>
    <xf numFmtId="0" fontId="0" fillId="0" borderId="1" xfId="3" applyFont="1" applyBorder="1" applyAlignment="1" applyProtection="1">
      <alignment vertical="top" wrapText="1"/>
      <protection hidden="1"/>
    </xf>
    <xf numFmtId="0" fontId="0" fillId="0" borderId="1" xfId="3" applyFont="1" applyBorder="1" applyAlignment="1" applyProtection="1">
      <alignment horizontal="left" vertical="top" wrapText="1"/>
      <protection hidden="1"/>
    </xf>
    <xf numFmtId="0" fontId="0" fillId="0" borderId="1" xfId="3" quotePrefix="1" applyFont="1" applyBorder="1" applyAlignment="1" applyProtection="1">
      <alignment horizontal="left" vertical="top" wrapText="1"/>
      <protection hidden="1"/>
    </xf>
    <xf numFmtId="0" fontId="0" fillId="0" borderId="2" xfId="3" applyFont="1" applyBorder="1" applyAlignment="1" applyProtection="1">
      <alignment vertical="top" wrapText="1"/>
      <protection hidden="1"/>
    </xf>
    <xf numFmtId="0" fontId="0" fillId="0" borderId="2" xfId="3" applyFont="1" applyBorder="1" applyAlignment="1" applyProtection="1">
      <alignment horizontal="left" vertical="top" wrapText="1"/>
      <protection hidden="1"/>
    </xf>
    <xf numFmtId="0" fontId="19" fillId="4" borderId="6" xfId="3" applyFill="1" applyBorder="1" applyAlignment="1" applyProtection="1">
      <alignment vertical="center" wrapText="1"/>
      <protection hidden="1"/>
    </xf>
    <xf numFmtId="0" fontId="12" fillId="0" borderId="6" xfId="3" applyFont="1" applyBorder="1" applyAlignment="1" applyProtection="1">
      <alignment vertical="center" wrapText="1"/>
      <protection hidden="1"/>
    </xf>
    <xf numFmtId="0" fontId="19" fillId="0" borderId="6" xfId="3" applyBorder="1" applyAlignment="1" applyProtection="1">
      <alignment horizontal="left" vertical="center" wrapText="1"/>
      <protection hidden="1"/>
    </xf>
    <xf numFmtId="167" fontId="26" fillId="0" borderId="77" xfId="3" applyNumberFormat="1" applyFont="1" applyBorder="1" applyAlignment="1" applyProtection="1">
      <alignment vertical="center" wrapText="1"/>
      <protection hidden="1"/>
    </xf>
    <xf numFmtId="0" fontId="28" fillId="0" borderId="74" xfId="3" applyFont="1" applyBorder="1" applyAlignment="1" applyProtection="1">
      <alignment horizontal="left" vertical="center" wrapText="1"/>
      <protection hidden="1"/>
    </xf>
    <xf numFmtId="0" fontId="20" fillId="0" borderId="7" xfId="3" applyFont="1" applyBorder="1" applyAlignment="1" applyProtection="1">
      <alignment horizontal="left" vertical="top" wrapText="1"/>
      <protection hidden="1"/>
    </xf>
    <xf numFmtId="0" fontId="0" fillId="0" borderId="0" xfId="3" applyFont="1" applyAlignment="1" applyProtection="1">
      <alignment horizontal="left" vertical="top" wrapText="1"/>
      <protection hidden="1"/>
    </xf>
    <xf numFmtId="0" fontId="123" fillId="0" borderId="0" xfId="3" applyFont="1" applyAlignment="1" applyProtection="1">
      <alignment horizontal="left" vertical="top" wrapText="1"/>
      <protection hidden="1"/>
    </xf>
    <xf numFmtId="0" fontId="20" fillId="0" borderId="1" xfId="3" applyFont="1" applyBorder="1" applyAlignment="1" applyProtection="1">
      <alignment horizontal="left" vertical="top" wrapText="1"/>
      <protection hidden="1"/>
    </xf>
    <xf numFmtId="0" fontId="20" fillId="0" borderId="2" xfId="3" applyFont="1" applyBorder="1" applyAlignment="1" applyProtection="1">
      <alignment horizontal="left" vertical="top" wrapText="1"/>
      <protection hidden="1"/>
    </xf>
    <xf numFmtId="0" fontId="0" fillId="0" borderId="6" xfId="3" applyFont="1" applyBorder="1" applyAlignment="1" applyProtection="1">
      <alignment horizontal="left" vertical="top" wrapText="1"/>
      <protection hidden="1"/>
    </xf>
    <xf numFmtId="0" fontId="4" fillId="0" borderId="1" xfId="3" applyFont="1" applyBorder="1" applyAlignment="1" applyProtection="1">
      <alignment horizontal="left" vertical="center" wrapText="1"/>
      <protection hidden="1"/>
    </xf>
    <xf numFmtId="0" fontId="4" fillId="0" borderId="2" xfId="3" applyFont="1" applyBorder="1" applyAlignment="1" applyProtection="1">
      <alignment horizontal="left" vertical="center" wrapText="1"/>
      <protection hidden="1"/>
    </xf>
    <xf numFmtId="0" fontId="20" fillId="0" borderId="7" xfId="3" applyFont="1" applyBorder="1" applyAlignment="1" applyProtection="1">
      <alignment vertical="center" wrapText="1"/>
      <protection hidden="1"/>
    </xf>
    <xf numFmtId="0" fontId="19" fillId="0" borderId="6" xfId="3" applyBorder="1" applyAlignment="1" applyProtection="1">
      <alignment vertical="center" wrapText="1"/>
      <protection hidden="1"/>
    </xf>
    <xf numFmtId="0" fontId="4" fillId="0" borderId="7" xfId="3" applyFont="1" applyBorder="1" applyAlignment="1" applyProtection="1">
      <alignment vertical="center" wrapText="1"/>
      <protection hidden="1"/>
    </xf>
    <xf numFmtId="167" fontId="26" fillId="0" borderId="7" xfId="3" applyNumberFormat="1" applyFont="1" applyBorder="1" applyAlignment="1" applyProtection="1">
      <alignment vertical="center" wrapText="1"/>
      <protection hidden="1"/>
    </xf>
    <xf numFmtId="167" fontId="26" fillId="0" borderId="1" xfId="3" applyNumberFormat="1" applyFont="1" applyBorder="1" applyAlignment="1" applyProtection="1">
      <alignment vertical="center" wrapText="1"/>
      <protection hidden="1"/>
    </xf>
    <xf numFmtId="0" fontId="19" fillId="4" borderId="2" xfId="3" applyFill="1" applyBorder="1" applyAlignment="1" applyProtection="1">
      <alignment horizontal="left" vertical="center" wrapText="1"/>
      <protection hidden="1"/>
    </xf>
    <xf numFmtId="0" fontId="28" fillId="0" borderId="1" xfId="3" applyFont="1" applyBorder="1" applyAlignment="1" applyProtection="1">
      <alignment horizontal="left" vertical="center" wrapText="1"/>
      <protection hidden="1"/>
    </xf>
    <xf numFmtId="167" fontId="19" fillId="0" borderId="0" xfId="3" applyNumberFormat="1" applyAlignment="1" applyProtection="1">
      <alignment vertical="center" wrapText="1"/>
      <protection hidden="1"/>
    </xf>
    <xf numFmtId="167" fontId="26" fillId="0" borderId="2" xfId="3" applyNumberFormat="1" applyFont="1" applyBorder="1" applyAlignment="1" applyProtection="1">
      <alignment vertical="center" wrapText="1"/>
      <protection hidden="1"/>
    </xf>
    <xf numFmtId="0" fontId="19" fillId="4" borderId="0" xfId="3" applyFill="1" applyAlignment="1" applyProtection="1">
      <alignment vertical="center" wrapText="1"/>
      <protection hidden="1"/>
    </xf>
    <xf numFmtId="0" fontId="28" fillId="0" borderId="0" xfId="3" applyFont="1" applyAlignment="1" applyProtection="1">
      <alignment vertical="center" wrapText="1"/>
      <protection hidden="1"/>
    </xf>
    <xf numFmtId="0" fontId="39" fillId="4" borderId="2" xfId="3" applyFont="1" applyFill="1" applyBorder="1" applyAlignment="1" applyProtection="1">
      <alignment vertical="center" wrapText="1"/>
      <protection hidden="1"/>
    </xf>
    <xf numFmtId="0" fontId="39" fillId="0" borderId="8" xfId="3" applyFont="1" applyBorder="1" applyAlignment="1" applyProtection="1">
      <alignment vertical="center" wrapText="1"/>
      <protection hidden="1"/>
    </xf>
    <xf numFmtId="0" fontId="39" fillId="0" borderId="2" xfId="3" applyFont="1" applyBorder="1" applyAlignment="1" applyProtection="1">
      <alignment horizontal="left" vertical="top" wrapText="1"/>
      <protection hidden="1"/>
    </xf>
    <xf numFmtId="167" fontId="97" fillId="0" borderId="2" xfId="3" applyNumberFormat="1" applyFont="1" applyBorder="1" applyAlignment="1" applyProtection="1">
      <alignment vertical="center" wrapText="1"/>
      <protection hidden="1"/>
    </xf>
    <xf numFmtId="0" fontId="39" fillId="0" borderId="0" xfId="3" applyFont="1" applyAlignment="1" applyProtection="1">
      <alignment vertical="center" wrapText="1"/>
      <protection hidden="1"/>
    </xf>
    <xf numFmtId="0" fontId="137" fillId="0" borderId="0" xfId="3" applyFont="1" applyAlignment="1" applyProtection="1">
      <alignment vertical="center" wrapText="1"/>
      <protection hidden="1"/>
    </xf>
    <xf numFmtId="167" fontId="137" fillId="0" borderId="0" xfId="3" applyNumberFormat="1" applyFont="1" applyAlignment="1" applyProtection="1">
      <alignment vertical="center" wrapText="1"/>
      <protection hidden="1"/>
    </xf>
    <xf numFmtId="0" fontId="1" fillId="0" borderId="0" xfId="22"/>
    <xf numFmtId="0" fontId="1" fillId="49" borderId="0" xfId="22" applyFill="1"/>
    <xf numFmtId="0" fontId="26" fillId="49" borderId="0" xfId="22" applyFont="1" applyFill="1" applyAlignment="1">
      <alignment vertical="top"/>
    </xf>
    <xf numFmtId="0" fontId="56" fillId="0" borderId="0" xfId="22" applyFont="1" applyAlignment="1" applyProtection="1">
      <alignment horizontal="right" vertical="center"/>
      <protection locked="0"/>
    </xf>
    <xf numFmtId="0" fontId="30" fillId="5" borderId="1" xfId="3" applyFont="1" applyFill="1" applyBorder="1" applyAlignment="1" applyProtection="1">
      <alignment horizontal="center" vertical="center" wrapText="1"/>
      <protection locked="0"/>
    </xf>
    <xf numFmtId="0" fontId="140" fillId="0" borderId="3" xfId="20" applyFont="1" applyBorder="1" applyAlignment="1" applyProtection="1">
      <alignment vertical="center"/>
      <protection hidden="1"/>
    </xf>
    <xf numFmtId="0" fontId="141" fillId="0" borderId="3" xfId="3" applyFont="1" applyBorder="1" applyAlignment="1">
      <alignment vertical="center"/>
    </xf>
    <xf numFmtId="0" fontId="142" fillId="0" borderId="3" xfId="0" applyFont="1" applyBorder="1" applyAlignment="1" applyProtection="1">
      <alignment vertical="center"/>
      <protection hidden="1"/>
    </xf>
    <xf numFmtId="0" fontId="143" fillId="0" borderId="3" xfId="0" applyFont="1" applyBorder="1" applyAlignment="1" applyProtection="1">
      <alignment vertical="center"/>
      <protection hidden="1"/>
    </xf>
    <xf numFmtId="0" fontId="144" fillId="0" borderId="3" xfId="0" applyFont="1" applyBorder="1" applyAlignment="1">
      <alignment horizontal="right" vertical="center"/>
    </xf>
    <xf numFmtId="0" fontId="143" fillId="0" borderId="0" xfId="0" applyFont="1" applyAlignment="1" applyProtection="1">
      <alignment vertical="center"/>
      <protection locked="0" hidden="1"/>
    </xf>
    <xf numFmtId="0" fontId="142" fillId="0" borderId="0" xfId="0" applyFont="1" applyAlignment="1" applyProtection="1">
      <alignment vertical="center"/>
      <protection locked="0" hidden="1"/>
    </xf>
    <xf numFmtId="0" fontId="144" fillId="0" borderId="0" xfId="0" applyFont="1" applyAlignment="1">
      <alignment horizontal="left" vertical="top"/>
    </xf>
    <xf numFmtId="0" fontId="145" fillId="0" borderId="0" xfId="0" applyFont="1"/>
    <xf numFmtId="0" fontId="145" fillId="0" borderId="0" xfId="0" applyFont="1" applyAlignment="1">
      <alignment horizontal="left"/>
    </xf>
    <xf numFmtId="0" fontId="146" fillId="0" borderId="0" xfId="0" applyFont="1" applyAlignment="1">
      <alignment vertical="top" textRotation="90" shrinkToFit="1"/>
    </xf>
    <xf numFmtId="0" fontId="146" fillId="0" borderId="0" xfId="0" applyFont="1" applyAlignment="1">
      <alignment horizontal="center" vertical="top" textRotation="90" shrinkToFit="1"/>
    </xf>
    <xf numFmtId="49" fontId="145" fillId="0" borderId="0" xfId="0" applyNumberFormat="1" applyFont="1" applyAlignment="1">
      <alignment horizontal="left"/>
    </xf>
    <xf numFmtId="0" fontId="147" fillId="11" borderId="53" xfId="0" applyFont="1" applyFill="1" applyBorder="1"/>
    <xf numFmtId="0" fontId="146" fillId="11" borderId="54" xfId="0" applyFont="1" applyFill="1" applyBorder="1" applyAlignment="1">
      <alignment vertical="top"/>
    </xf>
    <xf numFmtId="0" fontId="148" fillId="11" borderId="54" xfId="0" applyFont="1" applyFill="1" applyBorder="1" applyAlignment="1">
      <alignment horizontal="center" vertical="center" textRotation="90"/>
    </xf>
    <xf numFmtId="0" fontId="149" fillId="11" borderId="56" xfId="0" applyFont="1" applyFill="1" applyBorder="1" applyAlignment="1">
      <alignment vertical="top" wrapText="1"/>
    </xf>
    <xf numFmtId="0" fontId="149" fillId="26" borderId="57" xfId="0" applyFont="1" applyFill="1" applyBorder="1" applyAlignment="1">
      <alignment vertical="top" wrapText="1"/>
    </xf>
    <xf numFmtId="0" fontId="150" fillId="26" borderId="57" xfId="0" applyFont="1" applyFill="1" applyBorder="1" applyAlignment="1">
      <alignment horizontal="center" vertical="top" wrapText="1"/>
    </xf>
    <xf numFmtId="0" fontId="150" fillId="26" borderId="58" xfId="0" applyFont="1" applyFill="1" applyBorder="1" applyAlignment="1">
      <alignment horizontal="center" vertical="top" wrapText="1"/>
    </xf>
    <xf numFmtId="0" fontId="151" fillId="27" borderId="56" xfId="0" applyFont="1" applyFill="1" applyBorder="1" applyAlignment="1" applyProtection="1">
      <alignment horizontal="center" vertical="center" wrapText="1"/>
      <protection hidden="1"/>
    </xf>
    <xf numFmtId="0" fontId="145" fillId="0" borderId="57" xfId="0" applyFont="1" applyBorder="1" applyAlignment="1" applyProtection="1">
      <alignment horizontal="left" vertical="center" wrapText="1"/>
      <protection locked="0"/>
    </xf>
    <xf numFmtId="0" fontId="152" fillId="0" borderId="57" xfId="0" applyFont="1" applyBorder="1" applyAlignment="1" applyProtection="1">
      <alignment horizontal="center" vertical="center" wrapText="1"/>
      <protection locked="0"/>
    </xf>
    <xf numFmtId="1" fontId="153" fillId="0" borderId="57" xfId="0" applyNumberFormat="1" applyFont="1" applyBorder="1" applyAlignment="1" applyProtection="1">
      <alignment horizontal="center" vertical="center" wrapText="1"/>
      <protection locked="0"/>
    </xf>
    <xf numFmtId="0" fontId="146" fillId="0" borderId="57" xfId="0" applyFont="1" applyBorder="1" applyAlignment="1">
      <alignment horizontal="center" vertical="center" wrapText="1"/>
    </xf>
    <xf numFmtId="0" fontId="146" fillId="0" borderId="58" xfId="0" applyFont="1" applyBorder="1" applyAlignment="1">
      <alignment horizontal="center" vertical="center" wrapText="1"/>
    </xf>
    <xf numFmtId="0" fontId="151" fillId="28" borderId="56" xfId="0" applyFont="1" applyFill="1" applyBorder="1" applyAlignment="1" applyProtection="1">
      <alignment horizontal="center" vertical="center" wrapText="1"/>
      <protection hidden="1"/>
    </xf>
    <xf numFmtId="0" fontId="151" fillId="29" borderId="56" xfId="0" applyFont="1" applyFill="1" applyBorder="1" applyAlignment="1" applyProtection="1">
      <alignment horizontal="center" vertical="center" wrapText="1"/>
      <protection hidden="1"/>
    </xf>
    <xf numFmtId="0" fontId="154" fillId="30" borderId="56" xfId="0" applyFont="1" applyFill="1" applyBorder="1" applyAlignment="1" applyProtection="1">
      <alignment horizontal="center" vertical="center" wrapText="1"/>
      <protection hidden="1"/>
    </xf>
    <xf numFmtId="0" fontId="154" fillId="31" borderId="56" xfId="0" applyFont="1" applyFill="1" applyBorder="1" applyAlignment="1" applyProtection="1">
      <alignment horizontal="center" vertical="center" wrapText="1"/>
      <protection hidden="1"/>
    </xf>
    <xf numFmtId="0" fontId="145" fillId="26" borderId="56" xfId="0" applyFont="1" applyFill="1" applyBorder="1" applyAlignment="1" applyProtection="1">
      <alignment horizontal="center" vertical="center" wrapText="1"/>
      <protection hidden="1"/>
    </xf>
    <xf numFmtId="0" fontId="145" fillId="11" borderId="56" xfId="0" applyFont="1" applyFill="1" applyBorder="1" applyAlignment="1" applyProtection="1">
      <alignment horizontal="center" vertical="center" wrapText="1"/>
      <protection hidden="1"/>
    </xf>
    <xf numFmtId="0" fontId="145" fillId="12" borderId="59" xfId="0" applyFont="1" applyFill="1" applyBorder="1" applyAlignment="1" applyProtection="1">
      <alignment horizontal="center" vertical="center" wrapText="1"/>
      <protection hidden="1"/>
    </xf>
    <xf numFmtId="0" fontId="145" fillId="0" borderId="60" xfId="0" applyFont="1" applyBorder="1" applyAlignment="1" applyProtection="1">
      <alignment horizontal="left" vertical="center" wrapText="1"/>
      <protection locked="0"/>
    </xf>
    <xf numFmtId="0" fontId="152" fillId="0" borderId="60" xfId="0" applyFont="1" applyBorder="1" applyAlignment="1" applyProtection="1">
      <alignment horizontal="center" vertical="center" wrapText="1"/>
      <protection locked="0"/>
    </xf>
    <xf numFmtId="1" fontId="153" fillId="0" borderId="60" xfId="0" applyNumberFormat="1" applyFont="1" applyBorder="1" applyAlignment="1" applyProtection="1">
      <alignment horizontal="center" vertical="center" wrapText="1"/>
      <protection locked="0"/>
    </xf>
    <xf numFmtId="0" fontId="146" fillId="0" borderId="60" xfId="0" applyFont="1" applyBorder="1" applyAlignment="1">
      <alignment horizontal="center" vertical="center" wrapText="1"/>
    </xf>
    <xf numFmtId="0" fontId="146" fillId="0" borderId="61" xfId="0" applyFont="1" applyBorder="1" applyAlignment="1">
      <alignment horizontal="center" vertical="center" wrapText="1"/>
    </xf>
    <xf numFmtId="0" fontId="155" fillId="26" borderId="0" xfId="0" applyFont="1" applyFill="1" applyAlignment="1" applyProtection="1">
      <alignment horizontal="center" vertical="top"/>
      <protection hidden="1"/>
    </xf>
    <xf numFmtId="0" fontId="156" fillId="26" borderId="0" xfId="0" applyFont="1" applyFill="1" applyAlignment="1" applyProtection="1">
      <alignment horizontal="right" vertical="center" wrapText="1"/>
      <protection hidden="1"/>
    </xf>
    <xf numFmtId="9" fontId="157" fillId="26" borderId="0" xfId="0" applyNumberFormat="1" applyFont="1" applyFill="1" applyAlignment="1" applyProtection="1">
      <alignment horizontal="center" vertical="center"/>
      <protection hidden="1"/>
    </xf>
    <xf numFmtId="1" fontId="158" fillId="26" borderId="0" xfId="0" applyNumberFormat="1" applyFont="1" applyFill="1" applyAlignment="1" applyProtection="1">
      <alignment horizontal="center" vertical="center" wrapText="1"/>
      <protection hidden="1"/>
    </xf>
    <xf numFmtId="0" fontId="136" fillId="0" borderId="3" xfId="0" applyFont="1" applyBorder="1" applyAlignment="1" applyProtection="1">
      <alignment horizontal="right" vertical="center"/>
      <protection locked="0"/>
    </xf>
    <xf numFmtId="0" fontId="84" fillId="0" borderId="0" xfId="18" applyFont="1" applyAlignment="1" applyProtection="1">
      <alignment horizontal="right" vertical="center"/>
      <protection hidden="1"/>
    </xf>
    <xf numFmtId="0" fontId="125" fillId="26" borderId="0" xfId="20" applyFont="1" applyFill="1" applyAlignment="1" applyProtection="1">
      <alignment horizontal="center" vertical="center"/>
      <protection locked="0"/>
    </xf>
    <xf numFmtId="0" fontId="39" fillId="12" borderId="0" xfId="20" applyFont="1" applyFill="1" applyAlignment="1" applyProtection="1">
      <alignment horizontal="center" vertical="center"/>
      <protection locked="0"/>
    </xf>
    <xf numFmtId="0" fontId="62" fillId="26" borderId="0" xfId="20" applyFont="1" applyFill="1" applyAlignment="1" applyProtection="1">
      <alignment horizontal="center" vertical="center"/>
      <protection locked="0"/>
    </xf>
    <xf numFmtId="0" fontId="89" fillId="0" borderId="0" xfId="5" applyFont="1" applyFill="1" applyBorder="1" applyAlignment="1" applyProtection="1">
      <alignment horizontal="left" textRotation="90"/>
      <protection hidden="1"/>
    </xf>
    <xf numFmtId="49" fontId="39" fillId="0" borderId="42" xfId="19" applyNumberFormat="1" applyFont="1" applyBorder="1" applyAlignment="1" applyProtection="1">
      <alignment horizontal="left" vertical="center" wrapText="1" shrinkToFit="1"/>
      <protection hidden="1"/>
    </xf>
    <xf numFmtId="49" fontId="39" fillId="0" borderId="3" xfId="19" applyNumberFormat="1" applyFont="1" applyBorder="1" applyAlignment="1" applyProtection="1">
      <alignment horizontal="left" vertical="center" wrapText="1" shrinkToFit="1"/>
      <protection hidden="1"/>
    </xf>
    <xf numFmtId="49" fontId="39" fillId="0" borderId="50" xfId="19" applyNumberFormat="1" applyFont="1" applyBorder="1" applyAlignment="1" applyProtection="1">
      <alignment horizontal="left" vertical="center" wrapText="1" shrinkToFit="1"/>
      <protection hidden="1"/>
    </xf>
    <xf numFmtId="0" fontId="69" fillId="10" borderId="0" xfId="3" applyFont="1" applyFill="1" applyAlignment="1" applyProtection="1">
      <alignment horizontal="center"/>
      <protection hidden="1"/>
    </xf>
    <xf numFmtId="0" fontId="51" fillId="11" borderId="0" xfId="3" applyFont="1" applyFill="1" applyAlignment="1" applyProtection="1">
      <alignment horizontal="center" vertical="center" textRotation="90"/>
      <protection hidden="1"/>
    </xf>
    <xf numFmtId="49" fontId="14" fillId="23" borderId="53" xfId="3" applyNumberFormat="1" applyFont="1" applyFill="1" applyBorder="1" applyAlignment="1" applyProtection="1">
      <alignment horizontal="left" vertical="center"/>
      <protection locked="0"/>
    </xf>
    <xf numFmtId="49" fontId="19" fillId="23" borderId="55" xfId="3" applyNumberFormat="1" applyFill="1" applyBorder="1" applyAlignment="1" applyProtection="1">
      <alignment horizontal="left" vertical="center"/>
      <protection locked="0"/>
    </xf>
    <xf numFmtId="49" fontId="19" fillId="8" borderId="56" xfId="3" applyNumberFormat="1" applyFill="1" applyBorder="1" applyAlignment="1" applyProtection="1">
      <alignment horizontal="left" vertical="center"/>
      <protection locked="0"/>
    </xf>
    <xf numFmtId="49" fontId="19" fillId="8" borderId="58" xfId="3" applyNumberFormat="1" applyFill="1" applyBorder="1" applyAlignment="1" applyProtection="1">
      <alignment horizontal="left" vertical="center"/>
      <protection locked="0"/>
    </xf>
    <xf numFmtId="49" fontId="19" fillId="23" borderId="56" xfId="3" applyNumberFormat="1" applyFill="1" applyBorder="1" applyAlignment="1" applyProtection="1">
      <alignment horizontal="left" vertical="center"/>
      <protection locked="0"/>
    </xf>
    <xf numFmtId="49" fontId="19" fillId="23" borderId="58" xfId="3" applyNumberFormat="1" applyFill="1" applyBorder="1" applyAlignment="1" applyProtection="1">
      <alignment horizontal="left" vertical="center"/>
      <protection locked="0"/>
    </xf>
    <xf numFmtId="0" fontId="51" fillId="12" borderId="0" xfId="3" applyFont="1" applyFill="1" applyAlignment="1" applyProtection="1">
      <alignment horizontal="center" vertical="center" textRotation="90"/>
      <protection hidden="1"/>
    </xf>
    <xf numFmtId="0" fontId="39" fillId="11" borderId="0" xfId="3" applyFont="1" applyFill="1" applyAlignment="1" applyProtection="1">
      <alignment horizontal="center" vertical="center" textRotation="90"/>
      <protection hidden="1"/>
    </xf>
    <xf numFmtId="0" fontId="19" fillId="12" borderId="0" xfId="3" applyFill="1" applyAlignment="1" applyProtection="1">
      <alignment horizontal="center" vertical="center" textRotation="90"/>
      <protection hidden="1"/>
    </xf>
    <xf numFmtId="49" fontId="19" fillId="8" borderId="59" xfId="3" applyNumberFormat="1" applyFill="1" applyBorder="1" applyAlignment="1" applyProtection="1">
      <alignment horizontal="left" vertical="center"/>
      <protection locked="0"/>
    </xf>
    <xf numFmtId="49" fontId="19" fillId="8" borderId="61" xfId="3" applyNumberFormat="1" applyFill="1" applyBorder="1" applyAlignment="1" applyProtection="1">
      <alignment horizontal="left" vertical="center"/>
      <protection locked="0"/>
    </xf>
    <xf numFmtId="49" fontId="39" fillId="0" borderId="16" xfId="19" applyNumberFormat="1" applyFont="1" applyBorder="1" applyAlignment="1" applyProtection="1">
      <alignment horizontal="left" vertical="center" wrapText="1" shrinkToFit="1"/>
      <protection hidden="1"/>
    </xf>
    <xf numFmtId="49" fontId="39" fillId="0" borderId="0" xfId="19" applyNumberFormat="1" applyFont="1" applyAlignment="1" applyProtection="1">
      <alignment horizontal="left" vertical="center" wrapText="1" shrinkToFit="1"/>
      <protection hidden="1"/>
    </xf>
    <xf numFmtId="49" fontId="39" fillId="0" borderId="9" xfId="19" applyNumberFormat="1" applyFont="1" applyBorder="1" applyAlignment="1" applyProtection="1">
      <alignment horizontal="left" vertical="center" wrapText="1" shrinkToFit="1"/>
      <protection hidden="1"/>
    </xf>
    <xf numFmtId="49" fontId="39" fillId="0" borderId="10" xfId="19" applyNumberFormat="1" applyFont="1" applyBorder="1" applyAlignment="1" applyProtection="1">
      <alignment horizontal="left" vertical="center" wrapText="1" shrinkToFit="1"/>
      <protection hidden="1"/>
    </xf>
    <xf numFmtId="49" fontId="39" fillId="0" borderId="40" xfId="19" applyNumberFormat="1" applyFont="1" applyBorder="1" applyAlignment="1" applyProtection="1">
      <alignment horizontal="left" vertical="center" wrapText="1" shrinkToFit="1"/>
      <protection hidden="1"/>
    </xf>
    <xf numFmtId="49" fontId="39" fillId="0" borderId="51" xfId="19" applyNumberFormat="1" applyFont="1" applyBorder="1" applyAlignment="1" applyProtection="1">
      <alignment horizontal="left" vertical="center" wrapText="1" shrinkToFit="1"/>
      <protection hidden="1"/>
    </xf>
    <xf numFmtId="49" fontId="39" fillId="0" borderId="52" xfId="19" applyNumberFormat="1" applyFont="1" applyBorder="1" applyAlignment="1" applyProtection="1">
      <alignment horizontal="left" vertical="center" wrapText="1" shrinkToFit="1"/>
      <protection hidden="1"/>
    </xf>
    <xf numFmtId="0" fontId="39" fillId="0" borderId="10" xfId="19" applyFont="1" applyBorder="1" applyAlignment="1" applyProtection="1">
      <alignment horizontal="left" vertical="center" wrapText="1" shrinkToFit="1"/>
      <protection hidden="1"/>
    </xf>
    <xf numFmtId="0" fontId="39" fillId="0" borderId="0" xfId="19" applyFont="1" applyAlignment="1" applyProtection="1">
      <alignment horizontal="left" vertical="center" wrapText="1" shrinkToFit="1"/>
      <protection hidden="1"/>
    </xf>
    <xf numFmtId="0" fontId="39" fillId="0" borderId="40" xfId="19" applyFont="1" applyBorder="1" applyAlignment="1" applyProtection="1">
      <alignment horizontal="left" vertical="center" wrapText="1" shrinkToFit="1"/>
      <protection hidden="1"/>
    </xf>
    <xf numFmtId="49" fontId="39" fillId="0" borderId="10" xfId="19" applyNumberFormat="1" applyFont="1" applyBorder="1" applyAlignment="1" applyProtection="1">
      <alignment horizontal="center" vertical="center" wrapText="1" shrinkToFit="1"/>
      <protection hidden="1"/>
    </xf>
    <xf numFmtId="49" fontId="39" fillId="0" borderId="9" xfId="19" applyNumberFormat="1" applyFont="1" applyBorder="1" applyAlignment="1" applyProtection="1">
      <alignment horizontal="center" vertical="center" wrapText="1" shrinkToFit="1"/>
      <protection hidden="1"/>
    </xf>
    <xf numFmtId="49" fontId="124" fillId="36" borderId="41" xfId="19" applyNumberFormat="1" applyFont="1" applyFill="1" applyBorder="1" applyAlignment="1" applyProtection="1">
      <alignment horizontal="left" wrapText="1" shrinkToFit="1"/>
      <protection hidden="1"/>
    </xf>
    <xf numFmtId="49" fontId="124" fillId="36" borderId="4" xfId="19" applyNumberFormat="1" applyFont="1" applyFill="1" applyBorder="1" applyAlignment="1" applyProtection="1">
      <alignment horizontal="left" wrapText="1" shrinkToFit="1"/>
      <protection hidden="1"/>
    </xf>
    <xf numFmtId="49" fontId="124" fillId="36" borderId="46" xfId="19" applyNumberFormat="1" applyFont="1" applyFill="1" applyBorder="1" applyAlignment="1" applyProtection="1">
      <alignment horizontal="left" wrapText="1" shrinkToFit="1"/>
      <protection hidden="1"/>
    </xf>
    <xf numFmtId="0" fontId="124" fillId="36" borderId="41" xfId="19" applyFont="1" applyFill="1" applyBorder="1" applyAlignment="1" applyProtection="1">
      <alignment horizontal="left"/>
      <protection hidden="1"/>
    </xf>
    <xf numFmtId="0" fontId="124" fillId="36" borderId="46" xfId="19" applyFont="1" applyFill="1" applyBorder="1" applyAlignment="1" applyProtection="1">
      <alignment horizontal="left"/>
      <protection hidden="1"/>
    </xf>
    <xf numFmtId="0" fontId="39" fillId="0" borderId="9" xfId="19" applyFont="1" applyBorder="1" applyAlignment="1" applyProtection="1">
      <alignment horizontal="left" vertical="center" wrapText="1" shrinkToFit="1"/>
      <protection hidden="1"/>
    </xf>
    <xf numFmtId="0" fontId="19" fillId="8" borderId="0" xfId="3" applyFill="1" applyAlignment="1" applyProtection="1">
      <alignment horizontal="left" vertical="top" wrapText="1"/>
      <protection hidden="1"/>
    </xf>
    <xf numFmtId="0" fontId="62" fillId="8" borderId="0" xfId="3" applyFont="1" applyFill="1" applyAlignment="1" applyProtection="1">
      <alignment horizontal="center" textRotation="90"/>
      <protection hidden="1"/>
    </xf>
    <xf numFmtId="0" fontId="85" fillId="8" borderId="0" xfId="3" applyFont="1" applyFill="1" applyAlignment="1" applyProtection="1">
      <alignment horizontal="center" textRotation="90" wrapText="1"/>
      <protection hidden="1"/>
    </xf>
    <xf numFmtId="0" fontId="65" fillId="8" borderId="0" xfId="3" applyFont="1" applyFill="1" applyAlignment="1" applyProtection="1">
      <alignment horizontal="center" textRotation="90" wrapText="1"/>
      <protection hidden="1"/>
    </xf>
    <xf numFmtId="0" fontId="23" fillId="0" borderId="0" xfId="3" applyFont="1" applyAlignment="1" applyProtection="1">
      <alignment horizontal="center" textRotation="90"/>
      <protection hidden="1"/>
    </xf>
    <xf numFmtId="0" fontId="67" fillId="10" borderId="0" xfId="3" applyFont="1" applyFill="1" applyAlignment="1" applyProtection="1">
      <alignment horizontal="left" vertical="top" wrapText="1"/>
      <protection hidden="1"/>
    </xf>
    <xf numFmtId="0" fontId="101" fillId="10" borderId="0" xfId="3" applyFont="1" applyFill="1" applyAlignment="1" applyProtection="1">
      <alignment horizontal="right" vertical="center" wrapText="1"/>
      <protection hidden="1"/>
    </xf>
    <xf numFmtId="0" fontId="19" fillId="23" borderId="0" xfId="3" applyFill="1" applyAlignment="1" applyProtection="1">
      <alignment horizontal="left" vertical="top" wrapText="1"/>
      <protection hidden="1"/>
    </xf>
    <xf numFmtId="0" fontId="86" fillId="0" borderId="0" xfId="3" applyFont="1" applyAlignment="1" applyProtection="1">
      <alignment horizontal="left" vertical="top" wrapText="1"/>
      <protection hidden="1"/>
    </xf>
    <xf numFmtId="0" fontId="109" fillId="8" borderId="0" xfId="3" applyFont="1" applyFill="1" applyAlignment="1" applyProtection="1">
      <alignment horizontal="center" textRotation="90" wrapText="1"/>
      <protection hidden="1"/>
    </xf>
    <xf numFmtId="0" fontId="26" fillId="0" borderId="0" xfId="3" applyFont="1" applyAlignment="1" applyProtection="1">
      <alignment horizontal="left" vertical="top" wrapText="1"/>
      <protection hidden="1"/>
    </xf>
    <xf numFmtId="0" fontId="39" fillId="19" borderId="57" xfId="0" applyFont="1" applyFill="1" applyBorder="1" applyAlignment="1" applyProtection="1">
      <alignment horizontal="center" vertical="top" wrapText="1"/>
      <protection locked="0"/>
    </xf>
    <xf numFmtId="9" fontId="39" fillId="19" borderId="57" xfId="0" applyNumberFormat="1" applyFont="1" applyFill="1" applyBorder="1" applyAlignment="1">
      <alignment horizontal="center" vertical="top" wrapText="1"/>
    </xf>
    <xf numFmtId="9" fontId="39" fillId="14" borderId="57" xfId="0" applyNumberFormat="1" applyFont="1" applyFill="1" applyBorder="1" applyAlignment="1" applyProtection="1">
      <alignment horizontal="center" vertical="top" wrapText="1"/>
      <protection locked="0"/>
    </xf>
    <xf numFmtId="0" fontId="39" fillId="14" borderId="57" xfId="0" applyFont="1" applyFill="1" applyBorder="1" applyAlignment="1" applyProtection="1">
      <alignment horizontal="center" vertical="top" wrapText="1"/>
      <protection locked="0"/>
    </xf>
    <xf numFmtId="9" fontId="39" fillId="24" borderId="57" xfId="0" applyNumberFormat="1" applyFont="1" applyFill="1" applyBorder="1" applyAlignment="1" applyProtection="1">
      <alignment horizontal="center" vertical="top" wrapText="1"/>
      <protection locked="0"/>
    </xf>
    <xf numFmtId="0" fontId="39" fillId="24" borderId="57" xfId="0" applyFont="1" applyFill="1" applyBorder="1" applyAlignment="1" applyProtection="1">
      <alignment horizontal="center" vertical="top" wrapText="1"/>
      <protection locked="0"/>
    </xf>
    <xf numFmtId="0" fontId="45" fillId="8" borderId="57" xfId="0" applyFont="1" applyFill="1" applyBorder="1" applyAlignment="1">
      <alignment horizontal="center" vertical="top"/>
    </xf>
    <xf numFmtId="0" fontId="94" fillId="19" borderId="60" xfId="0" applyFont="1" applyFill="1" applyBorder="1" applyAlignment="1" applyProtection="1">
      <alignment horizontal="left" vertical="top" wrapText="1"/>
      <protection locked="0"/>
    </xf>
    <xf numFmtId="0" fontId="94" fillId="19" borderId="54" xfId="0" applyFont="1" applyFill="1" applyBorder="1" applyAlignment="1" applyProtection="1">
      <alignment horizontal="left" vertical="top" wrapText="1"/>
      <protection locked="0"/>
    </xf>
    <xf numFmtId="0" fontId="39" fillId="19" borderId="56" xfId="0" applyFont="1" applyFill="1" applyBorder="1" applyAlignment="1" applyProtection="1">
      <alignment horizontal="center" vertical="top" wrapText="1"/>
      <protection locked="0"/>
    </xf>
    <xf numFmtId="0" fontId="39" fillId="19" borderId="56" xfId="0" applyFont="1" applyFill="1" applyBorder="1" applyAlignment="1" applyProtection="1">
      <alignment vertical="top"/>
      <protection locked="0"/>
    </xf>
    <xf numFmtId="0" fontId="51" fillId="19" borderId="57" xfId="0" applyFont="1" applyFill="1" applyBorder="1" applyAlignment="1">
      <alignment horizontal="center" vertical="top" wrapText="1"/>
    </xf>
    <xf numFmtId="0" fontId="39" fillId="19" borderId="57" xfId="0" applyFont="1" applyFill="1" applyBorder="1" applyAlignment="1">
      <alignment horizontal="center" vertical="top" wrapText="1"/>
    </xf>
    <xf numFmtId="0" fontId="39" fillId="18" borderId="56" xfId="0" applyFont="1" applyFill="1" applyBorder="1" applyAlignment="1" applyProtection="1">
      <alignment horizontal="left" vertical="top" wrapText="1"/>
      <protection locked="0"/>
    </xf>
    <xf numFmtId="0" fontId="94" fillId="19" borderId="57" xfId="0" applyFont="1" applyFill="1" applyBorder="1" applyAlignment="1" applyProtection="1">
      <alignment horizontal="left" vertical="top" wrapText="1"/>
      <protection locked="0"/>
    </xf>
    <xf numFmtId="0" fontId="39" fillId="18" borderId="56" xfId="0" applyFont="1" applyFill="1" applyBorder="1" applyAlignment="1" applyProtection="1">
      <alignment horizontal="center" vertical="top" wrapText="1"/>
      <protection locked="0"/>
    </xf>
    <xf numFmtId="0" fontId="39" fillId="18" borderId="56" xfId="0" applyFont="1" applyFill="1" applyBorder="1" applyAlignment="1" applyProtection="1">
      <alignment vertical="top"/>
      <protection locked="0"/>
    </xf>
    <xf numFmtId="0" fontId="39" fillId="18" borderId="57" xfId="0" applyFont="1" applyFill="1" applyBorder="1" applyAlignment="1" applyProtection="1">
      <alignment horizontal="center" vertical="top" wrapText="1"/>
      <protection locked="0"/>
    </xf>
    <xf numFmtId="9" fontId="39" fillId="18" borderId="57" xfId="0" applyNumberFormat="1" applyFont="1" applyFill="1" applyBorder="1" applyAlignment="1">
      <alignment horizontal="center" vertical="top" wrapText="1"/>
    </xf>
    <xf numFmtId="0" fontId="39" fillId="48" borderId="56" xfId="0" applyFont="1" applyFill="1" applyBorder="1" applyAlignment="1" applyProtection="1">
      <alignment horizontal="left" vertical="top" wrapText="1"/>
      <protection locked="0"/>
    </xf>
    <xf numFmtId="0" fontId="94" fillId="18" borderId="57" xfId="0" quotePrefix="1" applyFont="1" applyFill="1" applyBorder="1" applyAlignment="1" applyProtection="1">
      <alignment horizontal="left" vertical="top" wrapText="1"/>
      <protection locked="0"/>
    </xf>
    <xf numFmtId="0" fontId="94" fillId="18" borderId="57" xfId="0" applyFont="1" applyFill="1" applyBorder="1" applyAlignment="1" applyProtection="1">
      <alignment horizontal="left" vertical="top" wrapText="1"/>
      <protection locked="0"/>
    </xf>
    <xf numFmtId="0" fontId="94" fillId="19" borderId="57" xfId="0" quotePrefix="1" applyFont="1" applyFill="1" applyBorder="1" applyAlignment="1" applyProtection="1">
      <alignment horizontal="left" vertical="top" wrapText="1"/>
      <protection locked="0"/>
    </xf>
    <xf numFmtId="9" fontId="39" fillId="13" borderId="57" xfId="0" applyNumberFormat="1" applyFont="1" applyFill="1" applyBorder="1" applyAlignment="1" applyProtection="1">
      <alignment horizontal="center" vertical="top" wrapText="1"/>
      <protection locked="0"/>
    </xf>
    <xf numFmtId="0" fontId="39" fillId="13" borderId="57" xfId="0" applyFont="1" applyFill="1" applyBorder="1" applyAlignment="1" applyProtection="1">
      <alignment horizontal="center" vertical="top" wrapText="1"/>
      <protection locked="0"/>
    </xf>
    <xf numFmtId="9" fontId="39" fillId="4" borderId="57" xfId="0" applyNumberFormat="1" applyFont="1" applyFill="1" applyBorder="1" applyAlignment="1" applyProtection="1">
      <alignment horizontal="center" vertical="top" wrapText="1"/>
      <protection locked="0"/>
    </xf>
    <xf numFmtId="0" fontId="39" fillId="4" borderId="57" xfId="0" applyFont="1" applyFill="1" applyBorder="1" applyAlignment="1" applyProtection="1">
      <alignment horizontal="center" vertical="top" wrapText="1"/>
      <protection locked="0"/>
    </xf>
    <xf numFmtId="0" fontId="51" fillId="18" borderId="57" xfId="0" applyFont="1" applyFill="1" applyBorder="1" applyAlignment="1">
      <alignment horizontal="center" vertical="top" wrapText="1"/>
    </xf>
    <xf numFmtId="0" fontId="39" fillId="19" borderId="56" xfId="0" applyFont="1" applyFill="1" applyBorder="1" applyAlignment="1" applyProtection="1">
      <alignment horizontal="left" vertical="top" wrapText="1"/>
      <protection locked="0"/>
    </xf>
    <xf numFmtId="0" fontId="39" fillId="18" borderId="57" xfId="0" applyFont="1" applyFill="1" applyBorder="1" applyAlignment="1">
      <alignment horizontal="center" vertical="top" wrapText="1"/>
    </xf>
    <xf numFmtId="0" fontId="94" fillId="18" borderId="60" xfId="0" applyFont="1" applyFill="1" applyBorder="1" applyAlignment="1" applyProtection="1">
      <alignment horizontal="left" vertical="top" wrapText="1"/>
      <protection locked="0"/>
    </xf>
    <xf numFmtId="0" fontId="94" fillId="18" borderId="54" xfId="0" applyFont="1" applyFill="1" applyBorder="1" applyAlignment="1" applyProtection="1">
      <alignment horizontal="left" vertical="top" wrapText="1"/>
      <protection locked="0"/>
    </xf>
    <xf numFmtId="0" fontId="23" fillId="10" borderId="54" xfId="3" applyFont="1" applyFill="1" applyBorder="1" applyAlignment="1">
      <alignment horizontal="center" vertical="top" wrapText="1"/>
    </xf>
    <xf numFmtId="0" fontId="146" fillId="11" borderId="54" xfId="0" applyFont="1" applyFill="1" applyBorder="1" applyAlignment="1" applyProtection="1">
      <alignment horizontal="center" vertical="center" wrapText="1"/>
      <protection locked="0"/>
    </xf>
    <xf numFmtId="0" fontId="146" fillId="11" borderId="55" xfId="0" applyFont="1" applyFill="1" applyBorder="1" applyAlignment="1" applyProtection="1">
      <alignment horizontal="center" vertical="center" wrapText="1"/>
      <protection locked="0"/>
    </xf>
    <xf numFmtId="0" fontId="17" fillId="0" borderId="28" xfId="11" applyBorder="1" applyAlignment="1" applyProtection="1">
      <alignment vertical="center" wrapText="1"/>
      <protection locked="0"/>
    </xf>
    <xf numFmtId="0" fontId="17" fillId="0" borderId="29" xfId="11" applyBorder="1" applyAlignment="1" applyProtection="1">
      <alignment vertical="center" wrapText="1"/>
      <protection locked="0"/>
    </xf>
    <xf numFmtId="0" fontId="25" fillId="0" borderId="30" xfId="11" applyFont="1" applyBorder="1" applyAlignment="1" applyProtection="1">
      <alignment horizontal="center" vertical="center" wrapText="1"/>
      <protection locked="0"/>
    </xf>
    <xf numFmtId="0" fontId="17" fillId="0" borderId="28" xfId="11" applyBorder="1" applyAlignment="1" applyProtection="1">
      <alignment vertical="center" wrapText="1"/>
      <protection hidden="1"/>
    </xf>
    <xf numFmtId="0" fontId="17" fillId="0" borderId="32" xfId="11" applyBorder="1" applyAlignment="1" applyProtection="1">
      <alignment vertical="center" wrapText="1"/>
      <protection hidden="1"/>
    </xf>
    <xf numFmtId="0" fontId="17" fillId="0" borderId="29" xfId="11" applyBorder="1" applyAlignment="1" applyProtection="1">
      <alignment vertical="center" wrapText="1"/>
      <protection hidden="1"/>
    </xf>
    <xf numFmtId="0" fontId="17" fillId="0" borderId="33" xfId="11" applyBorder="1" applyAlignment="1" applyProtection="1">
      <alignment vertical="center" wrapText="1"/>
      <protection hidden="1"/>
    </xf>
    <xf numFmtId="3" fontId="25" fillId="0" borderId="30" xfId="11" applyNumberFormat="1" applyFont="1" applyBorder="1" applyAlignment="1" applyProtection="1">
      <alignment horizontal="center" vertical="center" wrapText="1"/>
      <protection hidden="1"/>
    </xf>
    <xf numFmtId="0" fontId="25" fillId="0" borderId="34" xfId="11" applyFont="1" applyBorder="1" applyAlignment="1" applyProtection="1">
      <alignment horizontal="center" vertical="center" wrapText="1"/>
      <protection hidden="1"/>
    </xf>
    <xf numFmtId="0" fontId="17" fillId="0" borderId="32" xfId="11" applyBorder="1" applyAlignment="1" applyProtection="1">
      <alignment vertical="center" wrapText="1"/>
      <protection locked="0"/>
    </xf>
    <xf numFmtId="0" fontId="17" fillId="0" borderId="33" xfId="11" applyBorder="1" applyAlignment="1" applyProtection="1">
      <alignment vertical="center" wrapText="1"/>
      <protection locked="0"/>
    </xf>
    <xf numFmtId="3" fontId="25" fillId="0" borderId="30" xfId="11" applyNumberFormat="1" applyFont="1" applyBorder="1" applyAlignment="1" applyProtection="1">
      <alignment horizontal="center" vertical="center" wrapText="1"/>
      <protection locked="0"/>
    </xf>
    <xf numFmtId="0" fontId="25" fillId="0" borderId="34" xfId="11" applyFont="1" applyBorder="1" applyAlignment="1" applyProtection="1">
      <alignment horizontal="center" vertical="center" wrapText="1"/>
      <protection locked="0"/>
    </xf>
    <xf numFmtId="0" fontId="25" fillId="0" borderId="2" xfId="11" applyFont="1" applyBorder="1" applyAlignment="1" applyProtection="1">
      <alignment horizontal="center" vertical="center" wrapText="1"/>
      <protection locked="0"/>
    </xf>
    <xf numFmtId="0" fontId="25" fillId="0" borderId="6" xfId="11" applyFont="1" applyBorder="1" applyAlignment="1" applyProtection="1">
      <alignment horizontal="center" vertical="center" wrapText="1"/>
      <protection locked="0"/>
    </xf>
    <xf numFmtId="0" fontId="25" fillId="0" borderId="7" xfId="11" applyFont="1" applyBorder="1" applyAlignment="1" applyProtection="1">
      <alignment horizontal="center" vertical="center" wrapText="1"/>
      <protection locked="0"/>
    </xf>
    <xf numFmtId="0" fontId="17" fillId="0" borderId="25" xfId="11" applyBorder="1" applyAlignment="1" applyProtection="1">
      <alignment vertical="center" wrapText="1"/>
      <protection locked="0"/>
    </xf>
    <xf numFmtId="0" fontId="17" fillId="0" borderId="26" xfId="11" applyBorder="1" applyAlignment="1" applyProtection="1">
      <alignment vertical="center" wrapText="1"/>
      <protection locked="0"/>
    </xf>
    <xf numFmtId="0" fontId="25" fillId="0" borderId="27" xfId="11" applyFont="1" applyBorder="1" applyAlignment="1" applyProtection="1">
      <alignment horizontal="center" vertical="center" wrapText="1"/>
      <protection locked="0"/>
    </xf>
    <xf numFmtId="9" fontId="25" fillId="0" borderId="30" xfId="11" applyNumberFormat="1" applyFont="1" applyBorder="1" applyAlignment="1" applyProtection="1">
      <alignment horizontal="center" vertical="center" wrapText="1"/>
      <protection locked="0"/>
    </xf>
    <xf numFmtId="0" fontId="17" fillId="0" borderId="36" xfId="11" applyBorder="1" applyAlignment="1" applyProtection="1">
      <alignment vertical="center" wrapText="1"/>
      <protection locked="0"/>
    </xf>
    <xf numFmtId="0" fontId="17" fillId="0" borderId="37" xfId="11" applyBorder="1" applyAlignment="1" applyProtection="1">
      <alignment vertical="center" wrapText="1"/>
      <protection locked="0"/>
    </xf>
    <xf numFmtId="0" fontId="25" fillId="0" borderId="38" xfId="11" applyFont="1" applyBorder="1" applyAlignment="1" applyProtection="1">
      <alignment horizontal="center" vertical="center" wrapText="1"/>
      <protection locked="0"/>
    </xf>
    <xf numFmtId="0" fontId="9" fillId="0" borderId="28" xfId="11" applyFont="1" applyBorder="1" applyAlignment="1" applyProtection="1">
      <alignment vertical="center" wrapText="1"/>
      <protection locked="0"/>
    </xf>
    <xf numFmtId="0" fontId="9" fillId="0" borderId="29" xfId="11" applyFont="1" applyBorder="1" applyAlignment="1" applyProtection="1">
      <alignment vertical="center" wrapText="1"/>
      <protection locked="0"/>
    </xf>
    <xf numFmtId="0" fontId="94" fillId="19" borderId="57" xfId="0" quotePrefix="1" applyFont="1" applyFill="1" applyBorder="1" applyAlignment="1">
      <alignment horizontal="left" vertical="top" wrapText="1"/>
    </xf>
    <xf numFmtId="0" fontId="94" fillId="19" borderId="57" xfId="0" applyFont="1" applyFill="1" applyBorder="1" applyAlignment="1">
      <alignment horizontal="left" vertical="top" wrapText="1"/>
    </xf>
    <xf numFmtId="9" fontId="51" fillId="19" borderId="57" xfId="0" applyNumberFormat="1" applyFont="1" applyFill="1" applyBorder="1" applyAlignment="1">
      <alignment horizontal="center" vertical="top" wrapText="1"/>
    </xf>
    <xf numFmtId="0" fontId="39" fillId="19" borderId="56" xfId="0" applyFont="1" applyFill="1" applyBorder="1" applyAlignment="1">
      <alignment horizontal="left" vertical="top" wrapText="1"/>
    </xf>
    <xf numFmtId="0" fontId="94" fillId="19" borderId="60" xfId="0" applyFont="1" applyFill="1" applyBorder="1" applyAlignment="1">
      <alignment horizontal="left" vertical="top" wrapText="1"/>
    </xf>
    <xf numFmtId="0" fontId="94" fillId="19" borderId="54" xfId="0" applyFont="1" applyFill="1" applyBorder="1" applyAlignment="1">
      <alignment horizontal="left" vertical="top" wrapText="1"/>
    </xf>
    <xf numFmtId="0" fontId="94" fillId="18" borderId="57" xfId="0" quotePrefix="1" applyFont="1" applyFill="1" applyBorder="1" applyAlignment="1">
      <alignment horizontal="left" vertical="top" wrapText="1"/>
    </xf>
    <xf numFmtId="0" fontId="94" fillId="18" borderId="57" xfId="0" applyFont="1" applyFill="1" applyBorder="1" applyAlignment="1">
      <alignment horizontal="left" vertical="top" wrapText="1"/>
    </xf>
    <xf numFmtId="9" fontId="51" fillId="18" borderId="57" xfId="0" applyNumberFormat="1" applyFont="1" applyFill="1" applyBorder="1" applyAlignment="1">
      <alignment horizontal="center" vertical="top" wrapText="1"/>
    </xf>
    <xf numFmtId="0" fontId="39" fillId="18" borderId="56" xfId="0" applyFont="1" applyFill="1" applyBorder="1" applyAlignment="1">
      <alignment horizontal="left" vertical="top" wrapText="1"/>
    </xf>
    <xf numFmtId="0" fontId="94" fillId="18" borderId="60" xfId="0" applyFont="1" applyFill="1" applyBorder="1" applyAlignment="1">
      <alignment horizontal="left" vertical="top" wrapText="1"/>
    </xf>
    <xf numFmtId="0" fontId="94" fillId="18" borderId="54" xfId="0" applyFont="1" applyFill="1" applyBorder="1" applyAlignment="1">
      <alignment horizontal="left" vertical="top" wrapText="1"/>
    </xf>
    <xf numFmtId="0" fontId="0" fillId="0" borderId="0" xfId="0" quotePrefix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43" xfId="0" applyBorder="1" applyAlignment="1" applyProtection="1">
      <alignment horizontal="left" vertical="top" wrapText="1"/>
      <protection locked="0"/>
    </xf>
    <xf numFmtId="0" fontId="142" fillId="0" borderId="3" xfId="18" applyFont="1" applyBorder="1" applyAlignment="1" applyProtection="1">
      <alignment horizontal="left" vertical="center"/>
      <protection hidden="1"/>
    </xf>
  </cellXfs>
  <cellStyles count="27">
    <cellStyle name="20 % - Akzent3" xfId="16" builtinId="38"/>
    <cellStyle name="40 % - Akzent3" xfId="1" builtinId="39"/>
    <cellStyle name="40 % - Akzent4" xfId="2" builtinId="43"/>
    <cellStyle name="Euro" xfId="23" xr:uid="{00000000-0005-0000-0000-000003000000}"/>
    <cellStyle name="Hyperlink 2" xfId="24" xr:uid="{00000000-0005-0000-0000-000004000000}"/>
    <cellStyle name="Hyperlink 3" xfId="25" xr:uid="{00000000-0005-0000-0000-000005000000}"/>
    <cellStyle name="Hyperlink 4" xfId="26" xr:uid="{00000000-0005-0000-0000-000006000000}"/>
    <cellStyle name="Komma 2" xfId="9" xr:uid="{00000000-0005-0000-0000-000007000000}"/>
    <cellStyle name="Link" xfId="5" builtinId="8"/>
    <cellStyle name="Link 2" xfId="13" xr:uid="{00000000-0005-0000-0000-000009000000}"/>
    <cellStyle name="Normal 2" xfId="22" xr:uid="{00000000-0005-0000-0000-00000A000000}"/>
    <cellStyle name="Prozent" xfId="21" builtinId="5"/>
    <cellStyle name="Prozent 2" xfId="10" xr:uid="{00000000-0005-0000-0000-00000C000000}"/>
    <cellStyle name="Standard" xfId="0" builtinId="0"/>
    <cellStyle name="Standard 10" xfId="18" xr:uid="{00000000-0005-0000-0000-00000E000000}"/>
    <cellStyle name="Standard 11" xfId="19" xr:uid="{00000000-0005-0000-0000-00000F000000}"/>
    <cellStyle name="Standard 2" xfId="6" xr:uid="{00000000-0005-0000-0000-000010000000}"/>
    <cellStyle name="Standard 3" xfId="4" xr:uid="{00000000-0005-0000-0000-000011000000}"/>
    <cellStyle name="Standard 3 2" xfId="3" xr:uid="{00000000-0005-0000-0000-000012000000}"/>
    <cellStyle name="Standard 3 2 2" xfId="20" xr:uid="{00000000-0005-0000-0000-000013000000}"/>
    <cellStyle name="Standard 4" xfId="8" xr:uid="{00000000-0005-0000-0000-000014000000}"/>
    <cellStyle name="Standard 5" xfId="11" xr:uid="{00000000-0005-0000-0000-000015000000}"/>
    <cellStyle name="Standard 6" xfId="12" xr:uid="{00000000-0005-0000-0000-000016000000}"/>
    <cellStyle name="Standard 7" xfId="14" xr:uid="{00000000-0005-0000-0000-000017000000}"/>
    <cellStyle name="Standard 8" xfId="15" xr:uid="{00000000-0005-0000-0000-000018000000}"/>
    <cellStyle name="Standard 9" xfId="17" xr:uid="{00000000-0005-0000-0000-000019000000}"/>
    <cellStyle name="Währung 2" xfId="7" xr:uid="{00000000-0005-0000-0000-00001A000000}"/>
  </cellStyles>
  <dxfs count="135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ont>
        <color theme="6" tint="0.59996337778862885"/>
      </font>
      <fill>
        <patternFill>
          <bgColor rgb="FFC6EFCE"/>
        </patternFill>
      </fill>
    </dxf>
    <dxf>
      <font>
        <color rgb="FFFFEB9C"/>
      </font>
      <fill>
        <patternFill>
          <bgColor rgb="FFFFEB9C"/>
        </patternFill>
      </fill>
    </dxf>
    <dxf>
      <font>
        <color rgb="FFFFCCCC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theme="6" tint="0.59996337778862885"/>
      </font>
      <fill>
        <patternFill>
          <bgColor rgb="FFC6EFCE"/>
        </patternFill>
      </fill>
    </dxf>
    <dxf>
      <font>
        <color rgb="FFFFEB9C"/>
      </font>
      <fill>
        <patternFill>
          <bgColor rgb="FFFFEB9C"/>
        </patternFill>
      </fill>
    </dxf>
    <dxf>
      <font>
        <color rgb="FFFFCCCC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FFFF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203462222566488"/>
          <c:y val="2.6958651978024033E-2"/>
          <c:w val="0.83886613767376805"/>
          <c:h val="0.91532703657865944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49B1-43C7-8EC2-FD1DA383F48E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49B1-43C7-8EC2-FD1DA383F48E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49B1-43C7-8EC2-FD1DA383F48E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49B1-43C7-8EC2-FD1DA383F48E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49B1-43C7-8EC2-FD1DA383F48E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49B1-43C7-8EC2-FD1DA383F48E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49B1-43C7-8EC2-FD1DA383F48E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49B1-43C7-8EC2-FD1DA383F48E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49B1-43C7-8EC2-FD1DA383F48E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49B1-43C7-8EC2-FD1DA383F48E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49B1-43C7-8EC2-FD1DA383F48E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49B1-43C7-8EC2-FD1DA383F48E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49B1-43C7-8EC2-FD1DA383F48E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49B1-43C7-8EC2-FD1DA383F48E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49B1-43C7-8EC2-FD1DA383F48E}"/>
              </c:ext>
            </c:extLst>
          </c:dPt>
          <c:dLbls>
            <c:dLbl>
              <c:idx val="0"/>
              <c:tx>
                <c:strRef>
                  <c:f>Produkte!$B$5</c:f>
                  <c:strCache>
                    <c:ptCount val="1"/>
                    <c:pt idx="0">
                      <c:v>P1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{3CDB993E-15BD-4919-A606-D5D85CFD9F13}</c15:txfldGUID>
                      <c15:f>Produkte!$B$5</c15:f>
                      <c15:dlblFieldTableCache>
                        <c:ptCount val="1"/>
                        <c:pt idx="0">
                          <c:v>P1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49B1-43C7-8EC2-FD1DA383F48E}"/>
                </c:ext>
              </c:extLst>
            </c:dLbl>
            <c:dLbl>
              <c:idx val="1"/>
              <c:tx>
                <c:strRef>
                  <c:f>Produkte!$B$6</c:f>
                  <c:strCache>
                    <c:ptCount val="1"/>
                    <c:pt idx="0">
                      <c:v>P2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{E095A1B4-E0CD-4CA9-98C9-7EA650FE50FC}</c15:txfldGUID>
                      <c15:f>Produkte!$B$6</c15:f>
                      <c15:dlblFieldTableCache>
                        <c:ptCount val="1"/>
                        <c:pt idx="0">
                          <c:v>P2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49B1-43C7-8EC2-FD1DA383F48E}"/>
                </c:ext>
              </c:extLst>
            </c:dLbl>
            <c:dLbl>
              <c:idx val="2"/>
              <c:layout>
                <c:manualLayout>
                  <c:x val="-0.11427956485141658"/>
                  <c:y val="0"/>
                </c:manualLayout>
              </c:layout>
              <c:tx>
                <c:strRef>
                  <c:f>Produkte!$B$7</c:f>
                  <c:strCache>
                    <c:ptCount val="1"/>
                    <c:pt idx="0">
                      <c:v>P3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{A492A674-F0DB-4E55-9950-93C74F6F41F8}</c15:txfldGUID>
                      <c15:f>Produkte!$B$7</c15:f>
                      <c15:dlblFieldTableCache>
                        <c:ptCount val="1"/>
                        <c:pt idx="0">
                          <c:v>P3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49B1-43C7-8EC2-FD1DA383F48E}"/>
                </c:ext>
              </c:extLst>
            </c:dLbl>
            <c:dLbl>
              <c:idx val="3"/>
              <c:layout>
                <c:manualLayout>
                  <c:x val="-0.1413431643101446"/>
                  <c:y val="2.1416768115255264E-3"/>
                </c:manualLayout>
              </c:layout>
              <c:tx>
                <c:strRef>
                  <c:f>Produkte!$B$8</c:f>
                  <c:strCache>
                    <c:ptCount val="1"/>
                    <c:pt idx="0">
                      <c:v>P4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{A85ECE21-AA55-4013-A2F3-30984C1AC981}</c15:txfldGUID>
                      <c15:f>Produkte!$B$8</c15:f>
                      <c15:dlblFieldTableCache>
                        <c:ptCount val="1"/>
                        <c:pt idx="0">
                          <c:v>P4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49B1-43C7-8EC2-FD1DA383F48E}"/>
                </c:ext>
              </c:extLst>
            </c:dLbl>
            <c:dLbl>
              <c:idx val="4"/>
              <c:tx>
                <c:strRef>
                  <c:f>Produkte!$B$9</c:f>
                  <c:strCache>
                    <c:ptCount val="1"/>
                    <c:pt idx="0">
                      <c:v>P5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{F5924E8B-5F70-4F86-B3BD-0EE9EBF73F04}</c15:txfldGUID>
                      <c15:f>Produkte!$B$9</c15:f>
                      <c15:dlblFieldTableCache>
                        <c:ptCount val="1"/>
                        <c:pt idx="0">
                          <c:v>P5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49B1-43C7-8EC2-FD1DA383F48E}"/>
                </c:ext>
              </c:extLst>
            </c:dLbl>
            <c:dLbl>
              <c:idx val="5"/>
              <c:layout>
                <c:manualLayout>
                  <c:x val="-0.11247532488750138"/>
                  <c:y val="-1.0708384057627633E-2"/>
                </c:manualLayout>
              </c:layout>
              <c:tx>
                <c:strRef>
                  <c:f>Produkte!#REF!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{15D7E103-2C47-4831-9054-2C87896E61F6}</c15:txfldGUID>
                      <c15:f>Produkte!#REF!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49B1-43C7-8EC2-FD1DA383F48E}"/>
                </c:ext>
              </c:extLst>
            </c:dLbl>
            <c:dLbl>
              <c:idx val="6"/>
              <c:layout>
                <c:manualLayout>
                  <c:x val="-0.10525836503184058"/>
                  <c:y val="1.2850060869153159E-2"/>
                </c:manualLayout>
              </c:layout>
              <c:tx>
                <c:strRef>
                  <c:f>Produkte!#REF!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{B1CBAAF4-065D-4DF4-9C17-827214E158DA}</c15:txfldGUID>
                      <c15:f>Produkte!#REF!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49B1-43C7-8EC2-FD1DA383F48E}"/>
                </c:ext>
              </c:extLst>
            </c:dLbl>
            <c:dLbl>
              <c:idx val="7"/>
              <c:layout>
                <c:manualLayout>
                  <c:x val="-0.10164988510401017"/>
                  <c:y val="-6.4250304345765796E-3"/>
                </c:manualLayout>
              </c:layout>
              <c:tx>
                <c:strRef>
                  <c:f>Produkte!#REF!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{EA5C5B51-BDEC-47EC-87AD-2FD49C1D0755}</c15:txfldGUID>
                      <c15:f>Produkte!#REF!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49B1-43C7-8EC2-FD1DA383F48E}"/>
                </c:ext>
              </c:extLst>
            </c:dLbl>
            <c:dLbl>
              <c:idx val="8"/>
              <c:layout>
                <c:manualLayout>
                  <c:x val="-0.1413431643101446"/>
                  <c:y val="-6.4250304345765796E-3"/>
                </c:manualLayout>
              </c:layout>
              <c:tx>
                <c:strRef>
                  <c:f>Produkte!#REF!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{F0C1C78C-67EB-4460-8531-D67D90F00586}</c15:txfldGUID>
                      <c15:f>Produkte!#REF!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49B1-43C7-8EC2-FD1DA383F48E}"/>
                </c:ext>
              </c:extLst>
            </c:dLbl>
            <c:dLbl>
              <c:idx val="9"/>
              <c:layout>
                <c:manualLayout>
                  <c:x val="-0.12426610408475666"/>
                  <c:y val="2.1416768115255266E-2"/>
                </c:manualLayout>
              </c:layout>
              <c:tx>
                <c:strRef>
                  <c:f>Produkte!#REF!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{79E4B763-2E54-4844-BB0E-FD7AA21F4E95}</c15:txfldGUID>
                      <c15:f>Produkte!#REF!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49B1-43C7-8EC2-FD1DA383F48E}"/>
                </c:ext>
              </c:extLst>
            </c:dLbl>
            <c:dLbl>
              <c:idx val="10"/>
              <c:layout>
                <c:manualLayout>
                  <c:x val="-0.10802794440951985"/>
                  <c:y val="-1.2850060869153159E-2"/>
                </c:manualLayout>
              </c:layout>
              <c:tx>
                <c:strRef>
                  <c:f>Produkte!#REF!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{175708EB-CB46-4C6D-B6C6-70D05A1CC463}</c15:txfldGUID>
                      <c15:f>Produkte!#REF!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49B1-43C7-8EC2-FD1DA383F48E}"/>
                </c:ext>
              </c:extLst>
            </c:dLbl>
            <c:dLbl>
              <c:idx val="11"/>
              <c:layout>
                <c:manualLayout>
                  <c:x val="-0.12787458401258706"/>
                  <c:y val="-2.1416768115255266E-2"/>
                </c:manualLayout>
              </c:layout>
              <c:tx>
                <c:strRef>
                  <c:f>Produkte!#REF!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{59B0C9BC-6B3C-45FD-8D6E-4721F76C91C1}</c15:txfldGUID>
                      <c15:f>Produkte!#REF!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49B1-43C7-8EC2-FD1DA383F48E}"/>
                </c:ext>
              </c:extLst>
            </c:dLbl>
            <c:dLbl>
              <c:idx val="12"/>
              <c:layout>
                <c:manualLayout>
                  <c:x val="-0.14411274368782387"/>
                  <c:y val="0"/>
                </c:manualLayout>
              </c:layout>
              <c:tx>
                <c:strRef>
                  <c:f>Produkte!#REF!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{3A396AEF-199E-4B38-8D1E-019ACC0F9377}</c15:txfldGUID>
                      <c15:f>Produkte!#REF!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49B1-43C7-8EC2-FD1DA383F48E}"/>
                </c:ext>
              </c:extLst>
            </c:dLbl>
            <c:dLbl>
              <c:idx val="13"/>
              <c:tx>
                <c:strRef>
                  <c:f>Produkte!#REF!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{BDB27B62-DCD1-4286-84D8-C5F29B3B7AB2}</c15:txfldGUID>
                      <c15:f>Produkte!#REF!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49B1-43C7-8EC2-FD1DA383F48E}"/>
                </c:ext>
              </c:extLst>
            </c:dLbl>
            <c:dLbl>
              <c:idx val="14"/>
              <c:tx>
                <c:strRef>
                  <c:f>Produkte!#REF!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{88BF158A-2AE2-49A9-82A4-0A0AA944E0AE}</c15:txfldGUID>
                      <c15:f>Produkte!#REF!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49B1-43C7-8EC2-FD1DA383F48E}"/>
                </c:ext>
              </c:extLst>
            </c:dLbl>
            <c:dLbl>
              <c:idx val="15"/>
              <c:layout>
                <c:manualLayout>
                  <c:x val="-0.12607034404867187"/>
                  <c:y val="6.4250304345765796E-3"/>
                </c:manualLayout>
              </c:layout>
              <c:tx>
                <c:strRef>
                  <c:f>Produkte!#REF!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{903063D8-98A2-4E97-B779-048B3DD43FFF}</c15:txfldGUID>
                      <c15:f>Produkte!#REF!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49B1-43C7-8EC2-FD1DA383F48E}"/>
                </c:ext>
              </c:extLst>
            </c:dLbl>
            <c:dLbl>
              <c:idx val="16"/>
              <c:layout>
                <c:manualLayout>
                  <c:x val="-0.11885338419301106"/>
                  <c:y val="-8.5667072461021055E-3"/>
                </c:manualLayout>
              </c:layout>
              <c:tx>
                <c:strRef>
                  <c:f>Produkte!#REF!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{3D0F809E-7B97-40C3-8B5D-B69C0B81E7E7}</c15:txfldGUID>
                      <c15:f>Produkte!#REF!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49B1-43C7-8EC2-FD1DA383F48E}"/>
                </c:ext>
              </c:extLst>
            </c:dLbl>
            <c:dLbl>
              <c:idx val="17"/>
              <c:layout>
                <c:manualLayout>
                  <c:x val="-0.12426610408475666"/>
                  <c:y val="-1.0708384057627633E-2"/>
                </c:manualLayout>
              </c:layout>
              <c:tx>
                <c:strRef>
                  <c:f>Produkte!#REF!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{E8F61F2C-4301-47BA-A296-32E92737128D}</c15:txfldGUID>
                      <c15:f>Produkte!#REF!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49B1-43C7-8EC2-FD1DA383F48E}"/>
                </c:ext>
              </c:extLst>
            </c:dLbl>
            <c:dLbl>
              <c:idx val="18"/>
              <c:tx>
                <c:strRef>
                  <c:f>Produkte!#REF!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{F4845ECA-5757-442A-AA1B-BB0ABE25ED38}</c15:txfldGUID>
                      <c15:f>Produkte!#REF!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49B1-43C7-8EC2-FD1DA383F48E}"/>
                </c:ext>
              </c:extLst>
            </c:dLbl>
            <c:dLbl>
              <c:idx val="19"/>
              <c:layout>
                <c:manualLayout>
                  <c:x val="-0.12246186412084145"/>
                  <c:y val="-6.4250304345765796E-3"/>
                </c:manualLayout>
              </c:layout>
              <c:tx>
                <c:strRef>
                  <c:f>Produkte!#REF!</c:f>
                  <c:strCache>
                    <c:ptCount val="1"/>
                    <c:pt idx="0">
                      <c:v>#REF!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{23025CA3-084F-43C6-9C65-6D0887E5A474}</c15:txfldGUID>
                      <c15:f>Produkte!#REF!</c15:f>
                      <c15:dlblFieldTableCache>
                        <c:ptCount val="1"/>
                        <c:pt idx="0">
                          <c:v>#REF!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49B1-43C7-8EC2-FD1DA383F48E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Produkte!$D$5:$D$9</c:f>
              <c:numCache>
                <c:formatCode>0</c:formatCode>
                <c:ptCount val="5"/>
                <c:pt idx="0">
                  <c:v>3</c:v>
                </c:pt>
                <c:pt idx="1">
                  <c:v>8</c:v>
                </c:pt>
              </c:numCache>
            </c:numRef>
          </c:xVal>
          <c:yVal>
            <c:numRef>
              <c:f>Produkte!$E$5:$E$9</c:f>
              <c:numCache>
                <c:formatCode>0</c:formatCode>
                <c:ptCount val="5"/>
                <c:pt idx="0">
                  <c:v>6</c:v>
                </c:pt>
                <c:pt idx="1">
                  <c:v>9</c:v>
                </c:pt>
              </c:numCache>
            </c:numRef>
          </c:yVal>
          <c:bubbleSize>
            <c:numRef>
              <c:f>Produkte!$I$5:$I$9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49B1-43C7-8EC2-FD1DA383F4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269789824"/>
        <c:axId val="-269800160"/>
      </c:bubbleChart>
      <c:valAx>
        <c:axId val="-269789824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-269800160"/>
        <c:crosses val="autoZero"/>
        <c:crossBetween val="midCat"/>
        <c:majorUnit val="1"/>
        <c:minorUnit val="0.1"/>
      </c:valAx>
      <c:valAx>
        <c:axId val="-269800160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-26978982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493797177062777E-2"/>
          <c:y val="9.4893660531241791E-2"/>
          <c:w val="0.83053562479904297"/>
          <c:h val="0.67490942682444011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Prozesse!$B$29:$B$48</c:f>
              <c:strCache>
                <c:ptCount val="20"/>
                <c:pt idx="0">
                  <c:v>Process 6</c:v>
                </c:pt>
                <c:pt idx="1">
                  <c:v>Process 4</c:v>
                </c:pt>
                <c:pt idx="2">
                  <c:v>Process 15</c:v>
                </c:pt>
                <c:pt idx="3">
                  <c:v>Process 5</c:v>
                </c:pt>
                <c:pt idx="4">
                  <c:v>Process 7</c:v>
                </c:pt>
                <c:pt idx="5">
                  <c:v>Process 8</c:v>
                </c:pt>
                <c:pt idx="6">
                  <c:v>Process 9</c:v>
                </c:pt>
                <c:pt idx="7">
                  <c:v>Process 10</c:v>
                </c:pt>
                <c:pt idx="8">
                  <c:v>Process 11</c:v>
                </c:pt>
                <c:pt idx="9">
                  <c:v>Process 12</c:v>
                </c:pt>
                <c:pt idx="10">
                  <c:v>Process 13</c:v>
                </c:pt>
                <c:pt idx="11">
                  <c:v>Process 14</c:v>
                </c:pt>
                <c:pt idx="12">
                  <c:v>Process 16</c:v>
                </c:pt>
                <c:pt idx="13">
                  <c:v>Process 17</c:v>
                </c:pt>
                <c:pt idx="14">
                  <c:v>Process 18</c:v>
                </c:pt>
                <c:pt idx="15">
                  <c:v>Process 19</c:v>
                </c:pt>
                <c:pt idx="16">
                  <c:v>Process 20</c:v>
                </c:pt>
                <c:pt idx="17">
                  <c:v>Process 3</c:v>
                </c:pt>
                <c:pt idx="18">
                  <c:v>Process 2</c:v>
                </c:pt>
                <c:pt idx="19">
                  <c:v>Process 1</c:v>
                </c:pt>
              </c:strCache>
            </c:strRef>
          </c:cat>
          <c:val>
            <c:numRef>
              <c:f>Prozesse!$C$29:$C$48</c:f>
              <c:numCache>
                <c:formatCode>General</c:formatCode>
                <c:ptCount val="20"/>
                <c:pt idx="0">
                  <c:v>10</c:v>
                </c:pt>
                <c:pt idx="1">
                  <c:v>9</c:v>
                </c:pt>
                <c:pt idx="2">
                  <c:v>8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6</c:v>
                </c:pt>
                <c:pt idx="17">
                  <c:v>5</c:v>
                </c:pt>
                <c:pt idx="18">
                  <c:v>3</c:v>
                </c:pt>
                <c:pt idx="1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DB-4BA9-B450-044C3F6BC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69796352"/>
        <c:axId val="-269784928"/>
      </c:barChart>
      <c:lineChart>
        <c:grouping val="standard"/>
        <c:varyColors val="0"/>
        <c:ser>
          <c:idx val="1"/>
          <c:order val="1"/>
          <c:tx>
            <c:strRef>
              <c:f>Prozesse!$E$28</c:f>
              <c:strCache>
                <c:ptCount val="1"/>
                <c:pt idx="0">
                  <c:v>Percentage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Prozesse!$E$29:$E$48</c:f>
              <c:numCache>
                <c:formatCode>0%</c:formatCode>
                <c:ptCount val="20"/>
                <c:pt idx="0">
                  <c:v>8.2644628099173556E-2</c:v>
                </c:pt>
                <c:pt idx="1">
                  <c:v>0.15702479338842976</c:v>
                </c:pt>
                <c:pt idx="2">
                  <c:v>0.2231404958677686</c:v>
                </c:pt>
                <c:pt idx="3">
                  <c:v>0.27272727272727271</c:v>
                </c:pt>
                <c:pt idx="4">
                  <c:v>0.32231404958677684</c:v>
                </c:pt>
                <c:pt idx="5">
                  <c:v>0.37190082644628097</c:v>
                </c:pt>
                <c:pt idx="6">
                  <c:v>0.42148760330578511</c:v>
                </c:pt>
                <c:pt idx="7">
                  <c:v>0.47107438016528924</c:v>
                </c:pt>
                <c:pt idx="8">
                  <c:v>0.52066115702479343</c:v>
                </c:pt>
                <c:pt idx="9">
                  <c:v>0.57024793388429762</c:v>
                </c:pt>
                <c:pt idx="10">
                  <c:v>0.61983471074380181</c:v>
                </c:pt>
                <c:pt idx="11">
                  <c:v>0.669421487603306</c:v>
                </c:pt>
                <c:pt idx="12">
                  <c:v>0.71900826446281019</c:v>
                </c:pt>
                <c:pt idx="13">
                  <c:v>0.76859504132231438</c:v>
                </c:pt>
                <c:pt idx="14">
                  <c:v>0.81818181818181857</c:v>
                </c:pt>
                <c:pt idx="15">
                  <c:v>0.86776859504132275</c:v>
                </c:pt>
                <c:pt idx="16">
                  <c:v>0.91735537190082694</c:v>
                </c:pt>
                <c:pt idx="17">
                  <c:v>0.95867768595041369</c:v>
                </c:pt>
                <c:pt idx="18">
                  <c:v>0.98347107438016579</c:v>
                </c:pt>
                <c:pt idx="19">
                  <c:v>1.0000000000000004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DB-4BA9-B450-044C3F6BC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69791456"/>
        <c:axId val="-269786560"/>
      </c:lineChart>
      <c:catAx>
        <c:axId val="-269796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69784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69784928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69796352"/>
        <c:crosses val="autoZero"/>
        <c:crossBetween val="between"/>
      </c:valAx>
      <c:catAx>
        <c:axId val="-269791456"/>
        <c:scaling>
          <c:orientation val="minMax"/>
        </c:scaling>
        <c:delete val="1"/>
        <c:axPos val="b"/>
        <c:majorTickMark val="none"/>
        <c:minorTickMark val="none"/>
        <c:tickLblPos val="nextTo"/>
        <c:crossAx val="-269786560"/>
        <c:crosses val="autoZero"/>
        <c:auto val="1"/>
        <c:lblAlgn val="ctr"/>
        <c:lblOffset val="100"/>
        <c:noMultiLvlLbl val="0"/>
      </c:catAx>
      <c:valAx>
        <c:axId val="-269786560"/>
        <c:scaling>
          <c:orientation val="minMax"/>
        </c:scaling>
        <c:delete val="0"/>
        <c:axPos val="r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69791456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orientation="landscape" verticalDpi="12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493797177062777E-2"/>
          <c:y val="9.4893660531241791E-2"/>
          <c:w val="0.83053562479904297"/>
          <c:h val="0.67490942682444011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Fehler!$B$29:$B$48</c:f>
              <c:strCache>
                <c:ptCount val="19"/>
                <c:pt idx="0">
                  <c:v>Error 18</c:v>
                </c:pt>
                <c:pt idx="1">
                  <c:v>Error 8</c:v>
                </c:pt>
                <c:pt idx="2">
                  <c:v>Error 17</c:v>
                </c:pt>
                <c:pt idx="3">
                  <c:v>Error 15</c:v>
                </c:pt>
                <c:pt idx="4">
                  <c:v>Error 1</c:v>
                </c:pt>
                <c:pt idx="5">
                  <c:v>Error 6</c:v>
                </c:pt>
                <c:pt idx="6">
                  <c:v>Error 13</c:v>
                </c:pt>
                <c:pt idx="7">
                  <c:v>Error 11</c:v>
                </c:pt>
                <c:pt idx="8">
                  <c:v>Error 12</c:v>
                </c:pt>
                <c:pt idx="9">
                  <c:v>Error 3</c:v>
                </c:pt>
                <c:pt idx="10">
                  <c:v>Error 10</c:v>
                </c:pt>
                <c:pt idx="11">
                  <c:v>Error 9</c:v>
                </c:pt>
                <c:pt idx="12">
                  <c:v>Error 5</c:v>
                </c:pt>
                <c:pt idx="13">
                  <c:v>Error 7</c:v>
                </c:pt>
                <c:pt idx="14">
                  <c:v>Error 4</c:v>
                </c:pt>
                <c:pt idx="15">
                  <c:v>Error 19</c:v>
                </c:pt>
                <c:pt idx="16">
                  <c:v>Error 14</c:v>
                </c:pt>
                <c:pt idx="17">
                  <c:v>Error 2</c:v>
                </c:pt>
                <c:pt idx="18">
                  <c:v>Error 16</c:v>
                </c:pt>
              </c:strCache>
            </c:strRef>
          </c:cat>
          <c:val>
            <c:numRef>
              <c:f>Fehler!$C$29:$C$48</c:f>
              <c:numCache>
                <c:formatCode>General</c:formatCode>
                <c:ptCount val="20"/>
                <c:pt idx="0">
                  <c:v>86</c:v>
                </c:pt>
                <c:pt idx="1">
                  <c:v>80</c:v>
                </c:pt>
                <c:pt idx="2">
                  <c:v>55</c:v>
                </c:pt>
                <c:pt idx="3">
                  <c:v>45</c:v>
                </c:pt>
                <c:pt idx="4">
                  <c:v>15</c:v>
                </c:pt>
                <c:pt idx="5">
                  <c:v>15</c:v>
                </c:pt>
                <c:pt idx="6">
                  <c:v>13</c:v>
                </c:pt>
                <c:pt idx="7">
                  <c:v>12</c:v>
                </c:pt>
                <c:pt idx="8">
                  <c:v>12</c:v>
                </c:pt>
                <c:pt idx="9">
                  <c:v>10</c:v>
                </c:pt>
                <c:pt idx="10">
                  <c:v>10</c:v>
                </c:pt>
                <c:pt idx="11">
                  <c:v>9</c:v>
                </c:pt>
                <c:pt idx="12">
                  <c:v>7</c:v>
                </c:pt>
                <c:pt idx="13">
                  <c:v>7</c:v>
                </c:pt>
                <c:pt idx="14">
                  <c:v>5</c:v>
                </c:pt>
                <c:pt idx="15">
                  <c:v>5</c:v>
                </c:pt>
                <c:pt idx="16">
                  <c:v>3</c:v>
                </c:pt>
                <c:pt idx="17">
                  <c:v>2</c:v>
                </c:pt>
                <c:pt idx="18">
                  <c:v>2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94-414C-9DC1-0E6C53ED86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69797984"/>
        <c:axId val="-269786016"/>
      </c:barChart>
      <c:lineChart>
        <c:grouping val="standard"/>
        <c:varyColors val="0"/>
        <c:ser>
          <c:idx val="1"/>
          <c:order val="1"/>
          <c:tx>
            <c:strRef>
              <c:f>Fehler!$E$28</c:f>
              <c:strCache>
                <c:ptCount val="1"/>
                <c:pt idx="0">
                  <c:v>Percentage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Fehler!$E$29:$E$48</c:f>
              <c:numCache>
                <c:formatCode>0%</c:formatCode>
                <c:ptCount val="20"/>
                <c:pt idx="0">
                  <c:v>0.21882951653944022</c:v>
                </c:pt>
                <c:pt idx="1">
                  <c:v>0.42239185750636132</c:v>
                </c:pt>
                <c:pt idx="2">
                  <c:v>0.56234096692111957</c:v>
                </c:pt>
                <c:pt idx="3">
                  <c:v>0.67684478371501267</c:v>
                </c:pt>
                <c:pt idx="4">
                  <c:v>0.71501272264631033</c:v>
                </c:pt>
                <c:pt idx="5">
                  <c:v>0.75318066157760799</c:v>
                </c:pt>
                <c:pt idx="6">
                  <c:v>0.78625954198473269</c:v>
                </c:pt>
                <c:pt idx="7">
                  <c:v>0.81679389312977091</c:v>
                </c:pt>
                <c:pt idx="8">
                  <c:v>0.84732824427480913</c:v>
                </c:pt>
                <c:pt idx="9">
                  <c:v>0.87277353689567427</c:v>
                </c:pt>
                <c:pt idx="10">
                  <c:v>0.89821882951653942</c:v>
                </c:pt>
                <c:pt idx="11">
                  <c:v>0.92111959287531808</c:v>
                </c:pt>
                <c:pt idx="12">
                  <c:v>0.93893129770992367</c:v>
                </c:pt>
                <c:pt idx="13">
                  <c:v>0.95674300254452926</c:v>
                </c:pt>
                <c:pt idx="14">
                  <c:v>0.96946564885496178</c:v>
                </c:pt>
                <c:pt idx="15">
                  <c:v>0.9821882951653943</c:v>
                </c:pt>
                <c:pt idx="16">
                  <c:v>0.98982188295165385</c:v>
                </c:pt>
                <c:pt idx="17">
                  <c:v>0.99491094147582693</c:v>
                </c:pt>
                <c:pt idx="18">
                  <c:v>1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94-414C-9DC1-0E6C53ED86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69794176"/>
        <c:axId val="-269795808"/>
      </c:lineChart>
      <c:catAx>
        <c:axId val="-269797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69786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69786016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69797984"/>
        <c:crosses val="autoZero"/>
        <c:crossBetween val="between"/>
      </c:valAx>
      <c:catAx>
        <c:axId val="-269794176"/>
        <c:scaling>
          <c:orientation val="minMax"/>
        </c:scaling>
        <c:delete val="1"/>
        <c:axPos val="b"/>
        <c:majorTickMark val="none"/>
        <c:minorTickMark val="none"/>
        <c:tickLblPos val="nextTo"/>
        <c:crossAx val="-269795808"/>
        <c:crosses val="autoZero"/>
        <c:auto val="1"/>
        <c:lblAlgn val="ctr"/>
        <c:lblOffset val="100"/>
        <c:noMultiLvlLbl val="0"/>
      </c:catAx>
      <c:valAx>
        <c:axId val="-269795808"/>
        <c:scaling>
          <c:orientation val="minMax"/>
        </c:scaling>
        <c:delete val="0"/>
        <c:axPos val="r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69794176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orientation="landscape" verticalDpi="12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988473156183941E-2"/>
          <c:y val="1.8661835657191927E-2"/>
          <c:w val="0.8940788423344892"/>
          <c:h val="0.93655514293398667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DAB3-46D8-B555-A861B549FE66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DAB3-46D8-B555-A861B549FE66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DAB3-46D8-B555-A861B549FE66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DAB3-46D8-B555-A861B549FE66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DAB3-46D8-B555-A861B549FE66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DAB3-46D8-B555-A861B549FE66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DAB3-46D8-B555-A861B549FE66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DAB3-46D8-B555-A861B549FE66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DAB3-46D8-B555-A861B549FE66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DAB3-46D8-B555-A861B549FE66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DAB3-46D8-B555-A861B549FE66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DAB3-46D8-B555-A861B549FE66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DAB3-46D8-B555-A861B549FE66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DAB3-46D8-B555-A861B549FE66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DAB3-46D8-B555-A861B549FE66}"/>
              </c:ext>
            </c:extLst>
          </c:dPt>
          <c:dLbls>
            <c:dLbl>
              <c:idx val="0"/>
              <c:layout>
                <c:manualLayout>
                  <c:x val="-0.12115817547764009"/>
                  <c:y val="0"/>
                </c:manualLayout>
              </c:layout>
              <c:tx>
                <c:strRef>
                  <c:f>Stakeholder!$B$5</c:f>
                  <c:strCache>
                    <c:ptCount val="1"/>
                    <c:pt idx="0">
                      <c:v>s1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{8C67098F-AC08-48E5-A25E-F4D51427C750}</c15:txfldGUID>
                      <c15:f>Stakeholder!$B$5</c15:f>
                      <c15:dlblFieldTableCache>
                        <c:ptCount val="1"/>
                        <c:pt idx="0">
                          <c:v>s1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DAB3-46D8-B555-A861B549FE66}"/>
                </c:ext>
              </c:extLst>
            </c:dLbl>
            <c:dLbl>
              <c:idx val="1"/>
              <c:layout>
                <c:manualLayout>
                  <c:x val="-0.1154842611424285"/>
                  <c:y val="0"/>
                </c:manualLayout>
              </c:layout>
              <c:tx>
                <c:strRef>
                  <c:f>Stakeholder!$B$6</c:f>
                  <c:strCache>
                    <c:ptCount val="1"/>
                    <c:pt idx="0">
                      <c:v>s2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{022758D9-E93F-4323-9141-420E5CA28963}</c15:txfldGUID>
                      <c15:f>Stakeholder!$B$6</c15:f>
                      <c15:dlblFieldTableCache>
                        <c:ptCount val="1"/>
                        <c:pt idx="0">
                          <c:v>s2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DAB3-46D8-B555-A861B549FE66}"/>
                </c:ext>
              </c:extLst>
            </c:dLbl>
            <c:dLbl>
              <c:idx val="2"/>
              <c:layout>
                <c:manualLayout>
                  <c:x val="-0.13897813845274293"/>
                  <c:y val="1.0499622265317761E-2"/>
                </c:manualLayout>
              </c:layout>
              <c:tx>
                <c:strRef>
                  <c:f>Stakeholder!$B$7</c:f>
                  <c:strCache>
                    <c:ptCount val="1"/>
                    <c:pt idx="0">
                      <c:v>s3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{D01D2DAA-1DE2-4F51-B53E-5C003F2E5F12}</c15:txfldGUID>
                      <c15:f>Stakeholder!$B$7</c15:f>
                      <c15:dlblFieldTableCache>
                        <c:ptCount val="1"/>
                        <c:pt idx="0">
                          <c:v>s3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DAB3-46D8-B555-A861B549FE66}"/>
                </c:ext>
              </c:extLst>
            </c:dLbl>
            <c:dLbl>
              <c:idx val="3"/>
              <c:layout>
                <c:manualLayout>
                  <c:x val="-9.0939443846193138E-2"/>
                  <c:y val="-2.5517730165035011E-3"/>
                </c:manualLayout>
              </c:layout>
              <c:tx>
                <c:strRef>
                  <c:f>Stakeholder!$B$8</c:f>
                  <c:strCache>
                    <c:ptCount val="1"/>
                    <c:pt idx="0">
                      <c:v>s4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{825CC74E-9475-417C-AE26-B724544ECEA9}</c15:txfldGUID>
                      <c15:f>Stakeholder!$B$8</c15:f>
                      <c15:dlblFieldTableCache>
                        <c:ptCount val="1"/>
                        <c:pt idx="0">
                          <c:v>s4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DAB3-46D8-B555-A861B549FE66}"/>
                </c:ext>
              </c:extLst>
            </c:dLbl>
            <c:dLbl>
              <c:idx val="4"/>
              <c:layout>
                <c:manualLayout>
                  <c:x val="-0.12287509302017695"/>
                  <c:y val="1.3952662445384238E-2"/>
                </c:manualLayout>
              </c:layout>
              <c:tx>
                <c:strRef>
                  <c:f>Stakeholder!$B$9</c:f>
                  <c:strCache>
                    <c:ptCount val="1"/>
                    <c:pt idx="0">
                      <c:v>s5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{EC0CF197-37CB-4AF9-A131-54F51F826D16}</c15:txfldGUID>
                      <c15:f>Stakeholder!$B$9</c15:f>
                      <c15:dlblFieldTableCache>
                        <c:ptCount val="1"/>
                        <c:pt idx="0">
                          <c:v>s5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DAB3-46D8-B555-A861B549FE66}"/>
                </c:ext>
              </c:extLst>
            </c:dLbl>
            <c:dLbl>
              <c:idx val="5"/>
              <c:layout>
                <c:manualLayout>
                  <c:x val="-0.14533772694471586"/>
                  <c:y val="1.4749262536873156E-2"/>
                </c:manualLayout>
              </c:layout>
              <c:tx>
                <c:strRef>
                  <c:f>Stakeholder!$B$10</c:f>
                  <c:strCache>
                    <c:ptCount val="1"/>
                    <c:pt idx="0">
                      <c:v>s6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{C42A551C-1ACB-4692-8A13-C137DA716D66}</c15:txfldGUID>
                      <c15:f>Stakeholder!$B$10</c15:f>
                      <c15:dlblFieldTableCache>
                        <c:ptCount val="1"/>
                        <c:pt idx="0">
                          <c:v>s6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DAB3-46D8-B555-A861B549FE66}"/>
                </c:ext>
              </c:extLst>
            </c:dLbl>
            <c:dLbl>
              <c:idx val="6"/>
              <c:tx>
                <c:strRef>
                  <c:f>Stakeholder!$C$11</c:f>
                  <c:strCache>
                    <c:ptCount val="1"/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{58252627-B7C9-4AEB-BF8E-723C5C422830}</c15:txfldGUID>
                      <c15:f>Stakeholder!$C$11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DAB3-46D8-B555-A861B549FE66}"/>
                </c:ext>
              </c:extLst>
            </c:dLbl>
            <c:dLbl>
              <c:idx val="7"/>
              <c:layout>
                <c:manualLayout>
                  <c:x val="-0.19249918577696037"/>
                  <c:y val="-8.8495575221238937E-3"/>
                </c:manualLayout>
              </c:layout>
              <c:tx>
                <c:strRef>
                  <c:f>Stakeholder!$B$12</c:f>
                  <c:strCache>
                    <c:ptCount val="1"/>
                    <c:pt idx="0">
                      <c:v>s8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{30106E0E-489F-4C49-8C4D-A8ACE3593952}</c15:txfldGUID>
                      <c15:f>Stakeholder!$B$12</c15:f>
                      <c15:dlblFieldTableCache>
                        <c:ptCount val="1"/>
                        <c:pt idx="0">
                          <c:v>s8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DAB3-46D8-B555-A861B549FE66}"/>
                </c:ext>
              </c:extLst>
            </c:dLbl>
            <c:dLbl>
              <c:idx val="8"/>
              <c:layout>
                <c:manualLayout>
                  <c:x val="-0.13391584527697264"/>
                  <c:y val="2.9148656121248937E-3"/>
                </c:manualLayout>
              </c:layout>
              <c:tx>
                <c:strRef>
                  <c:f>Stakeholder!$B$13</c:f>
                  <c:strCache>
                    <c:ptCount val="1"/>
                    <c:pt idx="0">
                      <c:v>s9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{4332D673-AE54-4F28-836B-EBFF02CDFCCC}</c15:txfldGUID>
                      <c15:f>Stakeholder!$B$13</c15:f>
                      <c15:dlblFieldTableCache>
                        <c:ptCount val="1"/>
                        <c:pt idx="0">
                          <c:v>s9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DAB3-46D8-B555-A861B549FE66}"/>
                </c:ext>
              </c:extLst>
            </c:dLbl>
            <c:dLbl>
              <c:idx val="9"/>
              <c:layout>
                <c:manualLayout>
                  <c:x val="-0.14014687545281485"/>
                  <c:y val="-1.1869436201780416E-2"/>
                </c:manualLayout>
              </c:layout>
              <c:tx>
                <c:strRef>
                  <c:f>Stakeholder!$B$14</c:f>
                  <c:strCache>
                    <c:ptCount val="1"/>
                    <c:pt idx="0">
                      <c:v>s10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{D88220A6-82F6-4CDF-8E3F-9FDD46976576}</c15:txfldGUID>
                      <c15:f>Stakeholder!$B$14</c15:f>
                      <c15:dlblFieldTableCache>
                        <c:ptCount val="1"/>
                        <c:pt idx="0">
                          <c:v>s10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DAB3-46D8-B555-A861B549FE66}"/>
                </c:ext>
              </c:extLst>
            </c:dLbl>
            <c:dLbl>
              <c:idx val="10"/>
              <c:layout>
                <c:manualLayout>
                  <c:x val="-0.14232276947779585"/>
                  <c:y val="2.0132869148032691E-3"/>
                </c:manualLayout>
              </c:layout>
              <c:tx>
                <c:strRef>
                  <c:f>Stakeholder!$B$15</c:f>
                  <c:strCache>
                    <c:ptCount val="1"/>
                    <c:pt idx="0">
                      <c:v>s11</c:v>
                    </c:pt>
                  </c:strCache>
                </c:strRef>
              </c:tx>
              <c:numFmt formatCode="General" sourceLinked="0"/>
              <c:spPr>
                <a:ln>
                  <a:noFill/>
                </a:ln>
              </c:spPr>
              <c:txPr>
                <a:bodyPr rot="0" anchor="ctr" anchorCtr="1"/>
                <a:lstStyle/>
                <a:p>
                  <a:pPr algn="ctr" rtl="0">
                    <a:defRPr lang="en-US" sz="14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{D64C31A1-C4CF-4286-914D-729CBA305520}</c15:txfldGUID>
                      <c15:f>Stakeholder!$B$15</c15:f>
                      <c15:dlblFieldTableCache>
                        <c:ptCount val="1"/>
                        <c:pt idx="0">
                          <c:v>s11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DAB3-46D8-B555-A861B549FE66}"/>
                </c:ext>
              </c:extLst>
            </c:dLbl>
            <c:dLbl>
              <c:idx val="11"/>
              <c:layout>
                <c:manualLayout>
                  <c:x val="-0.14379873181313135"/>
                  <c:y val="8.8495837130151012E-3"/>
                </c:manualLayout>
              </c:layout>
              <c:tx>
                <c:strRef>
                  <c:f>Stakeholder!$B$16</c:f>
                  <c:strCache>
                    <c:ptCount val="1"/>
                    <c:pt idx="0">
                      <c:v>s12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{DDE1E5F1-3841-486D-AB50-6E377FB1FBAB}</c15:txfldGUID>
                      <c15:f>Stakeholder!$B$16</c15:f>
                      <c15:dlblFieldTableCache>
                        <c:ptCount val="1"/>
                        <c:pt idx="0">
                          <c:v>s12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DAB3-46D8-B555-A861B549FE66}"/>
                </c:ext>
              </c:extLst>
            </c:dLbl>
            <c:dLbl>
              <c:idx val="12"/>
              <c:layout>
                <c:manualLayout>
                  <c:x val="-0.15042782952225492"/>
                  <c:y val="-3.0198524887653138E-3"/>
                </c:manualLayout>
              </c:layout>
              <c:tx>
                <c:strRef>
                  <c:f>Stakeholder!$B$17</c:f>
                  <c:strCache>
                    <c:ptCount val="1"/>
                    <c:pt idx="0">
                      <c:v>s13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{1C8CC038-43A2-4169-B53D-DCABEFB5B9B0}</c15:txfldGUID>
                      <c15:f>Stakeholder!$B$17</c15:f>
                      <c15:dlblFieldTableCache>
                        <c:ptCount val="1"/>
                        <c:pt idx="0">
                          <c:v>s13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DAB3-46D8-B555-A861B549FE66}"/>
                </c:ext>
              </c:extLst>
            </c:dLbl>
            <c:dLbl>
              <c:idx val="13"/>
              <c:layout>
                <c:manualLayout>
                  <c:x val="-0.12557727610711694"/>
                  <c:y val="-3.8514918572863854E-3"/>
                </c:manualLayout>
              </c:layout>
              <c:tx>
                <c:strRef>
                  <c:f>Stakeholder!$B$18</c:f>
                  <c:strCache>
                    <c:ptCount val="1"/>
                    <c:pt idx="0">
                      <c:v>s14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{CDCA5907-A0BA-42BC-AE87-3950512A5448}</c15:txfldGUID>
                      <c15:f>Stakeholder!$B$18</c15:f>
                      <c15:dlblFieldTableCache>
                        <c:ptCount val="1"/>
                        <c:pt idx="0">
                          <c:v>s14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DAB3-46D8-B555-A861B549FE66}"/>
                </c:ext>
              </c:extLst>
            </c:dLbl>
            <c:dLbl>
              <c:idx val="14"/>
              <c:layout>
                <c:manualLayout>
                  <c:x val="-0.13468413199758569"/>
                  <c:y val="5.8996705530503053E-3"/>
                </c:manualLayout>
              </c:layout>
              <c:tx>
                <c:strRef>
                  <c:f>Stakeholder!$B$19</c:f>
                  <c:strCache>
                    <c:ptCount val="1"/>
                    <c:pt idx="0">
                      <c:v>s15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{F4EB8FD1-007B-4EE6-8D13-57166891662A}</c15:txfldGUID>
                      <c15:f>Stakeholder!$B$19</c15:f>
                      <c15:dlblFieldTableCache>
                        <c:ptCount val="1"/>
                        <c:pt idx="0">
                          <c:v>s15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DAB3-46D8-B555-A861B549FE66}"/>
                </c:ext>
              </c:extLst>
            </c:dLbl>
            <c:dLbl>
              <c:idx val="15"/>
              <c:layout>
                <c:manualLayout>
                  <c:x val="-0.15875984614012245"/>
                  <c:y val="1.9209015786973215E-2"/>
                </c:manualLayout>
              </c:layout>
              <c:tx>
                <c:strRef>
                  <c:f>Stakeholder!$B$20</c:f>
                  <c:strCache>
                    <c:ptCount val="1"/>
                    <c:pt idx="0">
                      <c:v>s16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{F3BC5700-EB3F-4901-8595-6E72D6358F02}</c15:txfldGUID>
                      <c15:f>Stakeholder!$B$20</c15:f>
                      <c15:dlblFieldTableCache>
                        <c:ptCount val="1"/>
                        <c:pt idx="0">
                          <c:v>s16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DAB3-46D8-B555-A861B549FE66}"/>
                </c:ext>
              </c:extLst>
            </c:dLbl>
            <c:dLbl>
              <c:idx val="16"/>
              <c:layout>
                <c:manualLayout>
                  <c:x val="-0.13325790948870578"/>
                  <c:y val="2.9148656121248937E-3"/>
                </c:manualLayout>
              </c:layout>
              <c:tx>
                <c:strRef>
                  <c:f>Stakeholder!$B$21</c:f>
                  <c:strCache>
                    <c:ptCount val="1"/>
                    <c:pt idx="0">
                      <c:v>s17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{2FBD0AE4-BCC0-4703-BEFC-4FB06CD3CB8D}</c15:txfldGUID>
                      <c15:f>Stakeholder!$B$21</c15:f>
                      <c15:dlblFieldTableCache>
                        <c:ptCount val="1"/>
                        <c:pt idx="0">
                          <c:v>s17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DAB3-46D8-B555-A861B549FE66}"/>
                </c:ext>
              </c:extLst>
            </c:dLbl>
            <c:dLbl>
              <c:idx val="17"/>
              <c:layout>
                <c:manualLayout>
                  <c:x val="-0.14763003874494207"/>
                  <c:y val="1.2806062446941907E-2"/>
                </c:manualLayout>
              </c:layout>
              <c:tx>
                <c:strRef>
                  <c:f>Stakeholder!$B$22</c:f>
                  <c:strCache>
                    <c:ptCount val="1"/>
                    <c:pt idx="0">
                      <c:v>s18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{E7856F46-B041-43E1-BA32-D1284460076A}</c15:txfldGUID>
                      <c15:f>Stakeholder!$B$22</c15:f>
                      <c15:dlblFieldTableCache>
                        <c:ptCount val="1"/>
                        <c:pt idx="0">
                          <c:v>s18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DAB3-46D8-B555-A861B549FE66}"/>
                </c:ext>
              </c:extLst>
            </c:dLbl>
            <c:dLbl>
              <c:idx val="18"/>
              <c:layout>
                <c:manualLayout>
                  <c:x val="-0.14983824876495563"/>
                  <c:y val="9.9612919304967826E-3"/>
                </c:manualLayout>
              </c:layout>
              <c:tx>
                <c:strRef>
                  <c:f>Stakeholder!$B$23</c:f>
                  <c:strCache>
                    <c:ptCount val="1"/>
                    <c:pt idx="0">
                      <c:v>s19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{86F98A0C-9A96-45C1-A969-19A4B0D3F10B}</c15:txfldGUID>
                      <c15:f>Stakeholder!$B$23</c15:f>
                      <c15:dlblFieldTableCache>
                        <c:ptCount val="1"/>
                        <c:pt idx="0">
                          <c:v>s19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DAB3-46D8-B555-A861B549FE66}"/>
                </c:ext>
              </c:extLst>
            </c:dLbl>
            <c:dLbl>
              <c:idx val="19"/>
              <c:layout>
                <c:manualLayout>
                  <c:x val="-0.14422911534144528"/>
                  <c:y val="-2.9148656121248937E-3"/>
                </c:manualLayout>
              </c:layout>
              <c:tx>
                <c:strRef>
                  <c:f>Stakeholder!$B$24</c:f>
                  <c:strCache>
                    <c:ptCount val="1"/>
                    <c:pt idx="0">
                      <c:v>s20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{1EB43F3E-7461-4167-8212-127E3DC5AC31}</c15:txfldGUID>
                      <c15:f>Stakeholder!$B$24</c15:f>
                      <c15:dlblFieldTableCache>
                        <c:ptCount val="1"/>
                        <c:pt idx="0">
                          <c:v>s20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DAB3-46D8-B555-A861B549FE66}"/>
                </c:ext>
              </c:extLst>
            </c:dLbl>
            <c:numFmt formatCode="General" sourceLinked="0"/>
            <c:spPr>
              <a:ln>
                <a:noFill/>
              </a:ln>
            </c:spPr>
            <c:txPr>
              <a:bodyPr rot="0" anchor="ctr" anchorCtr="1"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Stakeholder!$D$5:$D$24</c:f>
              <c:numCache>
                <c:formatCode>0</c:formatCode>
                <c:ptCount val="20"/>
                <c:pt idx="0">
                  <c:v>8.1818181818181817</c:v>
                </c:pt>
                <c:pt idx="1">
                  <c:v>5</c:v>
                </c:pt>
                <c:pt idx="2">
                  <c:v>9.0909090909090899</c:v>
                </c:pt>
              </c:numCache>
            </c:numRef>
          </c:xVal>
          <c:yVal>
            <c:numRef>
              <c:f>Stakeholder!$E$5:$E$24</c:f>
              <c:numCache>
                <c:formatCode>0</c:formatCode>
                <c:ptCount val="20"/>
                <c:pt idx="0">
                  <c:v>4</c:v>
                </c:pt>
                <c:pt idx="1">
                  <c:v>6</c:v>
                </c:pt>
                <c:pt idx="2">
                  <c:v>8</c:v>
                </c:pt>
              </c:numCache>
            </c:numRef>
          </c:yVal>
          <c:bubbleSize>
            <c:numRef>
              <c:f>Stakeholder!$K$5:$K$24</c:f>
              <c:numCache>
                <c:formatCode>General</c:formatCode>
                <c:ptCount val="20"/>
                <c:pt idx="0">
                  <c:v>2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DAB3-46D8-B555-A861B549FE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269789280"/>
        <c:axId val="-269788736"/>
      </c:bubbleChart>
      <c:valAx>
        <c:axId val="-269789280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-269788736"/>
        <c:crosses val="autoZero"/>
        <c:crossBetween val="midCat"/>
        <c:majorUnit val="1"/>
        <c:minorUnit val="0.1"/>
      </c:valAx>
      <c:valAx>
        <c:axId val="-269788736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-26978928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493797177062777E-2"/>
          <c:y val="9.4893660531241791E-2"/>
          <c:w val="0.83053562479904297"/>
          <c:h val="0.67490942682444011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Reklamationen!$B$29:$B$48</c:f>
              <c:strCache>
                <c:ptCount val="20"/>
                <c:pt idx="0">
                  <c:v>Reklamation 18</c:v>
                </c:pt>
                <c:pt idx="1">
                  <c:v>Reklamation 8</c:v>
                </c:pt>
                <c:pt idx="2">
                  <c:v>Reklamation 17</c:v>
                </c:pt>
                <c:pt idx="3">
                  <c:v>Reklamation 15</c:v>
                </c:pt>
                <c:pt idx="4">
                  <c:v>Reklamation 1</c:v>
                </c:pt>
                <c:pt idx="5">
                  <c:v>Reklamation 6</c:v>
                </c:pt>
                <c:pt idx="6">
                  <c:v>Reklamation 13</c:v>
                </c:pt>
                <c:pt idx="7">
                  <c:v>Reklamation 11</c:v>
                </c:pt>
                <c:pt idx="8">
                  <c:v>Reklamation 12</c:v>
                </c:pt>
                <c:pt idx="9">
                  <c:v>Reklamation 3</c:v>
                </c:pt>
                <c:pt idx="10">
                  <c:v>Reklamation 10</c:v>
                </c:pt>
                <c:pt idx="11">
                  <c:v>Reklamation 9</c:v>
                </c:pt>
                <c:pt idx="12">
                  <c:v>Reklamation 5</c:v>
                </c:pt>
                <c:pt idx="13">
                  <c:v>Reklamation 7</c:v>
                </c:pt>
                <c:pt idx="14">
                  <c:v>Reklamation 4</c:v>
                </c:pt>
                <c:pt idx="15">
                  <c:v>Reklamation 19</c:v>
                </c:pt>
                <c:pt idx="16">
                  <c:v>Reklamation 14</c:v>
                </c:pt>
                <c:pt idx="17">
                  <c:v>Reklamation 20</c:v>
                </c:pt>
                <c:pt idx="18">
                  <c:v>Reklamation 2</c:v>
                </c:pt>
                <c:pt idx="19">
                  <c:v>Reklamation 16</c:v>
                </c:pt>
              </c:strCache>
            </c:strRef>
          </c:cat>
          <c:val>
            <c:numRef>
              <c:f>Reklamationen!$C$29:$C$48</c:f>
              <c:numCache>
                <c:formatCode>General</c:formatCode>
                <c:ptCount val="20"/>
                <c:pt idx="0">
                  <c:v>86</c:v>
                </c:pt>
                <c:pt idx="1">
                  <c:v>80</c:v>
                </c:pt>
                <c:pt idx="2">
                  <c:v>55</c:v>
                </c:pt>
                <c:pt idx="3">
                  <c:v>45</c:v>
                </c:pt>
                <c:pt idx="4">
                  <c:v>15</c:v>
                </c:pt>
                <c:pt idx="5">
                  <c:v>15</c:v>
                </c:pt>
                <c:pt idx="6">
                  <c:v>13</c:v>
                </c:pt>
                <c:pt idx="7">
                  <c:v>12</c:v>
                </c:pt>
                <c:pt idx="8">
                  <c:v>12</c:v>
                </c:pt>
                <c:pt idx="9">
                  <c:v>10</c:v>
                </c:pt>
                <c:pt idx="10">
                  <c:v>10</c:v>
                </c:pt>
                <c:pt idx="11">
                  <c:v>9</c:v>
                </c:pt>
                <c:pt idx="12">
                  <c:v>7</c:v>
                </c:pt>
                <c:pt idx="13">
                  <c:v>7</c:v>
                </c:pt>
                <c:pt idx="14">
                  <c:v>5</c:v>
                </c:pt>
                <c:pt idx="15">
                  <c:v>5</c:v>
                </c:pt>
                <c:pt idx="16">
                  <c:v>3</c:v>
                </c:pt>
                <c:pt idx="17">
                  <c:v>3</c:v>
                </c:pt>
                <c:pt idx="18">
                  <c:v>2</c:v>
                </c:pt>
                <c:pt idx="1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9E-4049-8273-9334C671C4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69787104"/>
        <c:axId val="-269796896"/>
      </c:barChart>
      <c:lineChart>
        <c:grouping val="standard"/>
        <c:varyColors val="0"/>
        <c:ser>
          <c:idx val="1"/>
          <c:order val="1"/>
          <c:tx>
            <c:strRef>
              <c:f>Reklamationen!$E$28</c:f>
              <c:strCache>
                <c:ptCount val="1"/>
                <c:pt idx="0">
                  <c:v>Percentage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Reklamationen!$E$29:$E$48</c:f>
              <c:numCache>
                <c:formatCode>0%</c:formatCode>
                <c:ptCount val="20"/>
                <c:pt idx="0">
                  <c:v>0.21717171717171718</c:v>
                </c:pt>
                <c:pt idx="1">
                  <c:v>0.41919191919191923</c:v>
                </c:pt>
                <c:pt idx="2">
                  <c:v>0.55808080808080818</c:v>
                </c:pt>
                <c:pt idx="3">
                  <c:v>0.67171717171717182</c:v>
                </c:pt>
                <c:pt idx="4">
                  <c:v>0.70959595959595967</c:v>
                </c:pt>
                <c:pt idx="5">
                  <c:v>0.74747474747474751</c:v>
                </c:pt>
                <c:pt idx="6">
                  <c:v>0.78030303030303039</c:v>
                </c:pt>
                <c:pt idx="7">
                  <c:v>0.81060606060606066</c:v>
                </c:pt>
                <c:pt idx="8">
                  <c:v>0.84090909090909094</c:v>
                </c:pt>
                <c:pt idx="9">
                  <c:v>0.86616161616161624</c:v>
                </c:pt>
                <c:pt idx="10">
                  <c:v>0.89141414141414155</c:v>
                </c:pt>
                <c:pt idx="11">
                  <c:v>0.91414141414141425</c:v>
                </c:pt>
                <c:pt idx="12">
                  <c:v>0.93181818181818188</c:v>
                </c:pt>
                <c:pt idx="13">
                  <c:v>0.9494949494949495</c:v>
                </c:pt>
                <c:pt idx="14">
                  <c:v>0.96212121212121215</c:v>
                </c:pt>
                <c:pt idx="15">
                  <c:v>0.97474747474747481</c:v>
                </c:pt>
                <c:pt idx="16">
                  <c:v>0.98232323232323238</c:v>
                </c:pt>
                <c:pt idx="17">
                  <c:v>0.98989898989898994</c:v>
                </c:pt>
                <c:pt idx="18">
                  <c:v>0.99494949494949503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9E-4049-8273-9334C671C4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74454880"/>
        <c:axId val="-208900128"/>
      </c:lineChart>
      <c:catAx>
        <c:axId val="-269787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69796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69796896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69787104"/>
        <c:crosses val="autoZero"/>
        <c:crossBetween val="between"/>
      </c:valAx>
      <c:catAx>
        <c:axId val="-274454880"/>
        <c:scaling>
          <c:orientation val="minMax"/>
        </c:scaling>
        <c:delete val="1"/>
        <c:axPos val="b"/>
        <c:majorTickMark val="none"/>
        <c:minorTickMark val="none"/>
        <c:tickLblPos val="nextTo"/>
        <c:crossAx val="-208900128"/>
        <c:crosses val="autoZero"/>
        <c:auto val="1"/>
        <c:lblAlgn val="ctr"/>
        <c:lblOffset val="100"/>
        <c:noMultiLvlLbl val="0"/>
      </c:catAx>
      <c:valAx>
        <c:axId val="-208900128"/>
        <c:scaling>
          <c:orientation val="minMax"/>
        </c:scaling>
        <c:delete val="0"/>
        <c:axPos val="r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74454880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orientation="landscape" verticalDpi="12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>
              <a:solidFill>
                <a:schemeClr val="accent2">
                  <a:lumMod val="40000"/>
                  <a:lumOff val="60000"/>
                </a:schemeClr>
              </a:solidFill>
            </a:ln>
          </c:spPr>
          <c:marker>
            <c:symbol val="circle"/>
            <c:size val="9"/>
            <c:spPr>
              <a:solidFill>
                <a:srgbClr val="FF0000"/>
              </a:solidFill>
            </c:spPr>
          </c:marker>
          <c:val>
            <c:numRef>
              <c:f>Benchmark!$E$5:$E$34</c:f>
              <c:numCache>
                <c:formatCode>General</c:formatCode>
                <c:ptCount val="30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-1</c:v>
                </c:pt>
                <c:pt idx="4">
                  <c:v>-3</c:v>
                </c:pt>
                <c:pt idx="5">
                  <c:v>1</c:v>
                </c:pt>
                <c:pt idx="6">
                  <c:v>-3</c:v>
                </c:pt>
                <c:pt idx="7">
                  <c:v>3</c:v>
                </c:pt>
                <c:pt idx="8">
                  <c:v>1</c:v>
                </c:pt>
                <c:pt idx="9">
                  <c:v>-1</c:v>
                </c:pt>
                <c:pt idx="10">
                  <c:v>2</c:v>
                </c:pt>
                <c:pt idx="11">
                  <c:v>-1</c:v>
                </c:pt>
                <c:pt idx="12">
                  <c:v>0</c:v>
                </c:pt>
                <c:pt idx="13">
                  <c:v>-2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E7-4698-95CA-56DCB706C18F}"/>
            </c:ext>
          </c:extLst>
        </c:ser>
        <c:ser>
          <c:idx val="1"/>
          <c:order val="1"/>
          <c:spPr>
            <a:ln w="22225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diamond"/>
            <c:size val="8"/>
            <c:spPr>
              <a:solidFill>
                <a:schemeClr val="tx2"/>
              </a:solidFill>
              <a:ln>
                <a:noFill/>
              </a:ln>
            </c:spPr>
          </c:marker>
          <c:val>
            <c:numRef>
              <c:f>Benchmark!$F$5:$F$34</c:f>
              <c:numCache>
                <c:formatCode>General</c:formatCode>
                <c:ptCount val="30"/>
                <c:pt idx="0">
                  <c:v>1</c:v>
                </c:pt>
                <c:pt idx="1">
                  <c:v>3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E7-4698-95CA-56DCB706C1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8896864"/>
        <c:axId val="-208899584"/>
      </c:lineChart>
      <c:catAx>
        <c:axId val="-208896864"/>
        <c:scaling>
          <c:orientation val="minMax"/>
        </c:scaling>
        <c:delete val="1"/>
        <c:axPos val="b"/>
        <c:majorTickMark val="none"/>
        <c:minorTickMark val="none"/>
        <c:tickLblPos val="nextTo"/>
        <c:crossAx val="-208899584"/>
        <c:crosses val="max"/>
        <c:auto val="1"/>
        <c:lblAlgn val="ctr"/>
        <c:lblOffset val="100"/>
        <c:noMultiLvlLbl val="0"/>
      </c:catAx>
      <c:valAx>
        <c:axId val="-208899584"/>
        <c:scaling>
          <c:orientation val="maxMin"/>
          <c:max val="3"/>
          <c:min val="-3"/>
        </c:scaling>
        <c:delete val="0"/>
        <c:axPos val="l"/>
        <c:majorGridlines>
          <c:spPr>
            <a:ln>
              <a:solidFill>
                <a:schemeClr val="accent1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1200" b="1"/>
            </a:pPr>
            <a:endParaRPr lang="fr-FR"/>
          </a:p>
        </c:txPr>
        <c:crossAx val="-208896864"/>
        <c:crosses val="autoZero"/>
        <c:crossBetween val="between"/>
        <c:majorUnit val="1"/>
        <c:minorUnit val="0.1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632378399508571"/>
          <c:y val="6.7637738192824898E-2"/>
          <c:w val="0.58180025369169275"/>
          <c:h val="0.89329052189422975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cat>
            <c:strRef>
              <c:f>Trends!$C$5:$C$10</c:f>
              <c:strCache>
                <c:ptCount val="6"/>
                <c:pt idx="0">
                  <c:v>Tendances politiques</c:v>
                </c:pt>
                <c:pt idx="1">
                  <c:v>Tendances économiques</c:v>
                </c:pt>
                <c:pt idx="2">
                  <c:v>Tendances sociologiques</c:v>
                </c:pt>
                <c:pt idx="3">
                  <c:v>Tendances technologiques</c:v>
                </c:pt>
                <c:pt idx="4">
                  <c:v>Tendances écologiques</c:v>
                </c:pt>
                <c:pt idx="5">
                  <c:v>Tendances légales</c:v>
                </c:pt>
              </c:strCache>
            </c:strRef>
          </c:cat>
          <c:val>
            <c:numRef>
              <c:f>Trends!$D$5:$D$10</c:f>
              <c:numCache>
                <c:formatCode>0.00</c:formatCode>
                <c:ptCount val="6"/>
                <c:pt idx="0">
                  <c:v>3</c:v>
                </c:pt>
                <c:pt idx="1">
                  <c:v>0.1</c:v>
                </c:pt>
                <c:pt idx="2">
                  <c:v>1</c:v>
                </c:pt>
                <c:pt idx="3">
                  <c:v>3</c:v>
                </c:pt>
                <c:pt idx="4">
                  <c:v>0.1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01-42CC-87EF-BCA282845B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8902848"/>
        <c:axId val="-208901216"/>
      </c:radarChart>
      <c:catAx>
        <c:axId val="-208902848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-208901216"/>
        <c:crosses val="autoZero"/>
        <c:auto val="1"/>
        <c:lblAlgn val="ctr"/>
        <c:lblOffset val="100"/>
        <c:noMultiLvlLbl val="0"/>
      </c:catAx>
      <c:valAx>
        <c:axId val="-208901216"/>
        <c:scaling>
          <c:orientation val="minMax"/>
        </c:scaling>
        <c:delete val="0"/>
        <c:axPos val="l"/>
        <c:majorGridlines/>
        <c:numFmt formatCode="0.00" sourceLinked="1"/>
        <c:majorTickMark val="cross"/>
        <c:minorTickMark val="none"/>
        <c:tickLblPos val="nextTo"/>
        <c:crossAx val="-208902848"/>
        <c:crosses val="autoZero"/>
        <c:crossBetween val="between"/>
        <c:majorUnit val="1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>
              <a:solidFill>
                <a:schemeClr val="accent1">
                  <a:lumMod val="60000"/>
                  <a:lumOff val="40000"/>
                </a:schemeClr>
              </a:solidFill>
            </a:ln>
          </c:spPr>
          <c:marker>
            <c:symbol val="circle"/>
            <c:size val="9"/>
            <c:spPr>
              <a:solidFill>
                <a:schemeClr val="tx2"/>
              </a:solidFill>
            </c:spPr>
          </c:marker>
          <c:val>
            <c:numRef>
              <c:f>Potenzial!$E$6:$E$35</c:f>
              <c:numCache>
                <c:formatCode>General</c:formatCode>
                <c:ptCount val="30"/>
                <c:pt idx="0">
                  <c:v>1</c:v>
                </c:pt>
                <c:pt idx="1">
                  <c:v>3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6C-4034-8099-6DD778B0FF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8889792"/>
        <c:axId val="-208891968"/>
      </c:lineChart>
      <c:catAx>
        <c:axId val="-208889792"/>
        <c:scaling>
          <c:orientation val="minMax"/>
        </c:scaling>
        <c:delete val="1"/>
        <c:axPos val="b"/>
        <c:majorTickMark val="none"/>
        <c:minorTickMark val="none"/>
        <c:tickLblPos val="nextTo"/>
        <c:crossAx val="-208891968"/>
        <c:crosses val="max"/>
        <c:auto val="1"/>
        <c:lblAlgn val="ctr"/>
        <c:lblOffset val="100"/>
        <c:noMultiLvlLbl val="0"/>
      </c:catAx>
      <c:valAx>
        <c:axId val="-208891968"/>
        <c:scaling>
          <c:orientation val="maxMin"/>
          <c:max val="3"/>
          <c:min val="0"/>
        </c:scaling>
        <c:delete val="0"/>
        <c:axPos val="l"/>
        <c:majorGridlines>
          <c:spPr>
            <a:ln>
              <a:solidFill>
                <a:schemeClr val="accent1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1200" b="1"/>
            </a:pPr>
            <a:endParaRPr lang="fr-FR"/>
          </a:p>
        </c:txPr>
        <c:crossAx val="-208889792"/>
        <c:crosses val="autoZero"/>
        <c:crossBetween val="between"/>
        <c:majorUnit val="1"/>
        <c:minorUnit val="0.1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15875">
              <a:solidFill>
                <a:schemeClr val="accent1">
                  <a:lumMod val="60000"/>
                  <a:lumOff val="40000"/>
                </a:schemeClr>
              </a:solidFill>
            </a:ln>
          </c:spPr>
          <c:marker>
            <c:symbol val="circle"/>
            <c:size val="12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800">
                    <a:solidFill>
                      <a:schemeClr val="accent1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'Swot-Analyse'!$D$6:$D$23</c:f>
              <c:numCache>
                <c:formatCode>0</c:formatCode>
                <c:ptCount val="18"/>
                <c:pt idx="0">
                  <c:v>5</c:v>
                </c:pt>
                <c:pt idx="1">
                  <c:v>3</c:v>
                </c:pt>
                <c:pt idx="2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A2-4DE6-A527-4CA2ECDCDB7D}"/>
            </c:ext>
          </c:extLst>
        </c:ser>
        <c:ser>
          <c:idx val="1"/>
          <c:order val="1"/>
          <c:spPr>
            <a:ln w="15875">
              <a:solidFill>
                <a:schemeClr val="accent6">
                  <a:lumMod val="60000"/>
                  <a:lumOff val="40000"/>
                </a:schemeClr>
              </a:solidFill>
            </a:ln>
          </c:spPr>
          <c:marker>
            <c:symbol val="square"/>
            <c:size val="11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80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'Swot-Analyse'!$H$6:$H$23</c:f>
              <c:numCache>
                <c:formatCode>0</c:formatCode>
                <c:ptCount val="18"/>
                <c:pt idx="0">
                  <c:v>-5</c:v>
                </c:pt>
                <c:pt idx="1">
                  <c:v>-4</c:v>
                </c:pt>
                <c:pt idx="2">
                  <c:v>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A2-4DE6-A527-4CA2ECDCDB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8890880"/>
        <c:axId val="-208899040"/>
      </c:lineChart>
      <c:catAx>
        <c:axId val="-208890880"/>
        <c:scaling>
          <c:orientation val="minMax"/>
        </c:scaling>
        <c:delete val="1"/>
        <c:axPos val="b"/>
        <c:majorTickMark val="none"/>
        <c:minorTickMark val="none"/>
        <c:tickLblPos val="nextTo"/>
        <c:crossAx val="-208899040"/>
        <c:crosses val="max"/>
        <c:auto val="1"/>
        <c:lblAlgn val="ctr"/>
        <c:lblOffset val="100"/>
        <c:noMultiLvlLbl val="0"/>
      </c:catAx>
      <c:valAx>
        <c:axId val="-208899040"/>
        <c:scaling>
          <c:orientation val="maxMin"/>
          <c:max val="5"/>
          <c:min val="-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900" b="0"/>
            </a:pPr>
            <a:endParaRPr lang="fr-FR"/>
          </a:p>
        </c:txPr>
        <c:crossAx val="-208890880"/>
        <c:crosses val="autoZero"/>
        <c:crossBetween val="between"/>
        <c:majorUnit val="1"/>
        <c:minorUnit val="0.1"/>
      </c:valAx>
    </c:plotArea>
    <c:plotVisOnly val="1"/>
    <c:dispBlanksAs val="gap"/>
    <c:showDLblsOverMax val="0"/>
  </c:chart>
  <c:spPr>
    <a:ln w="3175">
      <a:solidFill>
        <a:schemeClr val="bg1">
          <a:lumMod val="85000"/>
        </a:schemeClr>
      </a:solidFill>
    </a:ln>
  </c:sp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15875">
              <a:solidFill>
                <a:schemeClr val="accent2">
                  <a:lumMod val="40000"/>
                  <a:lumOff val="60000"/>
                </a:schemeClr>
              </a:solidFill>
            </a:ln>
          </c:spPr>
          <c:marker>
            <c:symbol val="circle"/>
            <c:size val="12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800">
                    <a:solidFill>
                      <a:srgbClr val="C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'Swot-Analyse'!$D$25:$D$42</c:f>
              <c:numCache>
                <c:formatCode>0</c:formatCode>
                <c:ptCount val="18"/>
                <c:pt idx="0">
                  <c:v>3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1-4FC2-A8C8-C4B626312C96}"/>
            </c:ext>
          </c:extLst>
        </c:ser>
        <c:ser>
          <c:idx val="1"/>
          <c:order val="1"/>
          <c:spPr>
            <a:ln w="15875"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11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vert="horz"/>
              <a:lstStyle/>
              <a:p>
                <a:pPr>
                  <a:defRPr sz="800">
                    <a:solidFill>
                      <a:schemeClr val="accent4">
                        <a:lumMod val="75000"/>
                      </a:schemeClr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'Swot-Analyse'!$H$25:$H$42</c:f>
              <c:numCache>
                <c:formatCode>0</c:formatCode>
                <c:ptCount val="18"/>
                <c:pt idx="0">
                  <c:v>-2</c:v>
                </c:pt>
                <c:pt idx="1">
                  <c:v>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1-4FC2-A8C8-C4B626312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8891424"/>
        <c:axId val="-208898496"/>
      </c:lineChart>
      <c:catAx>
        <c:axId val="-208891424"/>
        <c:scaling>
          <c:orientation val="minMax"/>
        </c:scaling>
        <c:delete val="1"/>
        <c:axPos val="b"/>
        <c:majorTickMark val="none"/>
        <c:minorTickMark val="none"/>
        <c:tickLblPos val="nextTo"/>
        <c:crossAx val="-208898496"/>
        <c:crosses val="max"/>
        <c:auto val="1"/>
        <c:lblAlgn val="ctr"/>
        <c:lblOffset val="100"/>
        <c:noMultiLvlLbl val="0"/>
      </c:catAx>
      <c:valAx>
        <c:axId val="-208898496"/>
        <c:scaling>
          <c:orientation val="maxMin"/>
          <c:max val="5"/>
          <c:min val="-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900" b="0"/>
            </a:pPr>
            <a:endParaRPr lang="fr-FR"/>
          </a:p>
        </c:txPr>
        <c:crossAx val="-208891424"/>
        <c:crosses val="autoZero"/>
        <c:crossBetween val="between"/>
        <c:majorUnit val="1"/>
        <c:minorUnit val="0.1"/>
      </c:valAx>
    </c:plotArea>
    <c:plotVisOnly val="1"/>
    <c:dispBlanksAs val="gap"/>
    <c:showDLblsOverMax val="0"/>
  </c:chart>
  <c:spPr>
    <a:ln w="3175">
      <a:solidFill>
        <a:schemeClr val="bg1">
          <a:lumMod val="85000"/>
        </a:schemeClr>
      </a:solidFill>
    </a:ln>
  </c:sp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chemeClr val="accent1">
                <a:alpha val="50000"/>
              </a:schemeClr>
            </a:solidFill>
            <a:ln w="22225"/>
          </c:spPr>
          <c:cat>
            <c:strRef>
              <c:f>Forces!$B$62:$B$70</c:f>
              <c:strCache>
                <c:ptCount val="9"/>
                <c:pt idx="0">
                  <c:v>CUSTOMER RELATIONSHIP</c:v>
                </c:pt>
                <c:pt idx="1">
                  <c:v>REVENUE STREAMS</c:v>
                </c:pt>
                <c:pt idx="2">
                  <c:v>COST STRUCTURE</c:v>
                </c:pt>
                <c:pt idx="3">
                  <c:v>CUSTOMER SEGMENTS</c:v>
                </c:pt>
                <c:pt idx="4">
                  <c:v>CHANNELS</c:v>
                </c:pt>
                <c:pt idx="5">
                  <c:v>CUSTOMER RELATIONSHIP</c:v>
                </c:pt>
                <c:pt idx="6">
                  <c:v>KEY RESSOURCES</c:v>
                </c:pt>
                <c:pt idx="7">
                  <c:v>KEY ACTIVITIES</c:v>
                </c:pt>
                <c:pt idx="8">
                  <c:v>KEY PARTNERSHIP</c:v>
                </c:pt>
              </c:strCache>
            </c:strRef>
          </c:cat>
          <c:val>
            <c:numRef>
              <c:f>Forces!$C$62:$C$70</c:f>
              <c:numCache>
                <c:formatCode>General</c:formatCode>
                <c:ptCount val="9"/>
                <c:pt idx="0">
                  <c:v>3.25</c:v>
                </c:pt>
                <c:pt idx="1">
                  <c:v>3.125</c:v>
                </c:pt>
                <c:pt idx="2">
                  <c:v>3.25</c:v>
                </c:pt>
                <c:pt idx="3">
                  <c:v>2</c:v>
                </c:pt>
                <c:pt idx="4">
                  <c:v>1.5714285714285714</c:v>
                </c:pt>
                <c:pt idx="5">
                  <c:v>2.875</c:v>
                </c:pt>
                <c:pt idx="6">
                  <c:v>1.3333333333333333</c:v>
                </c:pt>
                <c:pt idx="7">
                  <c:v>0.75</c:v>
                </c:pt>
                <c:pt idx="8">
                  <c:v>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E2-4FD9-B8F2-AD26DB15D7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8889248"/>
        <c:axId val="-208901760"/>
      </c:radarChart>
      <c:catAx>
        <c:axId val="-208889248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-208901760"/>
        <c:crosses val="autoZero"/>
        <c:auto val="1"/>
        <c:lblAlgn val="ctr"/>
        <c:lblOffset val="100"/>
        <c:noMultiLvlLbl val="0"/>
      </c:catAx>
      <c:valAx>
        <c:axId val="-208901760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-208889248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5C05-420C-83F4-61EC1F1309A0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5C05-420C-83F4-61EC1F1309A0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5C05-420C-83F4-61EC1F1309A0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5C05-420C-83F4-61EC1F1309A0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5C05-420C-83F4-61EC1F1309A0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5C05-420C-83F4-61EC1F1309A0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5C05-420C-83F4-61EC1F1309A0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5C05-420C-83F4-61EC1F1309A0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5C05-420C-83F4-61EC1F1309A0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5C05-420C-83F4-61EC1F1309A0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5C05-420C-83F4-61EC1F1309A0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5C05-420C-83F4-61EC1F1309A0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5C05-420C-83F4-61EC1F1309A0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5C05-420C-83F4-61EC1F1309A0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5C05-420C-83F4-61EC1F1309A0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5C05-420C-83F4-61EC1F1309A0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5C05-420C-83F4-61EC1F1309A0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5C05-420C-83F4-61EC1F1309A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5C05-420C-83F4-61EC1F1309A0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5C05-420C-83F4-61EC1F1309A0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5C05-420C-83F4-61EC1F1309A0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5C05-420C-83F4-61EC1F1309A0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5C05-420C-83F4-61EC1F1309A0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5C05-420C-83F4-61EC1F1309A0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5C05-420C-83F4-61EC1F1309A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5C05-420C-83F4-61EC1F1309A0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5C05-420C-83F4-61EC1F1309A0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5C05-420C-83F4-61EC1F1309A0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5C05-420C-83F4-61EC1F1309A0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5C05-420C-83F4-61EC1F1309A0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Forces!$A$118:$A$121</c:f>
              <c:numCache>
                <c:formatCode>General</c:formatCode>
                <c:ptCount val="4"/>
                <c:pt idx="0">
                  <c:v>9</c:v>
                </c:pt>
                <c:pt idx="1">
                  <c:v>7</c:v>
                </c:pt>
                <c:pt idx="2">
                  <c:v>5</c:v>
                </c:pt>
                <c:pt idx="3">
                  <c:v>3</c:v>
                </c:pt>
              </c:numCache>
            </c:numRef>
          </c:xVal>
          <c:yVal>
            <c:numRef>
              <c:f>Forces!$B$118:$B$121</c:f>
              <c:numCache>
                <c:formatCode>General</c:formatCode>
                <c:ptCount val="4"/>
                <c:pt idx="0">
                  <c:v>3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</c:numCache>
            </c:numRef>
          </c:yVal>
          <c:bubbleSize>
            <c:numRef>
              <c:f>Forces!$C$118:$C$121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5C05-420C-83F4-61EC1F1309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210601968"/>
        <c:axId val="-210602512"/>
      </c:bubbleChart>
      <c:valAx>
        <c:axId val="-210601968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210602512"/>
        <c:crosses val="autoZero"/>
        <c:crossBetween val="midCat"/>
        <c:majorUnit val="1"/>
        <c:minorUnit val="0.1"/>
      </c:valAx>
      <c:valAx>
        <c:axId val="-210602512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210601968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C749-425F-8C47-AFB7DEF2FCCA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C749-425F-8C47-AFB7DEF2FCCA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C749-425F-8C47-AFB7DEF2FCCA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C749-425F-8C47-AFB7DEF2FCCA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C749-425F-8C47-AFB7DEF2FCCA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C749-425F-8C47-AFB7DEF2FCCA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C749-425F-8C47-AFB7DEF2FCCA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C749-425F-8C47-AFB7DEF2FCCA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C749-425F-8C47-AFB7DEF2FCCA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C749-425F-8C47-AFB7DEF2FCCA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C749-425F-8C47-AFB7DEF2FCCA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C749-425F-8C47-AFB7DEF2FCCA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C749-425F-8C47-AFB7DEF2FCCA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C749-425F-8C47-AFB7DEF2FCCA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C749-425F-8C47-AFB7DEF2FCCA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749-425F-8C47-AFB7DEF2FCCA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749-425F-8C47-AFB7DEF2FCCA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749-425F-8C47-AFB7DEF2FCC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2.4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749-425F-8C47-AFB7DEF2FCCA}"/>
                </c:ext>
              </c:extLst>
            </c:dLbl>
            <c:dLbl>
              <c:idx val="4"/>
              <c:layout>
                <c:manualLayout>
                  <c:x val="-0.13352953308096621"/>
                  <c:y val="-1.220496514614161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749-425F-8C47-AFB7DEF2FCCA}"/>
                </c:ext>
              </c:extLst>
            </c:dLbl>
            <c:dLbl>
              <c:idx val="5"/>
              <c:layout>
                <c:manualLayout>
                  <c:x val="-0.1388947007387194"/>
                  <c:y val="8.8742815213403454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749-425F-8C47-AFB7DEF2FCCA}"/>
                </c:ext>
              </c:extLst>
            </c:dLbl>
            <c:dLbl>
              <c:idx val="6"/>
              <c:layout>
                <c:manualLayout>
                  <c:x val="-0.1283153074659521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749-425F-8C47-AFB7DEF2FCCA}"/>
                </c:ext>
              </c:extLst>
            </c:dLbl>
            <c:dLbl>
              <c:idx val="7"/>
              <c:layout>
                <c:manualLayout>
                  <c:x val="-0.12219393511883324"/>
                  <c:y val="1.663996575761281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749-425F-8C47-AFB7DEF2FCCA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749-425F-8C47-AFB7DEF2FCCA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749-425F-8C47-AFB7DEF2FCCA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749-425F-8C47-AFB7DEF2FCCA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749-425F-8C47-AFB7DEF2FCCA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C749-425F-8C47-AFB7DEF2FCCA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C749-425F-8C47-AFB7DEF2FCCA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C749-425F-8C47-AFB7DEF2FCCA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Forces!$A$123:$A$130</c:f>
              <c:numCache>
                <c:formatCode>General</c:formatCode>
                <c:ptCount val="8"/>
                <c:pt idx="0">
                  <c:v>5</c:v>
                </c:pt>
                <c:pt idx="1">
                  <c:v>4</c:v>
                </c:pt>
                <c:pt idx="2">
                  <c:v>8</c:v>
                </c:pt>
                <c:pt idx="3">
                  <c:v>8</c:v>
                </c:pt>
                <c:pt idx="4">
                  <c:v>5</c:v>
                </c:pt>
                <c:pt idx="5">
                  <c:v>9</c:v>
                </c:pt>
                <c:pt idx="6">
                  <c:v>5</c:v>
                </c:pt>
                <c:pt idx="7">
                  <c:v>7</c:v>
                </c:pt>
              </c:numCache>
            </c:numRef>
          </c:xVal>
          <c:yVal>
            <c:numRef>
              <c:f>Forces!$B$123:$B$130</c:f>
              <c:numCache>
                <c:formatCode>General</c:formatCode>
                <c:ptCount val="8"/>
                <c:pt idx="0">
                  <c:v>5</c:v>
                </c:pt>
                <c:pt idx="1">
                  <c:v>2</c:v>
                </c:pt>
                <c:pt idx="2">
                  <c:v>4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2</c:v>
                </c:pt>
                <c:pt idx="7">
                  <c:v>3</c:v>
                </c:pt>
              </c:numCache>
            </c:numRef>
          </c:yVal>
          <c:bubbleSize>
            <c:numRef>
              <c:f>Forces!$C$123:$C$130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C749-425F-8C47-AFB7DEF2FC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210601424"/>
        <c:axId val="-210592176"/>
      </c:bubbleChart>
      <c:valAx>
        <c:axId val="-210601424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210592176"/>
        <c:crosses val="autoZero"/>
        <c:crossBetween val="midCat"/>
        <c:majorUnit val="1"/>
        <c:minorUnit val="0.1"/>
      </c:valAx>
      <c:valAx>
        <c:axId val="-210592176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21060142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4904-4B1C-93BB-231B635694CA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4904-4B1C-93BB-231B635694CA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4904-4B1C-93BB-231B635694CA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4904-4B1C-93BB-231B635694CA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4904-4B1C-93BB-231B635694CA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4904-4B1C-93BB-231B635694CA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4904-4B1C-93BB-231B635694CA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4904-4B1C-93BB-231B635694CA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4904-4B1C-93BB-231B635694CA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4904-4B1C-93BB-231B635694CA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4904-4B1C-93BB-231B635694CA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4904-4B1C-93BB-231B635694CA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4904-4B1C-93BB-231B635694CA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4904-4B1C-93BB-231B635694CA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4904-4B1C-93BB-231B635694CA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4904-4B1C-93BB-231B635694CA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4904-4B1C-93BB-231B635694CA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4904-4B1C-93BB-231B635694C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4904-4B1C-93BB-231B635694CA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4904-4B1C-93BB-231B635694CA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4904-4B1C-93BB-231B635694CA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4904-4B1C-93BB-231B635694CA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4904-4B1C-93BB-231B635694CA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4904-4B1C-93BB-231B635694CA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4904-4B1C-93BB-231B635694CA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4904-4B1C-93BB-231B635694CA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4904-4B1C-93BB-231B635694CA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4904-4B1C-93BB-231B635694CA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4904-4B1C-93BB-231B635694CA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4904-4B1C-93BB-231B635694CA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Forces!$A$132:$A$135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</c:numCache>
            </c:numRef>
          </c:xVal>
          <c:yVal>
            <c:numRef>
              <c:f>Forces!$B$132:$B$135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2</c:v>
                </c:pt>
                <c:pt idx="3">
                  <c:v>2</c:v>
                </c:pt>
              </c:numCache>
            </c:numRef>
          </c:yVal>
          <c:bubbleSize>
            <c:numRef>
              <c:f>Forces!$C$132:$C$135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4904-4B1C-93BB-231B63569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210595440"/>
        <c:axId val="-210605232"/>
      </c:bubbleChart>
      <c:valAx>
        <c:axId val="-21059544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210605232"/>
        <c:crosses val="autoZero"/>
        <c:crossBetween val="midCat"/>
        <c:majorUnit val="1"/>
        <c:minorUnit val="0.1"/>
      </c:valAx>
      <c:valAx>
        <c:axId val="-210605232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21059544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B5B5-4909-B2E4-A28D7ED17CB7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B5B5-4909-B2E4-A28D7ED17CB7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B5B5-4909-B2E4-A28D7ED17CB7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B5B5-4909-B2E4-A28D7ED17CB7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B5B5-4909-B2E4-A28D7ED17CB7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B5B5-4909-B2E4-A28D7ED17CB7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B5B5-4909-B2E4-A28D7ED17CB7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5B5-4909-B2E4-A28D7ED17CB7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5B5-4909-B2E4-A28D7ED17CB7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B5B5-4909-B2E4-A28D7ED17CB7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B5B5-4909-B2E4-A28D7ED17CB7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B5B5-4909-B2E4-A28D7ED17CB7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B5B5-4909-B2E4-A28D7ED17CB7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B5B5-4909-B2E4-A28D7ED17CB7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B5B5-4909-B2E4-A28D7ED17CB7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B5B5-4909-B2E4-A28D7ED17CB7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B5B5-4909-B2E4-A28D7ED17CB7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B5B5-4909-B2E4-A28D7ED17CB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B5B5-4909-B2E4-A28D7ED17CB7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B5B5-4909-B2E4-A28D7ED17CB7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B5B5-4909-B2E4-A28D7ED17CB7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B5B5-4909-B2E4-A28D7ED17CB7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B5B5-4909-B2E4-A28D7ED17CB7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B5B5-4909-B2E4-A28D7ED17CB7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B5B5-4909-B2E4-A28D7ED17CB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B5B5-4909-B2E4-A28D7ED17CB7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B5B5-4909-B2E4-A28D7ED17CB7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B5B5-4909-B2E4-A28D7ED17CB7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B5B5-4909-B2E4-A28D7ED17CB7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B5B5-4909-B2E4-A28D7ED17CB7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Forces!$A$137:$A$139</c:f>
              <c:numCache>
                <c:formatCode>General</c:formatCode>
                <c:ptCount val="3"/>
                <c:pt idx="0">
                  <c:v>5</c:v>
                </c:pt>
                <c:pt idx="1">
                  <c:v>5</c:v>
                </c:pt>
                <c:pt idx="2">
                  <c:v>5</c:v>
                </c:pt>
              </c:numCache>
            </c:numRef>
          </c:xVal>
          <c:yVal>
            <c:numRef>
              <c:f>Forces!$B$137:$B$139</c:f>
              <c:numCache>
                <c:formatCode>General</c:formatCode>
                <c:ptCount val="3"/>
                <c:pt idx="0">
                  <c:v>3</c:v>
                </c:pt>
                <c:pt idx="1">
                  <c:v>2</c:v>
                </c:pt>
                <c:pt idx="2">
                  <c:v>1</c:v>
                </c:pt>
              </c:numCache>
            </c:numRef>
          </c:yVal>
          <c:bubbleSize>
            <c:numRef>
              <c:f>Forces!$C$137:$C$139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B5B5-4909-B2E4-A28D7ED17C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210593808"/>
        <c:axId val="-210606864"/>
      </c:bubbleChart>
      <c:valAx>
        <c:axId val="-210593808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210606864"/>
        <c:crosses val="autoZero"/>
        <c:crossBetween val="midCat"/>
        <c:majorUnit val="1"/>
        <c:minorUnit val="0.1"/>
      </c:valAx>
      <c:valAx>
        <c:axId val="-210606864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210593808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7C6-41E5-9EB0-54394C284384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7C6-41E5-9EB0-54394C284384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A7C6-41E5-9EB0-54394C284384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A7C6-41E5-9EB0-54394C284384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A7C6-41E5-9EB0-54394C284384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A7C6-41E5-9EB0-54394C284384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A7C6-41E5-9EB0-54394C284384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A7C6-41E5-9EB0-54394C284384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A7C6-41E5-9EB0-54394C284384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A7C6-41E5-9EB0-54394C284384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A7C6-41E5-9EB0-54394C284384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A7C6-41E5-9EB0-54394C284384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A7C6-41E5-9EB0-54394C284384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A7C6-41E5-9EB0-54394C284384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A7C6-41E5-9EB0-54394C284384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A7C6-41E5-9EB0-54394C284384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A7C6-41E5-9EB0-54394C284384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A7C6-41E5-9EB0-54394C284384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5.4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A7C6-41E5-9EB0-54394C284384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5.5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A7C6-41E5-9EB0-54394C284384}"/>
                </c:ext>
              </c:extLst>
            </c:dLbl>
            <c:dLbl>
              <c:idx val="5"/>
              <c:layout>
                <c:manualLayout>
                  <c:x val="-0.13414974048429978"/>
                  <c:y val="-1.44227711874770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A7C6-41E5-9EB0-54394C284384}"/>
                </c:ext>
              </c:extLst>
            </c:dLbl>
            <c:dLbl>
              <c:idx val="6"/>
              <c:layout>
                <c:manualLayout>
                  <c:x val="-0.12831568108486988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A7C6-41E5-9EB0-54394C284384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A7C6-41E5-9EB0-54394C284384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A7C6-41E5-9EB0-54394C284384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A7C6-41E5-9EB0-54394C284384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A7C6-41E5-9EB0-54394C284384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A7C6-41E5-9EB0-54394C284384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A7C6-41E5-9EB0-54394C284384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A7C6-41E5-9EB0-54394C284384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A7C6-41E5-9EB0-54394C284384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Forces!$A$141:$A$147</c:f>
              <c:numCache>
                <c:formatCode>General</c:formatCode>
                <c:ptCount val="7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</c:numCache>
            </c:numRef>
          </c:xVal>
          <c:yVal>
            <c:numRef>
              <c:f>Forces!$B$141:$B$147</c:f>
              <c:numCache>
                <c:formatCode>General</c:formatCode>
                <c:ptCount val="7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2</c:v>
                </c:pt>
              </c:numCache>
            </c:numRef>
          </c:yVal>
          <c:bubbleSize>
            <c:numRef>
              <c:f>Forces!$C$141:$C$147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A7C6-41E5-9EB0-54394C2843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210606320"/>
        <c:axId val="-210597072"/>
      </c:bubbleChart>
      <c:valAx>
        <c:axId val="-21060632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210597072"/>
        <c:crosses val="autoZero"/>
        <c:crossBetween val="midCat"/>
        <c:majorUnit val="1"/>
        <c:minorUnit val="0.1"/>
      </c:valAx>
      <c:valAx>
        <c:axId val="-210597072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21060632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2BB-44EA-98CB-2660AF093AC8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2BB-44EA-98CB-2660AF093AC8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A2BB-44EA-98CB-2660AF093AC8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A2BB-44EA-98CB-2660AF093AC8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A2BB-44EA-98CB-2660AF093AC8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A2BB-44EA-98CB-2660AF093AC8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A2BB-44EA-98CB-2660AF093AC8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A2BB-44EA-98CB-2660AF093AC8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A2BB-44EA-98CB-2660AF093AC8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A2BB-44EA-98CB-2660AF093AC8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A2BB-44EA-98CB-2660AF093AC8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A2BB-44EA-98CB-2660AF093AC8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A2BB-44EA-98CB-2660AF093AC8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A2BB-44EA-98CB-2660AF093AC8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A2BB-44EA-98CB-2660AF093AC8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A2BB-44EA-98CB-2660AF093AC8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A2BB-44EA-98CB-2660AF093AC8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A2BB-44EA-98CB-2660AF093AC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6.4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A2BB-44EA-98CB-2660AF093AC8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A2BB-44EA-98CB-2660AF093AC8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A2BB-44EA-98CB-2660AF093AC8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A2BB-44EA-98CB-2660AF093AC8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A2BB-44EA-98CB-2660AF093AC8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A2BB-44EA-98CB-2660AF093AC8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A2BB-44EA-98CB-2660AF093AC8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A2BB-44EA-98CB-2660AF093AC8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A2BB-44EA-98CB-2660AF093AC8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A2BB-44EA-98CB-2660AF093AC8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A2BB-44EA-98CB-2660AF093AC8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A2BB-44EA-98CB-2660AF093AC8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Forces!$A$149:$A$152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</c:numCache>
            </c:numRef>
          </c:xVal>
          <c:yVal>
            <c:numRef>
              <c:f>Forces!$B$149:$B$152</c:f>
              <c:numCache>
                <c:formatCode>General</c:formatCode>
                <c:ptCount val="4"/>
                <c:pt idx="1">
                  <c:v>4</c:v>
                </c:pt>
                <c:pt idx="2">
                  <c:v>2</c:v>
                </c:pt>
              </c:numCache>
            </c:numRef>
          </c:yVal>
          <c:bubbleSize>
            <c:numRef>
              <c:f>Forces!$C$149:$C$152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A2BB-44EA-98CB-2660AF093A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210600880"/>
        <c:axId val="-210604144"/>
      </c:bubbleChart>
      <c:valAx>
        <c:axId val="-21060088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210604144"/>
        <c:crosses val="autoZero"/>
        <c:crossBetween val="midCat"/>
        <c:majorUnit val="1"/>
        <c:minorUnit val="0.1"/>
      </c:valAx>
      <c:valAx>
        <c:axId val="-210604144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21060088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7D6B-4817-95BB-E514B0807825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7D6B-4817-95BB-E514B0807825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7D6B-4817-95BB-E514B0807825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7D6B-4817-95BB-E514B0807825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7D6B-4817-95BB-E514B0807825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7D6B-4817-95BB-E514B0807825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7D6B-4817-95BB-E514B0807825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7D6B-4817-95BB-E514B0807825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7D6B-4817-95BB-E514B0807825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7D6B-4817-95BB-E514B0807825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7D6B-4817-95BB-E514B0807825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7D6B-4817-95BB-E514B0807825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7D6B-4817-95BB-E514B0807825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7D6B-4817-95BB-E514B0807825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7D6B-4817-95BB-E514B0807825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7D6B-4817-95BB-E514B0807825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7D6B-4817-95BB-E514B0807825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7D6B-4817-95BB-E514B080782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7D6B-4817-95BB-E514B0807825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7D6B-4817-95BB-E514B0807825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7D6B-4817-95BB-E514B0807825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7D6B-4817-95BB-E514B0807825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7D6B-4817-95BB-E514B0807825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7D6B-4817-95BB-E514B0807825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7D6B-4817-95BB-E514B0807825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7D6B-4817-95BB-E514B0807825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7D6B-4817-95BB-E514B0807825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7D6B-4817-95BB-E514B0807825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7D6B-4817-95BB-E514B0807825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7D6B-4817-95BB-E514B0807825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Forces!$A$154:$A$156</c:f>
              <c:numCache>
                <c:formatCode>General</c:formatCode>
                <c:ptCount val="3"/>
                <c:pt idx="0">
                  <c:v>5</c:v>
                </c:pt>
                <c:pt idx="1">
                  <c:v>5</c:v>
                </c:pt>
                <c:pt idx="2">
                  <c:v>5</c:v>
                </c:pt>
              </c:numCache>
            </c:numRef>
          </c:xVal>
          <c:yVal>
            <c:numRef>
              <c:f>Forces!$B$154:$B$156</c:f>
              <c:numCache>
                <c:formatCode>General</c:formatCode>
                <c:ptCount val="3"/>
                <c:pt idx="0">
                  <c:v>4</c:v>
                </c:pt>
              </c:numCache>
            </c:numRef>
          </c:yVal>
          <c:bubbleSize>
            <c:numRef>
              <c:f>Forces!$C$154:$C$156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7D6B-4817-95BB-E514B08078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210599792"/>
        <c:axId val="-210599248"/>
      </c:bubbleChart>
      <c:valAx>
        <c:axId val="-210599792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210599248"/>
        <c:crosses val="autoZero"/>
        <c:crossBetween val="midCat"/>
        <c:majorUnit val="1"/>
        <c:minorUnit val="0.1"/>
      </c:valAx>
      <c:valAx>
        <c:axId val="-210599248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210599792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3D5C-4841-8C62-0D5AD9DEF16A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3D5C-4841-8C62-0D5AD9DEF16A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3D5C-4841-8C62-0D5AD9DEF16A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3D5C-4841-8C62-0D5AD9DEF16A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3D5C-4841-8C62-0D5AD9DEF16A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3D5C-4841-8C62-0D5AD9DEF16A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3D5C-4841-8C62-0D5AD9DEF16A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3D5C-4841-8C62-0D5AD9DEF16A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3D5C-4841-8C62-0D5AD9DEF16A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3D5C-4841-8C62-0D5AD9DEF16A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3D5C-4841-8C62-0D5AD9DEF16A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3D5C-4841-8C62-0D5AD9DEF16A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3D5C-4841-8C62-0D5AD9DEF16A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3D5C-4841-8C62-0D5AD9DEF16A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3D5C-4841-8C62-0D5AD9DEF16A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3D5C-4841-8C62-0D5AD9DEF16A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3D5C-4841-8C62-0D5AD9DEF16A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3D5C-4841-8C62-0D5AD9DEF16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8.4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3D5C-4841-8C62-0D5AD9DEF16A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3D5C-4841-8C62-0D5AD9DEF16A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3D5C-4841-8C62-0D5AD9DEF16A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3D5C-4841-8C62-0D5AD9DEF16A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3D5C-4841-8C62-0D5AD9DEF16A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3D5C-4841-8C62-0D5AD9DEF16A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3D5C-4841-8C62-0D5AD9DEF16A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3D5C-4841-8C62-0D5AD9DEF16A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3D5C-4841-8C62-0D5AD9DEF16A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3D5C-4841-8C62-0D5AD9DEF16A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3D5C-4841-8C62-0D5AD9DEF16A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3D5C-4841-8C62-0D5AD9DEF16A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Forces!$A$158:$A$161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</c:numCache>
            </c:numRef>
          </c:xVal>
          <c:yVal>
            <c:numRef>
              <c:f>Forces!$B$158:$B$161</c:f>
              <c:numCache>
                <c:formatCode>General</c:formatCode>
                <c:ptCount val="4"/>
                <c:pt idx="0">
                  <c:v>3</c:v>
                </c:pt>
              </c:numCache>
            </c:numRef>
          </c:yVal>
          <c:bubbleSize>
            <c:numRef>
              <c:f>Forces!$C$158:$C$161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3D5C-4841-8C62-0D5AD9DEF1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168744496"/>
        <c:axId val="-168747760"/>
      </c:bubbleChart>
      <c:valAx>
        <c:axId val="-168744496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168747760"/>
        <c:crosses val="autoZero"/>
        <c:crossBetween val="midCat"/>
        <c:majorUnit val="1"/>
        <c:minorUnit val="0.1"/>
      </c:valAx>
      <c:valAx>
        <c:axId val="-168747760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168744496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FFA4-4C88-9798-872AA18778D5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FFA4-4C88-9798-872AA18778D5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FFA4-4C88-9798-872AA18778D5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FFA4-4C88-9798-872AA18778D5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FFA4-4C88-9798-872AA18778D5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FFA4-4C88-9798-872AA18778D5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FFA4-4C88-9798-872AA18778D5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FFA4-4C88-9798-872AA18778D5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FFA4-4C88-9798-872AA18778D5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FFA4-4C88-9798-872AA18778D5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FFA4-4C88-9798-872AA18778D5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FFA4-4C88-9798-872AA18778D5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FFA4-4C88-9798-872AA18778D5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FFA4-4C88-9798-872AA18778D5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FFA4-4C88-9798-872AA18778D5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FFA4-4C88-9798-872AA18778D5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FFA4-4C88-9798-872AA18778D5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FFA4-4C88-9798-872AA18778D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FFA4-4C88-9798-872AA18778D5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FFA4-4C88-9798-872AA18778D5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FFA4-4C88-9798-872AA18778D5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FFA4-4C88-9798-872AA18778D5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FFA4-4C88-9798-872AA18778D5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FFA4-4C88-9798-872AA18778D5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FFA4-4C88-9798-872AA18778D5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FFA4-4C88-9798-872AA18778D5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FFA4-4C88-9798-872AA18778D5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FFA4-4C88-9798-872AA18778D5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FFA4-4C88-9798-872AA18778D5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FFA4-4C88-9798-872AA18778D5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Forces!$A$163:$A$164</c:f>
              <c:numCache>
                <c:formatCode>General</c:formatCode>
                <c:ptCount val="2"/>
                <c:pt idx="0">
                  <c:v>5</c:v>
                </c:pt>
                <c:pt idx="1">
                  <c:v>5</c:v>
                </c:pt>
              </c:numCache>
            </c:numRef>
          </c:xVal>
          <c:yVal>
            <c:numRef>
              <c:f>Forces!$B$163:$B$164</c:f>
              <c:numCache>
                <c:formatCode>General</c:formatCode>
                <c:ptCount val="2"/>
                <c:pt idx="1">
                  <c:v>3</c:v>
                </c:pt>
              </c:numCache>
            </c:numRef>
          </c:yVal>
          <c:bubbleSize>
            <c:numRef>
              <c:f>Forces!$C$163:$C$164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FFA4-4C88-9798-872AA18778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168747216"/>
        <c:axId val="-168753744"/>
      </c:bubbleChart>
      <c:valAx>
        <c:axId val="-168747216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168753744"/>
        <c:crosses val="autoZero"/>
        <c:crossBetween val="midCat"/>
        <c:majorUnit val="1"/>
        <c:minorUnit val="0.1"/>
      </c:valAx>
      <c:valAx>
        <c:axId val="-168753744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168747216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Forces!$I$115</c:f>
              <c:strCache>
                <c:ptCount val="1"/>
                <c:pt idx="0">
                  <c:v>Anzahl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>
                    <a:solidFill>
                      <a:schemeClr val="tx2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Forces!$H$116:$H$120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Forces!$I$116:$I$120</c:f>
              <c:numCache>
                <c:formatCode>_ * #,##0_ ;_ * \-#,##0_ ;_ * "-"??_ ;_ @_ </c:formatCode>
                <c:ptCount val="5"/>
                <c:pt idx="0">
                  <c:v>2</c:v>
                </c:pt>
                <c:pt idx="1">
                  <c:v>8</c:v>
                </c:pt>
                <c:pt idx="2">
                  <c:v>9</c:v>
                </c:pt>
                <c:pt idx="3">
                  <c:v>6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44-4FD0-B267-705DFF3567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68748304"/>
        <c:axId val="-168751568"/>
      </c:barChart>
      <c:catAx>
        <c:axId val="-1687483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-168751568"/>
        <c:crosses val="autoZero"/>
        <c:auto val="1"/>
        <c:lblAlgn val="ctr"/>
        <c:lblOffset val="100"/>
        <c:noMultiLvlLbl val="0"/>
      </c:catAx>
      <c:valAx>
        <c:axId val="-168751568"/>
        <c:scaling>
          <c:orientation val="minMax"/>
        </c:scaling>
        <c:delete val="0"/>
        <c:axPos val="b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-1687483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filled"/>
        <c:varyColors val="0"/>
        <c:ser>
          <c:idx val="0"/>
          <c:order val="0"/>
          <c:spPr>
            <a:solidFill>
              <a:schemeClr val="accent1">
                <a:alpha val="50000"/>
              </a:schemeClr>
            </a:solidFill>
            <a:ln w="22225"/>
          </c:spPr>
          <c:cat>
            <c:strRef>
              <c:f>Chances!$B$82:$B$90</c:f>
              <c:strCache>
                <c:ptCount val="9"/>
                <c:pt idx="0">
                  <c:v>CUSTOMER RELATIONSHIP</c:v>
                </c:pt>
                <c:pt idx="1">
                  <c:v>REVENUE STREAMS</c:v>
                </c:pt>
                <c:pt idx="2">
                  <c:v>COST STRUCTURE</c:v>
                </c:pt>
                <c:pt idx="3">
                  <c:v>CUSTOMER SEGMENTS</c:v>
                </c:pt>
                <c:pt idx="4">
                  <c:v>CHANNELS</c:v>
                </c:pt>
                <c:pt idx="5">
                  <c:v>CUSTOMER RELATIONSHIP</c:v>
                </c:pt>
                <c:pt idx="6">
                  <c:v>KEY RESSOURCES</c:v>
                </c:pt>
                <c:pt idx="7">
                  <c:v>KEY ACTIVITIES</c:v>
                </c:pt>
                <c:pt idx="8">
                  <c:v>KEY PARTNERSHIP</c:v>
                </c:pt>
              </c:strCache>
            </c:strRef>
          </c:cat>
          <c:val>
            <c:numRef>
              <c:f>Chances!$C$82:$C$90</c:f>
              <c:numCache>
                <c:formatCode>General</c:formatCode>
                <c:ptCount val="9"/>
                <c:pt idx="0">
                  <c:v>3.2857142857142856</c:v>
                </c:pt>
                <c:pt idx="1">
                  <c:v>2.75</c:v>
                </c:pt>
                <c:pt idx="2">
                  <c:v>3</c:v>
                </c:pt>
                <c:pt idx="3">
                  <c:v>3</c:v>
                </c:pt>
                <c:pt idx="4">
                  <c:v>2.8571428571428568</c:v>
                </c:pt>
                <c:pt idx="5">
                  <c:v>2.875</c:v>
                </c:pt>
                <c:pt idx="6">
                  <c:v>2.833333333333333</c:v>
                </c:pt>
                <c:pt idx="7">
                  <c:v>3</c:v>
                </c:pt>
                <c:pt idx="8">
                  <c:v>4.125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BA-4B66-8D65-DA13F49A24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68752656"/>
        <c:axId val="-168754288"/>
      </c:radarChart>
      <c:catAx>
        <c:axId val="-168752656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-168754288"/>
        <c:crosses val="autoZero"/>
        <c:auto val="1"/>
        <c:lblAlgn val="ctr"/>
        <c:lblOffset val="100"/>
        <c:noMultiLvlLbl val="0"/>
      </c:catAx>
      <c:valAx>
        <c:axId val="-168754288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-16875265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F8F1-4511-818F-519F3D62F7A9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F8F1-4511-818F-519F3D62F7A9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F8F1-4511-818F-519F3D62F7A9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F8F1-4511-818F-519F3D62F7A9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F8F1-4511-818F-519F3D62F7A9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F8F1-4511-818F-519F3D62F7A9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F8F1-4511-818F-519F3D62F7A9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F8F1-4511-818F-519F3D62F7A9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F8F1-4511-818F-519F3D62F7A9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F8F1-4511-818F-519F3D62F7A9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F8F1-4511-818F-519F3D62F7A9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F8F1-4511-818F-519F3D62F7A9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F8F1-4511-818F-519F3D62F7A9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F8F1-4511-818F-519F3D62F7A9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F8F1-4511-818F-519F3D62F7A9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F8F1-4511-818F-519F3D62F7A9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F8F1-4511-818F-519F3D62F7A9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F8F1-4511-818F-519F3D62F7A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F8F1-4511-818F-519F3D62F7A9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F8F1-4511-818F-519F3D62F7A9}"/>
                </c:ext>
              </c:extLst>
            </c:dLbl>
            <c:dLbl>
              <c:idx val="5"/>
              <c:layout>
                <c:manualLayout>
                  <c:x val="-0.16261950201081701"/>
                  <c:y val="1.285500288073746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F8F1-4511-818F-519F3D62F7A9}"/>
                </c:ext>
              </c:extLst>
            </c:dLbl>
            <c:dLbl>
              <c:idx val="6"/>
              <c:layout>
                <c:manualLayout>
                  <c:x val="-0.15204048235696746"/>
                  <c:y val="-6.5040650406504065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F8F1-4511-818F-519F3D62F7A9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F8F1-4511-818F-519F3D62F7A9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F8F1-4511-818F-519F3D62F7A9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F8F1-4511-818F-519F3D62F7A9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F8F1-4511-818F-519F3D62F7A9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F8F1-4511-818F-519F3D62F7A9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F8F1-4511-818F-519F3D62F7A9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F8F1-4511-818F-519F3D62F7A9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F8F1-4511-818F-519F3D62F7A9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Chances!$A$134:$A$140</c:f>
              <c:numCache>
                <c:formatCode>General</c:formatCode>
                <c:ptCount val="7"/>
                <c:pt idx="0">
                  <c:v>9</c:v>
                </c:pt>
                <c:pt idx="1">
                  <c:v>8</c:v>
                </c:pt>
                <c:pt idx="2">
                  <c:v>7</c:v>
                </c:pt>
                <c:pt idx="3">
                  <c:v>6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</c:numCache>
            </c:numRef>
          </c:xVal>
          <c:yVal>
            <c:numRef>
              <c:f>Chances!$B$134:$B$140</c:f>
              <c:numCache>
                <c:formatCode>General</c:formatCode>
                <c:ptCount val="7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5</c:v>
                </c:pt>
              </c:numCache>
            </c:numRef>
          </c:yVal>
          <c:bubbleSize>
            <c:numRef>
              <c:f>Chances!$C$134:$C$140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F8F1-4511-818F-519F3D62F7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168750480"/>
        <c:axId val="-168749392"/>
      </c:bubbleChart>
      <c:valAx>
        <c:axId val="-16875048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168749392"/>
        <c:crosses val="autoZero"/>
        <c:crossBetween val="midCat"/>
        <c:majorUnit val="1"/>
        <c:minorUnit val="0.1"/>
      </c:valAx>
      <c:valAx>
        <c:axId val="-168749392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16875048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C8D5-40DA-8B78-2EA0B38CA926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C8D5-40DA-8B78-2EA0B38CA926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C8D5-40DA-8B78-2EA0B38CA926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C8D5-40DA-8B78-2EA0B38CA926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C8D5-40DA-8B78-2EA0B38CA926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C8D5-40DA-8B78-2EA0B38CA926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C8D5-40DA-8B78-2EA0B38CA926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C8D5-40DA-8B78-2EA0B38CA926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C8D5-40DA-8B78-2EA0B38CA926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C8D5-40DA-8B78-2EA0B38CA926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C8D5-40DA-8B78-2EA0B38CA926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C8D5-40DA-8B78-2EA0B38CA926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C8D5-40DA-8B78-2EA0B38CA926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C8D5-40DA-8B78-2EA0B38CA926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C8D5-40DA-8B78-2EA0B38CA926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8D5-40DA-8B78-2EA0B38CA926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8D5-40DA-8B78-2EA0B38CA926}"/>
                </c:ext>
              </c:extLst>
            </c:dLbl>
            <c:dLbl>
              <c:idx val="2"/>
              <c:layout>
                <c:manualLayout>
                  <c:x val="-0.16328379644643576"/>
                  <c:y val="-2.103322450547340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8D5-40DA-8B78-2EA0B38CA92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2.4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8D5-40DA-8B78-2EA0B38CA926}"/>
                </c:ext>
              </c:extLst>
            </c:dLbl>
            <c:dLbl>
              <c:idx val="4"/>
              <c:layout>
                <c:manualLayout>
                  <c:x val="-0.15725433435306391"/>
                  <c:y val="-1.9153703348057103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8D5-40DA-8B78-2EA0B38CA926}"/>
                </c:ext>
              </c:extLst>
            </c:dLbl>
            <c:dLbl>
              <c:idx val="5"/>
              <c:layout>
                <c:manualLayout>
                  <c:x val="-0.16261950201081701"/>
                  <c:y val="-2.61693873631649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8D5-40DA-8B78-2EA0B38CA926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8D5-40DA-8B78-2EA0B38CA926}"/>
                </c:ext>
              </c:extLst>
            </c:dLbl>
            <c:dLbl>
              <c:idx val="7"/>
              <c:layout>
                <c:manualLayout>
                  <c:x val="-0.13168385562767224"/>
                  <c:y val="8.8742077971960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2.8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8D5-40DA-8B78-2EA0B38CA926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8D5-40DA-8B78-2EA0B38CA926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8D5-40DA-8B78-2EA0B38CA926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8D5-40DA-8B78-2EA0B38CA926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8D5-40DA-8B78-2EA0B38CA926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C8D5-40DA-8B78-2EA0B38CA926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C8D5-40DA-8B78-2EA0B38CA926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C8D5-40DA-8B78-2EA0B38CA926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Chances!$A$142:$A$149</c:f>
              <c:numCache>
                <c:formatCode>General</c:formatCode>
                <c:ptCount val="8"/>
                <c:pt idx="0">
                  <c:v>10</c:v>
                </c:pt>
                <c:pt idx="1">
                  <c:v>9</c:v>
                </c:pt>
                <c:pt idx="2">
                  <c:v>8</c:v>
                </c:pt>
                <c:pt idx="3">
                  <c:v>7</c:v>
                </c:pt>
                <c:pt idx="4">
                  <c:v>6</c:v>
                </c:pt>
                <c:pt idx="5">
                  <c:v>5</c:v>
                </c:pt>
                <c:pt idx="6">
                  <c:v>4</c:v>
                </c:pt>
                <c:pt idx="7">
                  <c:v>3</c:v>
                </c:pt>
              </c:numCache>
            </c:numRef>
          </c:xVal>
          <c:yVal>
            <c:numRef>
              <c:f>Chances!$B$142:$B$149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2</c:v>
                </c:pt>
              </c:numCache>
            </c:numRef>
          </c:yVal>
          <c:bubbleSize>
            <c:numRef>
              <c:f>Chances!$C$142:$C$149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C8D5-40DA-8B78-2EA0B38CA9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168753200"/>
        <c:axId val="-168746672"/>
      </c:bubbleChart>
      <c:valAx>
        <c:axId val="-16875320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168746672"/>
        <c:crosses val="autoZero"/>
        <c:crossBetween val="midCat"/>
        <c:majorUnit val="1"/>
        <c:minorUnit val="0.1"/>
      </c:valAx>
      <c:valAx>
        <c:axId val="-168746672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16875320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14CB-40FA-891C-5C11E462430A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14CB-40FA-891C-5C11E462430A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14CB-40FA-891C-5C11E462430A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14CB-40FA-891C-5C11E462430A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14CB-40FA-891C-5C11E462430A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14CB-40FA-891C-5C11E462430A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14CB-40FA-891C-5C11E462430A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14CB-40FA-891C-5C11E462430A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14CB-40FA-891C-5C11E462430A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14CB-40FA-891C-5C11E462430A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14CB-40FA-891C-5C11E462430A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14CB-40FA-891C-5C11E462430A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14CB-40FA-891C-5C11E462430A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14CB-40FA-891C-5C11E462430A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14CB-40FA-891C-5C11E462430A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14CB-40FA-891C-5C11E462430A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14CB-40FA-891C-5C11E462430A}"/>
                </c:ext>
              </c:extLst>
            </c:dLbl>
            <c:dLbl>
              <c:idx val="2"/>
              <c:layout>
                <c:manualLayout>
                  <c:x val="-0.14904891568317713"/>
                  <c:y val="-2.103322450547340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14CB-40FA-891C-5C11E462430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1.4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14CB-40FA-891C-5C11E462430A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de-CH"/>
                      <a:t>1.5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14CB-40FA-891C-5C11E462430A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14CB-40FA-891C-5C11E462430A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14CB-40FA-891C-5C11E462430A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14CB-40FA-891C-5C11E462430A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14CB-40FA-891C-5C11E462430A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14CB-40FA-891C-5C11E462430A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14CB-40FA-891C-5C11E462430A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14CB-40FA-891C-5C11E462430A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14CB-40FA-891C-5C11E462430A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14CB-40FA-891C-5C11E462430A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14CB-40FA-891C-5C11E462430A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Chances!$A$151:$A$153</c:f>
              <c:numCache>
                <c:formatCode>General</c:formatCode>
                <c:ptCount val="3"/>
                <c:pt idx="0">
                  <c:v>10</c:v>
                </c:pt>
                <c:pt idx="1">
                  <c:v>4</c:v>
                </c:pt>
                <c:pt idx="2">
                  <c:v>10</c:v>
                </c:pt>
              </c:numCache>
            </c:numRef>
          </c:xVal>
          <c:yVal>
            <c:numRef>
              <c:f>Chances!$B$151:$B$153</c:f>
              <c:numCache>
                <c:formatCode>General</c:formatCode>
                <c:ptCount val="3"/>
                <c:pt idx="0">
                  <c:v>3</c:v>
                </c:pt>
                <c:pt idx="1">
                  <c:v>4</c:v>
                </c:pt>
                <c:pt idx="2">
                  <c:v>2</c:v>
                </c:pt>
              </c:numCache>
            </c:numRef>
          </c:yVal>
          <c:bubbleSize>
            <c:numRef>
              <c:f>Chances!$C$151:$C$153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14CB-40FA-891C-5C11E46243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168745040"/>
        <c:axId val="-168757552"/>
      </c:bubbleChart>
      <c:valAx>
        <c:axId val="-16874504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168757552"/>
        <c:crosses val="autoZero"/>
        <c:crossBetween val="midCat"/>
        <c:majorUnit val="1"/>
        <c:minorUnit val="0.1"/>
      </c:valAx>
      <c:valAx>
        <c:axId val="-168757552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16874504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BAFD-45D0-96AD-82BAB331E2F7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BAFD-45D0-96AD-82BAB331E2F7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BAFD-45D0-96AD-82BAB331E2F7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BAFD-45D0-96AD-82BAB331E2F7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BAFD-45D0-96AD-82BAB331E2F7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BAFD-45D0-96AD-82BAB331E2F7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BAFD-45D0-96AD-82BAB331E2F7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AFD-45D0-96AD-82BAB331E2F7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AFD-45D0-96AD-82BAB331E2F7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BAFD-45D0-96AD-82BAB331E2F7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BAFD-45D0-96AD-82BAB331E2F7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BAFD-45D0-96AD-82BAB331E2F7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BAFD-45D0-96AD-82BAB331E2F7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BAFD-45D0-96AD-82BAB331E2F7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BAFD-45D0-96AD-82BAB331E2F7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BAFD-45D0-96AD-82BAB331E2F7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BAFD-45D0-96AD-82BAB331E2F7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BAFD-45D0-96AD-82BAB331E2F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4.4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BAFD-45D0-96AD-82BAB331E2F7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BAFD-45D0-96AD-82BAB331E2F7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BAFD-45D0-96AD-82BAB331E2F7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BAFD-45D0-96AD-82BAB331E2F7}"/>
                </c:ext>
              </c:extLst>
            </c:dLbl>
            <c:dLbl>
              <c:idx val="7"/>
              <c:layout>
                <c:manualLayout>
                  <c:x val="-0.14591873639093092"/>
                  <c:y val="2.3701427565457353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4.8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BAFD-45D0-96AD-82BAB331E2F7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BAFD-45D0-96AD-82BAB331E2F7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BAFD-45D0-96AD-82BAB331E2F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BAFD-45D0-96AD-82BAB331E2F7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BAFD-45D0-96AD-82BAB331E2F7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BAFD-45D0-96AD-82BAB331E2F7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BAFD-45D0-96AD-82BAB331E2F7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BAFD-45D0-96AD-82BAB331E2F7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Chances!$A$155:$A$162</c:f>
              <c:numCache>
                <c:formatCode>General</c:formatCode>
                <c:ptCount val="8"/>
                <c:pt idx="0">
                  <c:v>10</c:v>
                </c:pt>
                <c:pt idx="1">
                  <c:v>9</c:v>
                </c:pt>
                <c:pt idx="2">
                  <c:v>8</c:v>
                </c:pt>
                <c:pt idx="3">
                  <c:v>7</c:v>
                </c:pt>
                <c:pt idx="4">
                  <c:v>6</c:v>
                </c:pt>
                <c:pt idx="5">
                  <c:v>5</c:v>
                </c:pt>
                <c:pt idx="6">
                  <c:v>4</c:v>
                </c:pt>
                <c:pt idx="7">
                  <c:v>3</c:v>
                </c:pt>
              </c:numCache>
            </c:numRef>
          </c:xVal>
          <c:yVal>
            <c:numRef>
              <c:f>Chances!$B$155:$B$162</c:f>
              <c:numCache>
                <c:formatCode>General</c:formatCode>
                <c:ptCount val="8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</c:numCache>
            </c:numRef>
          </c:yVal>
          <c:bubbleSize>
            <c:numRef>
              <c:f>Chances!$C$155:$C$162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BAFD-45D0-96AD-82BAB331E2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168755920"/>
        <c:axId val="-165780032"/>
      </c:bubbleChart>
      <c:valAx>
        <c:axId val="-16875592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165780032"/>
        <c:crosses val="autoZero"/>
        <c:crossBetween val="midCat"/>
        <c:majorUnit val="1"/>
        <c:minorUnit val="0.1"/>
      </c:valAx>
      <c:valAx>
        <c:axId val="-165780032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16875592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447E-4FC7-9B4D-F22030F60222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447E-4FC7-9B4D-F22030F6022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447E-4FC7-9B4D-F22030F60222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447E-4FC7-9B4D-F22030F60222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447E-4FC7-9B4D-F22030F60222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447E-4FC7-9B4D-F22030F60222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447E-4FC7-9B4D-F22030F60222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447E-4FC7-9B4D-F22030F60222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447E-4FC7-9B4D-F22030F60222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447E-4FC7-9B4D-F22030F60222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447E-4FC7-9B4D-F22030F60222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447E-4FC7-9B4D-F22030F60222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447E-4FC7-9B4D-F22030F60222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447E-4FC7-9B4D-F22030F60222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447E-4FC7-9B4D-F22030F60222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447E-4FC7-9B4D-F22030F60222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447E-4FC7-9B4D-F22030F60222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447E-4FC7-9B4D-F22030F6022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5.4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447E-4FC7-9B4D-F22030F60222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447E-4FC7-9B4D-F22030F60222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447E-4FC7-9B4D-F22030F60222}"/>
                </c:ext>
              </c:extLst>
            </c:dLbl>
            <c:dLbl>
              <c:idx val="6"/>
              <c:layout>
                <c:manualLayout>
                  <c:x val="-0.16153002924688886"/>
                  <c:y val="-6.5040650406504065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447E-4FC7-9B4D-F22030F60222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447E-4FC7-9B4D-F22030F60222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447E-4FC7-9B4D-F22030F60222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447E-4FC7-9B4D-F22030F60222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447E-4FC7-9B4D-F22030F60222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447E-4FC7-9B4D-F22030F60222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447E-4FC7-9B4D-F22030F60222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447E-4FC7-9B4D-F22030F60222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447E-4FC7-9B4D-F22030F60222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Chances!$A$164:$A$170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xVal>
          <c:yVal>
            <c:numRef>
              <c:f>Chances!$B$164:$B$170</c:f>
              <c:numCache>
                <c:formatCode>General</c:formatCode>
                <c:ptCount val="7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</c:numCache>
            </c:numRef>
          </c:yVal>
          <c:bubbleSize>
            <c:numRef>
              <c:f>Chances!$C$164:$C$170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447E-4FC7-9B4D-F22030F602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165772416"/>
        <c:axId val="-165778944"/>
      </c:bubbleChart>
      <c:valAx>
        <c:axId val="-165772416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165778944"/>
        <c:crosses val="autoZero"/>
        <c:crossBetween val="midCat"/>
        <c:majorUnit val="1"/>
        <c:minorUnit val="0.1"/>
      </c:valAx>
      <c:valAx>
        <c:axId val="-165778944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165772416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712E-4B87-8AB3-89C69322A9C0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712E-4B87-8AB3-89C69322A9C0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712E-4B87-8AB3-89C69322A9C0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712E-4B87-8AB3-89C69322A9C0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712E-4B87-8AB3-89C69322A9C0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712E-4B87-8AB3-89C69322A9C0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712E-4B87-8AB3-89C69322A9C0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712E-4B87-8AB3-89C69322A9C0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712E-4B87-8AB3-89C69322A9C0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712E-4B87-8AB3-89C69322A9C0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712E-4B87-8AB3-89C69322A9C0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712E-4B87-8AB3-89C69322A9C0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712E-4B87-8AB3-89C69322A9C0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712E-4B87-8AB3-89C69322A9C0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712E-4B87-8AB3-89C69322A9C0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712E-4B87-8AB3-89C69322A9C0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712E-4B87-8AB3-89C69322A9C0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712E-4B87-8AB3-89C69322A9C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6.4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712E-4B87-8AB3-89C69322A9C0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712E-4B87-8AB3-89C69322A9C0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712E-4B87-8AB3-89C69322A9C0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712E-4B87-8AB3-89C69322A9C0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712E-4B87-8AB3-89C69322A9C0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712E-4B87-8AB3-89C69322A9C0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712E-4B87-8AB3-89C69322A9C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712E-4B87-8AB3-89C69322A9C0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712E-4B87-8AB3-89C69322A9C0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712E-4B87-8AB3-89C69322A9C0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712E-4B87-8AB3-89C69322A9C0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712E-4B87-8AB3-89C69322A9C0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Chances!$A$172:$A$178</c:f>
              <c:numCache>
                <c:formatCode>General</c:formatCode>
                <c:ptCount val="7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1</c:v>
                </c:pt>
              </c:numCache>
            </c:numRef>
          </c:xVal>
          <c:yVal>
            <c:numRef>
              <c:f>Chances!$B$172:$B$178</c:f>
              <c:numCache>
                <c:formatCode>General</c:formatCode>
                <c:ptCount val="7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</c:numCache>
            </c:numRef>
          </c:yVal>
          <c:bubbleSize>
            <c:numRef>
              <c:f>Chances!$C$172:$C$178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712E-4B87-8AB3-89C69322A9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165780576"/>
        <c:axId val="-165777312"/>
      </c:bubbleChart>
      <c:valAx>
        <c:axId val="-165780576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165777312"/>
        <c:crosses val="autoZero"/>
        <c:crossBetween val="midCat"/>
        <c:majorUnit val="1"/>
        <c:minorUnit val="0.1"/>
      </c:valAx>
      <c:valAx>
        <c:axId val="-165777312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165780576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7F85-4B29-9C85-0C388B0A35D6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7F85-4B29-9C85-0C388B0A35D6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7F85-4B29-9C85-0C388B0A35D6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7F85-4B29-9C85-0C388B0A35D6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7F85-4B29-9C85-0C388B0A35D6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7F85-4B29-9C85-0C388B0A35D6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7F85-4B29-9C85-0C388B0A35D6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7F85-4B29-9C85-0C388B0A35D6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7F85-4B29-9C85-0C388B0A35D6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7F85-4B29-9C85-0C388B0A35D6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7F85-4B29-9C85-0C388B0A35D6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7F85-4B29-9C85-0C388B0A35D6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7F85-4B29-9C85-0C388B0A35D6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7F85-4B29-9C85-0C388B0A35D6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7F85-4B29-9C85-0C388B0A35D6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7F85-4B29-9C85-0C388B0A35D6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7F85-4B29-9C85-0C388B0A35D6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7F85-4B29-9C85-0C388B0A35D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7.4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7F85-4B29-9C85-0C388B0A35D6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7F85-4B29-9C85-0C388B0A35D6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7F85-4B29-9C85-0C388B0A35D6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7F85-4B29-9C85-0C388B0A35D6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7F85-4B29-9C85-0C388B0A35D6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7F85-4B29-9C85-0C388B0A35D6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7F85-4B29-9C85-0C388B0A35D6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7F85-4B29-9C85-0C388B0A35D6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7F85-4B29-9C85-0C388B0A35D6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7F85-4B29-9C85-0C388B0A35D6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7F85-4B29-9C85-0C388B0A35D6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7F85-4B29-9C85-0C388B0A35D6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Chances!$A$180:$A$185</c:f>
              <c:numCache>
                <c:formatCode>General</c:formatCode>
                <c:ptCount val="6"/>
                <c:pt idx="0">
                  <c:v>9</c:v>
                </c:pt>
                <c:pt idx="1">
                  <c:v>8</c:v>
                </c:pt>
                <c:pt idx="2">
                  <c:v>7</c:v>
                </c:pt>
                <c:pt idx="3">
                  <c:v>6</c:v>
                </c:pt>
                <c:pt idx="4">
                  <c:v>5</c:v>
                </c:pt>
                <c:pt idx="5">
                  <c:v>4</c:v>
                </c:pt>
              </c:numCache>
            </c:numRef>
          </c:xVal>
          <c:yVal>
            <c:numRef>
              <c:f>Chances!$B$180:$B$185</c:f>
              <c:numCache>
                <c:formatCode>General</c:formatCode>
                <c:ptCount val="6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</c:numCache>
            </c:numRef>
          </c:yVal>
          <c:bubbleSize>
            <c:numRef>
              <c:f>Chances!$C$180:$C$185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7F85-4B29-9C85-0C388B0A35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165770784"/>
        <c:axId val="-165778400"/>
      </c:bubbleChart>
      <c:valAx>
        <c:axId val="-165770784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165778400"/>
        <c:crosses val="autoZero"/>
        <c:crossBetween val="midCat"/>
        <c:majorUnit val="1"/>
        <c:minorUnit val="0.1"/>
      </c:valAx>
      <c:valAx>
        <c:axId val="-165778400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165770784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C05F-4397-B95C-FA9CFA755EE8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C05F-4397-B95C-FA9CFA755EE8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C05F-4397-B95C-FA9CFA755EE8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C05F-4397-B95C-FA9CFA755EE8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C05F-4397-B95C-FA9CFA755EE8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C05F-4397-B95C-FA9CFA755EE8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C05F-4397-B95C-FA9CFA755EE8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C05F-4397-B95C-FA9CFA755EE8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C05F-4397-B95C-FA9CFA755EE8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C05F-4397-B95C-FA9CFA755EE8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C05F-4397-B95C-FA9CFA755EE8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C05F-4397-B95C-FA9CFA755EE8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C05F-4397-B95C-FA9CFA755EE8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C05F-4397-B95C-FA9CFA755EE8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C05F-4397-B95C-FA9CFA755EE8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05F-4397-B95C-FA9CFA755EE8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05F-4397-B95C-FA9CFA755EE8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05F-4397-B95C-FA9CFA755EE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8.4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05F-4397-B95C-FA9CFA755EE8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05F-4397-B95C-FA9CFA755EE8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05F-4397-B95C-FA9CFA755EE8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05F-4397-B95C-FA9CFA755EE8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rich>
                  <a:bodyPr/>
                  <a:lstStyle/>
                  <a:p>
                    <a:r>
                      <a:t>R8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05F-4397-B95C-FA9CFA755EE8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05F-4397-B95C-FA9CFA755EE8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05F-4397-B95C-FA9CFA755EE8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05F-4397-B95C-FA9CFA755EE8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05F-4397-B95C-FA9CFA755EE8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C05F-4397-B95C-FA9CFA755EE8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C05F-4397-B95C-FA9CFA755EE8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C05F-4397-B95C-FA9CFA755EE8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Chances!$A$187:$A$191</c:f>
              <c:numCache>
                <c:formatCode>General</c:formatCode>
                <c:ptCount val="5"/>
                <c:pt idx="0">
                  <c:v>8</c:v>
                </c:pt>
                <c:pt idx="1">
                  <c:v>5</c:v>
                </c:pt>
                <c:pt idx="2">
                  <c:v>2</c:v>
                </c:pt>
                <c:pt idx="3">
                  <c:v>6</c:v>
                </c:pt>
                <c:pt idx="4">
                  <c:v>7</c:v>
                </c:pt>
              </c:numCache>
            </c:numRef>
          </c:xVal>
          <c:yVal>
            <c:numRef>
              <c:f>Chances!$B$187:$B$191</c:f>
              <c:numCache>
                <c:formatCode>General</c:formatCode>
                <c:ptCount val="5"/>
                <c:pt idx="0">
                  <c:v>5</c:v>
                </c:pt>
                <c:pt idx="1">
                  <c:v>3</c:v>
                </c:pt>
                <c:pt idx="2">
                  <c:v>2</c:v>
                </c:pt>
                <c:pt idx="3">
                  <c:v>3</c:v>
                </c:pt>
                <c:pt idx="4">
                  <c:v>2</c:v>
                </c:pt>
              </c:numCache>
            </c:numRef>
          </c:yVal>
          <c:bubbleSize>
            <c:numRef>
              <c:f>Chances!$C$187:$C$191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C05F-4397-B95C-FA9CFA755E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165775680"/>
        <c:axId val="-165783296"/>
      </c:bubbleChart>
      <c:valAx>
        <c:axId val="-165775680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165783296"/>
        <c:crosses val="autoZero"/>
        <c:crossBetween val="midCat"/>
        <c:majorUnit val="1"/>
        <c:minorUnit val="0.1"/>
      </c:valAx>
      <c:valAx>
        <c:axId val="-165783296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16577568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solidFill>
              <a:schemeClr val="tx2">
                <a:alpha val="45000"/>
              </a:schemeClr>
            </a:solidFill>
            <a:ln>
              <a:solidFill>
                <a:schemeClr val="tx2">
                  <a:lumMod val="40000"/>
                  <a:lumOff val="6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DE3-4EAD-B880-2A73778CA516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DE3-4EAD-B880-2A73778CA516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ADE3-4EAD-B880-2A73778CA516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ADE3-4EAD-B880-2A73778CA516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ADE3-4EAD-B880-2A73778CA516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ADE3-4EAD-B880-2A73778CA516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ADE3-4EAD-B880-2A73778CA516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ADE3-4EAD-B880-2A73778CA516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ADE3-4EAD-B880-2A73778CA516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ADE3-4EAD-B880-2A73778CA516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ADE3-4EAD-B880-2A73778CA516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ADE3-4EAD-B880-2A73778CA516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ADE3-4EAD-B880-2A73778CA516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ADE3-4EAD-B880-2A73778CA516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ADE3-4EAD-B880-2A73778CA516}"/>
              </c:ext>
            </c:extLst>
          </c:dPt>
          <c:dLbls>
            <c:dLbl>
              <c:idx val="0"/>
              <c:layout>
                <c:manualLayout>
                  <c:x val="-0.13556538256335457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9.1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ADE3-4EAD-B880-2A73778CA516}"/>
                </c:ext>
              </c:extLst>
            </c:dLbl>
            <c:dLbl>
              <c:idx val="1"/>
              <c:layout>
                <c:manualLayout>
                  <c:x val="-0.14361537576349026"/>
                  <c:y val="-1.436257755682645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ADE3-4EAD-B880-2A73778CA516}"/>
                </c:ext>
              </c:extLst>
            </c:dLbl>
            <c:dLbl>
              <c:idx val="2"/>
              <c:layout>
                <c:manualLayout>
                  <c:x val="-0.13955899517433806"/>
                  <c:y val="-2.10337997261843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ADE3-4EAD-B880-2A73778CA51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9.4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ADE3-4EAD-B880-2A73778CA516}"/>
                </c:ext>
              </c:extLst>
            </c:dLbl>
            <c:dLbl>
              <c:idx val="4"/>
              <c:layout>
                <c:manualLayout>
                  <c:x val="-0.13352953308096621"/>
                  <c:y val="1.1092699033875504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ADE3-4EAD-B880-2A73778CA516}"/>
                </c:ext>
              </c:extLst>
            </c:dLbl>
            <c:dLbl>
              <c:idx val="5"/>
              <c:layout>
                <c:manualLayout>
                  <c:x val="-0.13414974048429978"/>
                  <c:y val="-6.6570869512045982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9.6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ADE3-4EAD-B880-2A73778CA516}"/>
                </c:ext>
              </c:extLst>
            </c:dLbl>
            <c:dLbl>
              <c:idx val="6"/>
              <c:layout>
                <c:manualLayout>
                  <c:x val="-0.13780522797479119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9.7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ADE3-4EAD-B880-2A73778CA516}"/>
                </c:ext>
              </c:extLst>
            </c:dLbl>
            <c:dLbl>
              <c:idx val="7"/>
              <c:layout>
                <c:manualLayout>
                  <c:x val="-0.16015361715418955"/>
                  <c:y val="2.3701427565456755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9.8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ADE3-4EAD-B880-2A73778CA516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R9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ADE3-4EAD-B880-2A73778CA516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rich>
                  <a:bodyPr/>
                  <a:lstStyle/>
                  <a:p>
                    <a:r>
                      <a:t>R10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ADE3-4EAD-B880-2A73778CA516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t>R11</a:t>
                    </a:r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ADE3-4EAD-B880-2A73778CA516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R12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ADE3-4EAD-B880-2A73778CA516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rich>
                  <a:bodyPr/>
                  <a:lstStyle/>
                  <a:p>
                    <a:r>
                      <a:t>R13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ADE3-4EAD-B880-2A73778CA516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rich>
                  <a:bodyPr/>
                  <a:lstStyle/>
                  <a:p>
                    <a:r>
                      <a:t>R14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ADE3-4EAD-B880-2A73778CA516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rich>
                  <a:bodyPr/>
                  <a:lstStyle/>
                  <a:p>
                    <a:r>
                      <a:t>R15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ADE3-4EAD-B880-2A73778CA516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Chances!$A$193:$A$200</c:f>
              <c:numCache>
                <c:formatCode>General</c:formatCode>
                <c:ptCount val="8"/>
                <c:pt idx="0">
                  <c:v>10</c:v>
                </c:pt>
                <c:pt idx="1">
                  <c:v>7</c:v>
                </c:pt>
                <c:pt idx="2">
                  <c:v>5</c:v>
                </c:pt>
                <c:pt idx="3">
                  <c:v>6</c:v>
                </c:pt>
                <c:pt idx="4">
                  <c:v>9</c:v>
                </c:pt>
                <c:pt idx="5">
                  <c:v>6</c:v>
                </c:pt>
                <c:pt idx="6">
                  <c:v>10</c:v>
                </c:pt>
                <c:pt idx="7">
                  <c:v>10</c:v>
                </c:pt>
              </c:numCache>
            </c:numRef>
          </c:xVal>
          <c:yVal>
            <c:numRef>
              <c:f>Chances!$B$193:$B$200</c:f>
              <c:numCache>
                <c:formatCode>General</c:formatCode>
                <c:ptCount val="8"/>
                <c:pt idx="0">
                  <c:v>5</c:v>
                </c:pt>
                <c:pt idx="1">
                  <c:v>3</c:v>
                </c:pt>
                <c:pt idx="2">
                  <c:v>5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5</c:v>
                </c:pt>
                <c:pt idx="7">
                  <c:v>2</c:v>
                </c:pt>
              </c:numCache>
            </c:numRef>
          </c:yVal>
          <c:bubbleSize>
            <c:numRef>
              <c:f>Chances!$C$193:$C$200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F-ADE3-4EAD-B880-2A73778CA5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165774048"/>
        <c:axId val="-165783840"/>
      </c:bubbleChart>
      <c:valAx>
        <c:axId val="-165774048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165783840"/>
        <c:crosses val="autoZero"/>
        <c:crossBetween val="midCat"/>
        <c:majorUnit val="1"/>
        <c:minorUnit val="0.1"/>
      </c:valAx>
      <c:valAx>
        <c:axId val="-165783840"/>
        <c:scaling>
          <c:orientation val="minMax"/>
          <c:max val="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-165774048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Chances!$F$133</c:f>
              <c:strCache>
                <c:ptCount val="1"/>
                <c:pt idx="0">
                  <c:v>Anzahl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0">
                    <a:solidFill>
                      <a:schemeClr val="tx2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Chances!$E$134:$E$138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Chances!$F$134:$F$138</c:f>
              <c:numCache>
                <c:formatCode>General</c:formatCode>
                <c:ptCount val="5"/>
                <c:pt idx="0">
                  <c:v>5</c:v>
                </c:pt>
                <c:pt idx="1">
                  <c:v>17</c:v>
                </c:pt>
                <c:pt idx="2">
                  <c:v>15</c:v>
                </c:pt>
                <c:pt idx="3">
                  <c:v>11</c:v>
                </c:pt>
                <c:pt idx="4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79-40D2-B94E-D231104942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65782208"/>
        <c:axId val="-165773504"/>
      </c:barChart>
      <c:catAx>
        <c:axId val="-16578220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-165773504"/>
        <c:crosses val="autoZero"/>
        <c:auto val="1"/>
        <c:lblAlgn val="ctr"/>
        <c:lblOffset val="100"/>
        <c:noMultiLvlLbl val="0"/>
      </c:catAx>
      <c:valAx>
        <c:axId val="-165773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-16578220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2.4817016702893855E-2"/>
          <c:w val="0.86644758162626123"/>
          <c:h val="0.91746872405280555"/>
        </c:manualLayout>
      </c:layout>
      <c:bubbleChart>
        <c:varyColors val="1"/>
        <c:ser>
          <c:idx val="0"/>
          <c:order val="0"/>
          <c:spPr>
            <a:solidFill>
              <a:schemeClr val="accent1">
                <a:alpha val="50000"/>
              </a:schemeClr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23D8-4D6F-8D00-A8CA19E8DC78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23D8-4D6F-8D00-A8CA19E8DC78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23D8-4D6F-8D00-A8CA19E8DC78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23D8-4D6F-8D00-A8CA19E8DC78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23D8-4D6F-8D00-A8CA19E8DC78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23D8-4D6F-8D00-A8CA19E8DC78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23D8-4D6F-8D00-A8CA19E8DC78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23D8-4D6F-8D00-A8CA19E8DC78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23D8-4D6F-8D00-A8CA19E8DC78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23D8-4D6F-8D00-A8CA19E8DC78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23D8-4D6F-8D00-A8CA19E8DC78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23D8-4D6F-8D00-A8CA19E8DC78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23D8-4D6F-8D00-A8CA19E8DC78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23D8-4D6F-8D00-A8CA19E8DC78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23D8-4D6F-8D00-A8CA19E8DC78}"/>
              </c:ext>
            </c:extLst>
          </c:dPt>
          <c:dLbls>
            <c:dLbl>
              <c:idx val="0"/>
              <c:tx>
                <c:strRef>
                  <c:f>KostenNutzen!$B$5</c:f>
                  <c:strCache>
                    <c:ptCount val="1"/>
                    <c:pt idx="0">
                      <c:v>I1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{49501998-CAE9-4C08-A089-A306404028E3}</c15:txfldGUID>
                      <c15:f>KostenNutzen!$B$5</c15:f>
                      <c15:dlblFieldTableCache>
                        <c:ptCount val="1"/>
                        <c:pt idx="0">
                          <c:v>I1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0-23D8-4D6F-8D00-A8CA19E8DC78}"/>
                </c:ext>
              </c:extLst>
            </c:dLbl>
            <c:dLbl>
              <c:idx val="1"/>
              <c:layout>
                <c:manualLayout>
                  <c:x val="-8.6009899482783869E-2"/>
                  <c:y val="5.9259259259259256E-3"/>
                </c:manualLayout>
              </c:layout>
              <c:tx>
                <c:strRef>
                  <c:f>KostenNutzen!$B$6</c:f>
                  <c:strCache>
                    <c:ptCount val="1"/>
                    <c:pt idx="0">
                      <c:v>I2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{57E76D6A-6A50-445C-B894-106DD6BEC709}</c15:txfldGUID>
                      <c15:f>KostenNutzen!$B$6</c15:f>
                      <c15:dlblFieldTableCache>
                        <c:ptCount val="1"/>
                        <c:pt idx="0">
                          <c:v>I2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23D8-4D6F-8D00-A8CA19E8DC78}"/>
                </c:ext>
              </c:extLst>
            </c:dLbl>
            <c:dLbl>
              <c:idx val="2"/>
              <c:layout>
                <c:manualLayout>
                  <c:x val="-7.1241173537028649E-2"/>
                  <c:y val="-9.876543209876543E-3"/>
                </c:manualLayout>
              </c:layout>
              <c:tx>
                <c:strRef>
                  <c:f>KostenNutzen!$B$7</c:f>
                  <c:strCache>
                    <c:ptCount val="1"/>
                    <c:pt idx="0">
                      <c:v>I3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{18B81E86-673D-4C0D-9D24-B49C9B0C2EC3}</c15:txfldGUID>
                      <c15:f>KostenNutzen!$B$7</c15:f>
                      <c15:dlblFieldTableCache>
                        <c:ptCount val="1"/>
                        <c:pt idx="0">
                          <c:v>I3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2-23D8-4D6F-8D00-A8CA19E8DC78}"/>
                </c:ext>
              </c:extLst>
            </c:dLbl>
            <c:dLbl>
              <c:idx val="3"/>
              <c:layout>
                <c:manualLayout>
                  <c:x val="-6.3623233732669343E-2"/>
                  <c:y val="-3.9506172839506174E-3"/>
                </c:manualLayout>
              </c:layout>
              <c:tx>
                <c:strRef>
                  <c:f>KostenNutzen!$B$8</c:f>
                  <c:strCache>
                    <c:ptCount val="1"/>
                    <c:pt idx="0">
                      <c:v>I4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{06AC2FA9-16EB-4645-BD0F-5F849303B017}</c15:txfldGUID>
                      <c15:f>KostenNutzen!$B$8</c15:f>
                      <c15:dlblFieldTableCache>
                        <c:ptCount val="1"/>
                        <c:pt idx="0">
                          <c:v>I4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23D8-4D6F-8D00-A8CA19E8DC78}"/>
                </c:ext>
              </c:extLst>
            </c:dLbl>
            <c:dLbl>
              <c:idx val="4"/>
              <c:layout>
                <c:manualLayout>
                  <c:x val="-8.8000641106619121E-2"/>
                  <c:y val="-9.876543209876543E-3"/>
                </c:manualLayout>
              </c:layout>
              <c:tx>
                <c:strRef>
                  <c:f>KostenNutzen!$B$9</c:f>
                  <c:strCache>
                    <c:ptCount val="1"/>
                    <c:pt idx="0">
                      <c:v>I5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{AB8DDFF2-138F-4F0B-A80D-59595536D513}</c15:txfldGUID>
                      <c15:f>KostenNutzen!$B$9</c15:f>
                      <c15:dlblFieldTableCache>
                        <c:ptCount val="1"/>
                        <c:pt idx="0">
                          <c:v>I5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4-23D8-4D6F-8D00-A8CA19E8DC78}"/>
                </c:ext>
              </c:extLst>
            </c:dLbl>
            <c:dLbl>
              <c:idx val="5"/>
              <c:layout>
                <c:manualLayout>
                  <c:x val="-8.4486311521912008E-2"/>
                  <c:y val="7.2427146854513735E-17"/>
                </c:manualLayout>
              </c:layout>
              <c:tx>
                <c:strRef>
                  <c:f>KostenNutzen!$B$10</c:f>
                  <c:strCache>
                    <c:ptCount val="1"/>
                    <c:pt idx="0">
                      <c:v>I6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{F7E9D803-5F1F-4D39-B6D2-9E33A821406A}</c15:txfldGUID>
                      <c15:f>KostenNutzen!$B$10</c15:f>
                      <c15:dlblFieldTableCache>
                        <c:ptCount val="1"/>
                        <c:pt idx="0">
                          <c:v>I6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23D8-4D6F-8D00-A8CA19E8DC78}"/>
                </c:ext>
              </c:extLst>
            </c:dLbl>
            <c:dLbl>
              <c:idx val="6"/>
              <c:layout>
                <c:manualLayout>
                  <c:x val="-7.1241173537028649E-2"/>
                  <c:y val="9.876543209876543E-3"/>
                </c:manualLayout>
              </c:layout>
              <c:tx>
                <c:strRef>
                  <c:f>KostenNutzen!$B$11</c:f>
                  <c:strCache>
                    <c:ptCount val="1"/>
                    <c:pt idx="0">
                      <c:v>I7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{CD391D70-C8FC-49B8-AD09-6F689FCDFBDB}</c15:txfldGUID>
                      <c15:f>KostenNutzen!$B$11</c15:f>
                      <c15:dlblFieldTableCache>
                        <c:ptCount val="1"/>
                        <c:pt idx="0">
                          <c:v>I7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23D8-4D6F-8D00-A8CA19E8DC78}"/>
                </c:ext>
              </c:extLst>
            </c:dLbl>
            <c:dLbl>
              <c:idx val="7"/>
              <c:layout>
                <c:manualLayout>
                  <c:x val="-7.1241173537028649E-2"/>
                  <c:y val="-9.876543209876543E-3"/>
                </c:manualLayout>
              </c:layout>
              <c:tx>
                <c:strRef>
                  <c:f>KostenNutzen!$B$12</c:f>
                  <c:strCache>
                    <c:ptCount val="1"/>
                    <c:pt idx="0">
                      <c:v>I8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{10F4BF84-DAE5-4588-B540-942770FBD901}</c15:txfldGUID>
                      <c15:f>KostenNutzen!$B$12</c15:f>
                      <c15:dlblFieldTableCache>
                        <c:ptCount val="1"/>
                        <c:pt idx="0">
                          <c:v>I8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23D8-4D6F-8D00-A8CA19E8DC78}"/>
                </c:ext>
              </c:extLst>
            </c:dLbl>
            <c:dLbl>
              <c:idx val="8"/>
              <c:layout>
                <c:manualLayout>
                  <c:x val="-9.2104251326271327E-2"/>
                  <c:y val="3.9506172839506174E-3"/>
                </c:manualLayout>
              </c:layout>
              <c:tx>
                <c:strRef>
                  <c:f>KostenNutzen!$B$13</c:f>
                  <c:strCache>
                    <c:ptCount val="1"/>
                    <c:pt idx="0">
                      <c:v>I9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{45AE81C1-3C36-4B31-9384-728F348CA751}</c15:txfldGUID>
                      <c15:f>KostenNutzen!$B$13</c15:f>
                      <c15:dlblFieldTableCache>
                        <c:ptCount val="1"/>
                        <c:pt idx="0">
                          <c:v>I9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23D8-4D6F-8D00-A8CA19E8DC78}"/>
                </c:ext>
              </c:extLst>
            </c:dLbl>
            <c:dLbl>
              <c:idx val="9"/>
              <c:layout>
                <c:manualLayout>
                  <c:x val="-8.1197880845104251E-2"/>
                  <c:y val="0"/>
                </c:manualLayout>
              </c:layout>
              <c:tx>
                <c:strRef>
                  <c:f>KostenNutzen!$B$14</c:f>
                  <c:strCache>
                    <c:ptCount val="1"/>
                    <c:pt idx="0">
                      <c:v>I10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{4AC45E7E-EF63-4BD9-AAC8-2CCC285B22D8}</c15:txfldGUID>
                      <c15:f>KostenNutzen!$B$14</c15:f>
                      <c15:dlblFieldTableCache>
                        <c:ptCount val="1"/>
                        <c:pt idx="0">
                          <c:v>I10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23D8-4D6F-8D00-A8CA19E8DC78}"/>
                </c:ext>
              </c:extLst>
            </c:dLbl>
            <c:dLbl>
              <c:idx val="10"/>
              <c:tx>
                <c:strRef>
                  <c:f>KostenNutzen!$B$15</c:f>
                  <c:strCache>
                    <c:ptCount val="1"/>
                    <c:pt idx="0">
                      <c:v>I11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{F769065C-6956-4C31-8C50-1E4D9FB548C3}</c15:txfldGUID>
                      <c15:f>KostenNutzen!$B$15</c15:f>
                      <c15:dlblFieldTableCache>
                        <c:ptCount val="1"/>
                        <c:pt idx="0">
                          <c:v>I11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23D8-4D6F-8D00-A8CA19E8DC78}"/>
                </c:ext>
              </c:extLst>
            </c:dLbl>
            <c:dLbl>
              <c:idx val="11"/>
              <c:layout>
                <c:manualLayout>
                  <c:x val="-7.0532765119001223E-2"/>
                  <c:y val="7.9012345679012348E-3"/>
                </c:manualLayout>
              </c:layout>
              <c:tx>
                <c:strRef>
                  <c:f>KostenNutzen!$B$16</c:f>
                  <c:strCache>
                    <c:ptCount val="1"/>
                    <c:pt idx="0">
                      <c:v>I12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{97FE9B94-161A-4AA3-A55D-256B6780A921}</c15:txfldGUID>
                      <c15:f>KostenNutzen!$B$16</c15:f>
                      <c15:dlblFieldTableCache>
                        <c:ptCount val="1"/>
                        <c:pt idx="0">
                          <c:v>I12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23D8-4D6F-8D00-A8CA19E8DC78}"/>
                </c:ext>
              </c:extLst>
            </c:dLbl>
            <c:dLbl>
              <c:idx val="12"/>
              <c:layout>
                <c:manualLayout>
                  <c:x val="-9.5966606790859485E-2"/>
                  <c:y val="5.9259259259259985E-3"/>
                </c:manualLayout>
              </c:layout>
              <c:tx>
                <c:strRef>
                  <c:f>KostenNutzen!$B$17</c:f>
                  <c:strCache>
                    <c:ptCount val="1"/>
                    <c:pt idx="0">
                      <c:v>I13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{69B55CF2-1468-4B23-A642-614FE70C9613}</c15:txfldGUID>
                      <c15:f>KostenNutzen!$B$17</c15:f>
                      <c15:dlblFieldTableCache>
                        <c:ptCount val="1"/>
                        <c:pt idx="0">
                          <c:v>I13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C-23D8-4D6F-8D00-A8CA19E8DC78}"/>
                </c:ext>
              </c:extLst>
            </c:dLbl>
            <c:dLbl>
              <c:idx val="13"/>
              <c:layout>
                <c:manualLayout>
                  <c:x val="-9.0339408610335417E-2"/>
                  <c:y val="5.9259259259259256E-3"/>
                </c:manualLayout>
              </c:layout>
              <c:tx>
                <c:strRef>
                  <c:f>KostenNutzen!$B$18</c:f>
                  <c:strCache>
                    <c:ptCount val="1"/>
                    <c:pt idx="0">
                      <c:v>I14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{4839E52C-C215-4912-A828-EC74C5195AC8}</c15:txfldGUID>
                      <c15:f>KostenNutzen!$B$18</c15:f>
                      <c15:dlblFieldTableCache>
                        <c:ptCount val="1"/>
                        <c:pt idx="0">
                          <c:v>I14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23D8-4D6F-8D00-A8CA19E8DC78}"/>
                </c:ext>
              </c:extLst>
            </c:dLbl>
            <c:dLbl>
              <c:idx val="14"/>
              <c:layout>
                <c:manualLayout>
                  <c:x val="-8.9872254947372027E-2"/>
                  <c:y val="0"/>
                </c:manualLayout>
              </c:layout>
              <c:tx>
                <c:strRef>
                  <c:f>KostenNutzen!$B$19</c:f>
                  <c:strCache>
                    <c:ptCount val="1"/>
                    <c:pt idx="0">
                      <c:v>I15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{89A0ED37-23BC-4726-82D5-4C1C4E639A4E}</c15:txfldGUID>
                      <c15:f>KostenNutzen!$B$19</c15:f>
                      <c15:dlblFieldTableCache>
                        <c:ptCount val="1"/>
                        <c:pt idx="0">
                          <c:v>I15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E-23D8-4D6F-8D00-A8CA19E8DC78}"/>
                </c:ext>
              </c:extLst>
            </c:dLbl>
            <c:dLbl>
              <c:idx val="15"/>
              <c:layout>
                <c:manualLayout>
                  <c:x val="-0.1119755573302756"/>
                  <c:y val="-5.9259259259259256E-3"/>
                </c:manualLayout>
              </c:layout>
              <c:tx>
                <c:strRef>
                  <c:f>KostenNutzen!$B$20</c:f>
                  <c:strCache>
                    <c:ptCount val="1"/>
                    <c:pt idx="0">
                      <c:v>I16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{A206BB57-31DB-4125-AE5D-C73BE950530B}</c15:txfldGUID>
                      <c15:f>KostenNutzen!$B$20</c15:f>
                      <c15:dlblFieldTableCache>
                        <c:ptCount val="1"/>
                        <c:pt idx="0">
                          <c:v>I16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23D8-4D6F-8D00-A8CA19E8DC78}"/>
                </c:ext>
              </c:extLst>
            </c:dLbl>
            <c:dLbl>
              <c:idx val="16"/>
              <c:layout>
                <c:manualLayout>
                  <c:x val="-0.11045196936940374"/>
                  <c:y val="7.9012345679012348E-3"/>
                </c:manualLayout>
              </c:layout>
              <c:tx>
                <c:strRef>
                  <c:f>KostenNutzen!$B$21</c:f>
                  <c:strCache>
                    <c:ptCount val="1"/>
                    <c:pt idx="0">
                      <c:v>I17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{BB5F4771-3437-47D7-8766-46C5B1F91D4D}</c15:txfldGUID>
                      <c15:f>KostenNutzen!$B$21</c15:f>
                      <c15:dlblFieldTableCache>
                        <c:ptCount val="1"/>
                        <c:pt idx="0">
                          <c:v>I17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0-23D8-4D6F-8D00-A8CA19E8DC78}"/>
                </c:ext>
              </c:extLst>
            </c:dLbl>
            <c:dLbl>
              <c:idx val="17"/>
              <c:tx>
                <c:strRef>
                  <c:f>KostenNutzen!$B$22</c:f>
                  <c:strCache>
                    <c:ptCount val="1"/>
                    <c:pt idx="0">
                      <c:v>I18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{3D46A90D-91B7-49DB-A526-B5C8332A1577}</c15:txfldGUID>
                      <c15:f>KostenNutzen!$B$22</c15:f>
                      <c15:dlblFieldTableCache>
                        <c:ptCount val="1"/>
                        <c:pt idx="0">
                          <c:v>I18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23D8-4D6F-8D00-A8CA19E8DC78}"/>
                </c:ext>
              </c:extLst>
            </c:dLbl>
            <c:dLbl>
              <c:idx val="18"/>
              <c:layout>
                <c:manualLayout>
                  <c:x val="-0.10588120548678816"/>
                  <c:y val="0"/>
                </c:manualLayout>
              </c:layout>
              <c:tx>
                <c:strRef>
                  <c:f>KostenNutzen!$B$23</c:f>
                  <c:strCache>
                    <c:ptCount val="1"/>
                    <c:pt idx="0">
                      <c:v>I19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{FE718A2E-05ED-4299-A842-A7E396FB86F0}</c15:txfldGUID>
                      <c15:f>KostenNutzen!$B$23</c15:f>
                      <c15:dlblFieldTableCache>
                        <c:ptCount val="1"/>
                        <c:pt idx="0">
                          <c:v>I19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2-23D8-4D6F-8D00-A8CA19E8DC78}"/>
                </c:ext>
              </c:extLst>
            </c:dLbl>
            <c:dLbl>
              <c:idx val="19"/>
              <c:layout>
                <c:manualLayout>
                  <c:x val="-0.12111708509550677"/>
                  <c:y val="5.9259259259259256E-3"/>
                </c:manualLayout>
              </c:layout>
              <c:tx>
                <c:strRef>
                  <c:f>KostenNutzen!$B$24</c:f>
                  <c:strCache>
                    <c:ptCount val="1"/>
                    <c:pt idx="0">
                      <c:v>I20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{C0696DAD-4EEB-420E-B04B-D078EC760FA6}</c15:txfldGUID>
                      <c15:f>KostenNutzen!$B$24</c15:f>
                      <c15:dlblFieldTableCache>
                        <c:ptCount val="1"/>
                        <c:pt idx="0">
                          <c:v>I20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23D8-4D6F-8D00-A8CA19E8DC78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KostenNutzen!$D$5:$D$24</c:f>
              <c:numCache>
                <c:formatCode>General</c:formatCode>
                <c:ptCount val="20"/>
                <c:pt idx="0">
                  <c:v>4</c:v>
                </c:pt>
                <c:pt idx="1">
                  <c:v>9</c:v>
                </c:pt>
                <c:pt idx="2">
                  <c:v>1</c:v>
                </c:pt>
              </c:numCache>
            </c:numRef>
          </c:xVal>
          <c:yVal>
            <c:numRef>
              <c:f>KostenNutzen!$E$5:$E$24</c:f>
              <c:numCache>
                <c:formatCode>0</c:formatCode>
                <c:ptCount val="20"/>
                <c:pt idx="0">
                  <c:v>7</c:v>
                </c:pt>
                <c:pt idx="1">
                  <c:v>7</c:v>
                </c:pt>
                <c:pt idx="2">
                  <c:v>2</c:v>
                </c:pt>
              </c:numCache>
            </c:numRef>
          </c:yVal>
          <c:bubbleSize>
            <c:numRef>
              <c:f>KostenNutzen!$F$5:$F$24</c:f>
              <c:numCache>
                <c:formatCode>0</c:formatCode>
                <c:ptCount val="20"/>
                <c:pt idx="0">
                  <c:v>2</c:v>
                </c:pt>
                <c:pt idx="1">
                  <c:v>2</c:v>
                </c:pt>
                <c:pt idx="2">
                  <c:v>4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4-23D8-4D6F-8D00-A8CA19E8DC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165784928"/>
        <c:axId val="-162446576"/>
      </c:bubbleChart>
      <c:valAx>
        <c:axId val="-165784928"/>
        <c:scaling>
          <c:orientation val="minMax"/>
          <c:max val="11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-162446576"/>
        <c:crosses val="autoZero"/>
        <c:crossBetween val="midCat"/>
        <c:majorUnit val="1"/>
        <c:minorUnit val="0.1"/>
      </c:valAx>
      <c:valAx>
        <c:axId val="-162446576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-165784928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MatrixIdee!$C$5</c:f>
              <c:strCache>
                <c:ptCount val="1"/>
                <c:pt idx="0">
                  <c:v>Kriterium 1</c:v>
                </c:pt>
              </c:strCache>
            </c:strRef>
          </c:tx>
          <c:spPr>
            <a:solidFill>
              <a:srgbClr val="00469B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MatrixIdee!$D$4:$I$4</c:f>
              <c:strCache>
                <c:ptCount val="6"/>
                <c:pt idx="0">
                  <c:v>Idee 1</c:v>
                </c:pt>
                <c:pt idx="1">
                  <c:v>Idee 2</c:v>
                </c:pt>
                <c:pt idx="2">
                  <c:v>?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MatrixIdee!$D$5:$I$5</c:f>
              <c:numCache>
                <c:formatCode>General</c:formatCode>
                <c:ptCount val="6"/>
                <c:pt idx="0">
                  <c:v>100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1F-48B7-ABFC-EE766043E226}"/>
            </c:ext>
          </c:extLst>
        </c:ser>
        <c:ser>
          <c:idx val="1"/>
          <c:order val="1"/>
          <c:tx>
            <c:strRef>
              <c:f>MatrixIdee!$C$6</c:f>
              <c:strCache>
                <c:ptCount val="1"/>
                <c:pt idx="0">
                  <c:v>Kriterium 2</c:v>
                </c:pt>
              </c:strCache>
            </c:strRef>
          </c:tx>
          <c:spPr>
            <a:solidFill>
              <a:srgbClr val="1455A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MatrixIdee!$D$4:$I$4</c:f>
              <c:strCache>
                <c:ptCount val="6"/>
                <c:pt idx="0">
                  <c:v>Idee 1</c:v>
                </c:pt>
                <c:pt idx="1">
                  <c:v>Idee 2</c:v>
                </c:pt>
                <c:pt idx="2">
                  <c:v>?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MatrixIdee!$D$6:$I$6</c:f>
              <c:numCache>
                <c:formatCode>General</c:formatCode>
                <c:ptCount val="6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1F-48B7-ABFC-EE766043E226}"/>
            </c:ext>
          </c:extLst>
        </c:ser>
        <c:ser>
          <c:idx val="2"/>
          <c:order val="2"/>
          <c:tx>
            <c:strRef>
              <c:f>MatrixIdee!$C$7</c:f>
              <c:strCache>
                <c:ptCount val="1"/>
                <c:pt idx="0">
                  <c:v>?</c:v>
                </c:pt>
              </c:strCache>
            </c:strRef>
          </c:tx>
          <c:spPr>
            <a:solidFill>
              <a:srgbClr val="3264B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MatrixIdee!$D$4:$I$4</c:f>
              <c:strCache>
                <c:ptCount val="6"/>
                <c:pt idx="0">
                  <c:v>Idee 1</c:v>
                </c:pt>
                <c:pt idx="1">
                  <c:v>Idee 2</c:v>
                </c:pt>
                <c:pt idx="2">
                  <c:v>?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MatrixIdee!$D$7:$I$7</c:f>
              <c:numCache>
                <c:formatCode>General</c:formatCode>
                <c:ptCount val="6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21F-48B7-ABFC-EE766043E226}"/>
            </c:ext>
          </c:extLst>
        </c:ser>
        <c:ser>
          <c:idx val="3"/>
          <c:order val="3"/>
          <c:tx>
            <c:strRef>
              <c:f>MatrixIdee!$C$8</c:f>
              <c:strCache>
                <c:ptCount val="1"/>
                <c:pt idx="0">
                  <c:v>?</c:v>
                </c:pt>
              </c:strCache>
            </c:strRef>
          </c:tx>
          <c:spPr>
            <a:solidFill>
              <a:srgbClr val="5078B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MatrixIdee!$D$4:$I$4</c:f>
              <c:strCache>
                <c:ptCount val="6"/>
                <c:pt idx="0">
                  <c:v>Idee 1</c:v>
                </c:pt>
                <c:pt idx="1">
                  <c:v>Idee 2</c:v>
                </c:pt>
                <c:pt idx="2">
                  <c:v>?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MatrixIdee!$D$8:$I$8</c:f>
              <c:numCache>
                <c:formatCode>General</c:formatCode>
                <c:ptCount val="6"/>
                <c:pt idx="0">
                  <c:v>81</c:v>
                </c:pt>
                <c:pt idx="1">
                  <c:v>81</c:v>
                </c:pt>
                <c:pt idx="2">
                  <c:v>54</c:v>
                </c:pt>
                <c:pt idx="3">
                  <c:v>36</c:v>
                </c:pt>
                <c:pt idx="4">
                  <c:v>9</c:v>
                </c:pt>
                <c:pt idx="5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21F-48B7-ABFC-EE766043E226}"/>
            </c:ext>
          </c:extLst>
        </c:ser>
        <c:ser>
          <c:idx val="4"/>
          <c:order val="4"/>
          <c:tx>
            <c:strRef>
              <c:f>MatrixIdee!$C$9</c:f>
              <c:strCache>
                <c:ptCount val="1"/>
                <c:pt idx="0">
                  <c:v>?</c:v>
                </c:pt>
              </c:strCache>
            </c:strRef>
          </c:tx>
          <c:spPr>
            <a:solidFill>
              <a:srgbClr val="739BCA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MatrixIdee!$D$4:$I$4</c:f>
              <c:strCache>
                <c:ptCount val="6"/>
                <c:pt idx="0">
                  <c:v>Idee 1</c:v>
                </c:pt>
                <c:pt idx="1">
                  <c:v>Idee 2</c:v>
                </c:pt>
                <c:pt idx="2">
                  <c:v>?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MatrixIdee!$D$9:$I$9</c:f>
              <c:numCache>
                <c:formatCode>General</c:formatCode>
                <c:ptCount val="6"/>
                <c:pt idx="0">
                  <c:v>16</c:v>
                </c:pt>
                <c:pt idx="1">
                  <c:v>16</c:v>
                </c:pt>
                <c:pt idx="2">
                  <c:v>16</c:v>
                </c:pt>
                <c:pt idx="3">
                  <c:v>16</c:v>
                </c:pt>
                <c:pt idx="4">
                  <c:v>16</c:v>
                </c:pt>
                <c:pt idx="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21F-48B7-ABFC-EE766043E226}"/>
            </c:ext>
          </c:extLst>
        </c:ser>
        <c:ser>
          <c:idx val="5"/>
          <c:order val="5"/>
          <c:tx>
            <c:strRef>
              <c:f>MatrixIdee!$C$10</c:f>
              <c:strCache>
                <c:ptCount val="1"/>
                <c:pt idx="0">
                  <c:v>?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MatrixIdee!$D$4:$I$4</c:f>
              <c:strCache>
                <c:ptCount val="6"/>
                <c:pt idx="0">
                  <c:v>Idee 1</c:v>
                </c:pt>
                <c:pt idx="1">
                  <c:v>Idee 2</c:v>
                </c:pt>
                <c:pt idx="2">
                  <c:v>?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MatrixIdee!$D$10:$I$10</c:f>
              <c:numCache>
                <c:formatCode>General</c:formatCode>
                <c:ptCount val="6"/>
                <c:pt idx="0">
                  <c:v>35</c:v>
                </c:pt>
                <c:pt idx="1">
                  <c:v>30</c:v>
                </c:pt>
                <c:pt idx="2">
                  <c:v>35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21F-48B7-ABFC-EE766043E226}"/>
            </c:ext>
          </c:extLst>
        </c:ser>
        <c:ser>
          <c:idx val="6"/>
          <c:order val="6"/>
          <c:tx>
            <c:strRef>
              <c:f>MatrixIdee!$C$11</c:f>
              <c:strCache>
                <c:ptCount val="1"/>
                <c:pt idx="0">
                  <c:v>?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MatrixIdee!$D$4:$I$4</c:f>
              <c:strCache>
                <c:ptCount val="6"/>
                <c:pt idx="0">
                  <c:v>Idee 1</c:v>
                </c:pt>
                <c:pt idx="1">
                  <c:v>Idee 2</c:v>
                </c:pt>
                <c:pt idx="2">
                  <c:v>?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MatrixIdee!$D$11:$I$11</c:f>
              <c:numCache>
                <c:formatCode>General</c:formatCode>
                <c:ptCount val="6"/>
                <c:pt idx="0">
                  <c:v>9</c:v>
                </c:pt>
                <c:pt idx="1">
                  <c:v>9</c:v>
                </c:pt>
                <c:pt idx="2">
                  <c:v>9</c:v>
                </c:pt>
                <c:pt idx="3">
                  <c:v>9</c:v>
                </c:pt>
                <c:pt idx="4">
                  <c:v>9</c:v>
                </c:pt>
                <c:pt idx="5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21F-48B7-ABFC-EE766043E226}"/>
            </c:ext>
          </c:extLst>
        </c:ser>
        <c:ser>
          <c:idx val="7"/>
          <c:order val="7"/>
          <c:tx>
            <c:strRef>
              <c:f>MatrixIdee!$C$12</c:f>
              <c:strCache>
                <c:ptCount val="1"/>
                <c:pt idx="0">
                  <c:v>?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MatrixIdee!$D$4:$I$4</c:f>
              <c:strCache>
                <c:ptCount val="6"/>
                <c:pt idx="0">
                  <c:v>Idee 1</c:v>
                </c:pt>
                <c:pt idx="1">
                  <c:v>Idee 2</c:v>
                </c:pt>
                <c:pt idx="2">
                  <c:v>?</c:v>
                </c:pt>
                <c:pt idx="3">
                  <c:v>?</c:v>
                </c:pt>
                <c:pt idx="4">
                  <c:v>?</c:v>
                </c:pt>
                <c:pt idx="5">
                  <c:v>?</c:v>
                </c:pt>
              </c:strCache>
            </c:strRef>
          </c:cat>
          <c:val>
            <c:numRef>
              <c:f>MatrixIdee!$D$12:$I$12</c:f>
              <c:numCache>
                <c:formatCode>General</c:formatCode>
                <c:ptCount val="6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21F-48B7-ABFC-EE766043E2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62456912"/>
        <c:axId val="-162438960"/>
      </c:barChart>
      <c:catAx>
        <c:axId val="-162456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38960"/>
        <c:crosses val="autoZero"/>
        <c:auto val="1"/>
        <c:lblAlgn val="ctr"/>
        <c:lblOffset val="100"/>
        <c:noMultiLvlLbl val="0"/>
      </c:catAx>
      <c:valAx>
        <c:axId val="-162438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56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 '!$A$415</c:f>
          <c:strCache>
            <c:ptCount val="1"/>
            <c:pt idx="0">
              <c:v>PLUS VALUE POUR LES CLIENTS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9493797177062777E-2"/>
          <c:y val="9.4893660531241791E-2"/>
          <c:w val="0.83053562479904297"/>
          <c:h val="0.67490942682444011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Nutzen!$B$29:$B$48</c:f>
              <c:strCache>
                <c:ptCount val="3"/>
                <c:pt idx="0">
                  <c:v>Idee 3</c:v>
                </c:pt>
                <c:pt idx="1">
                  <c:v>Idee 2</c:v>
                </c:pt>
                <c:pt idx="2">
                  <c:v>Idee 1</c:v>
                </c:pt>
              </c:strCache>
            </c:strRef>
          </c:cat>
          <c:val>
            <c:numRef>
              <c:f>Nutzen!$C$29:$C$48</c:f>
              <c:numCache>
                <c:formatCode>General</c:formatCode>
                <c:ptCount val="20"/>
                <c:pt idx="0">
                  <c:v>10</c:v>
                </c:pt>
                <c:pt idx="1">
                  <c:v>6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91-454C-A70C-B8E7CD4CB0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62442224"/>
        <c:axId val="-162441680"/>
      </c:barChart>
      <c:lineChart>
        <c:grouping val="standard"/>
        <c:varyColors val="0"/>
        <c:ser>
          <c:idx val="1"/>
          <c:order val="1"/>
          <c:tx>
            <c:strRef>
              <c:f>Nutzen!$E$28</c:f>
              <c:strCache>
                <c:ptCount val="1"/>
                <c:pt idx="0">
                  <c:v>Percentage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Nutzen!$E$29:$E$48</c:f>
              <c:numCache>
                <c:formatCode>0%</c:formatCode>
                <c:ptCount val="20"/>
                <c:pt idx="0">
                  <c:v>0.55555555555555558</c:v>
                </c:pt>
                <c:pt idx="1">
                  <c:v>0.88888888888888884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91-454C-A70C-B8E7CD4CB0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62441136"/>
        <c:axId val="-162435696"/>
      </c:lineChart>
      <c:catAx>
        <c:axId val="-162442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41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162441680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42224"/>
        <c:crosses val="autoZero"/>
        <c:crossBetween val="between"/>
      </c:valAx>
      <c:catAx>
        <c:axId val="-162441136"/>
        <c:scaling>
          <c:orientation val="minMax"/>
        </c:scaling>
        <c:delete val="1"/>
        <c:axPos val="b"/>
        <c:majorTickMark val="none"/>
        <c:minorTickMark val="none"/>
        <c:tickLblPos val="nextTo"/>
        <c:crossAx val="-162435696"/>
        <c:crosses val="autoZero"/>
        <c:auto val="1"/>
        <c:lblAlgn val="ctr"/>
        <c:lblOffset val="100"/>
        <c:noMultiLvlLbl val="0"/>
      </c:catAx>
      <c:valAx>
        <c:axId val="-162435696"/>
        <c:scaling>
          <c:orientation val="minMax"/>
        </c:scaling>
        <c:delete val="0"/>
        <c:axPos val="r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41136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orientation="landscape" verticalDpi="1200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 '!$A$417</c:f>
          <c:strCache>
            <c:ptCount val="1"/>
            <c:pt idx="0">
              <c:v>ÉCONOMIES - INVESTISSEMENTS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de-CH" sz="1800" b="1" i="0" u="none" strike="noStrike" kern="1200" cap="all" spc="15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1831297840537461E-2"/>
          <c:y val="0.1072741885197946"/>
          <c:w val="0.9501285217576585"/>
          <c:h val="0.6636484606420514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Nutzen!$E$4</c:f>
              <c:strCache>
                <c:ptCount val="1"/>
                <c:pt idx="0">
                  <c:v>Économies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Nutzen!$C$5:$C$24</c:f>
              <c:strCache>
                <c:ptCount val="20"/>
                <c:pt idx="0">
                  <c:v>Idee 1</c:v>
                </c:pt>
                <c:pt idx="1">
                  <c:v>Idee 2</c:v>
                </c:pt>
                <c:pt idx="2">
                  <c:v>Idee 3</c:v>
                </c:pt>
                <c:pt idx="3">
                  <c:v>Idee 4</c:v>
                </c:pt>
                <c:pt idx="4">
                  <c:v>Idee 5</c:v>
                </c:pt>
                <c:pt idx="5">
                  <c:v>Idee 6</c:v>
                </c:pt>
                <c:pt idx="6">
                  <c:v>Idee 7</c:v>
                </c:pt>
                <c:pt idx="7">
                  <c:v>Idee 8</c:v>
                </c:pt>
                <c:pt idx="8">
                  <c:v>Idee 9</c:v>
                </c:pt>
                <c:pt idx="9">
                  <c:v>Idee 10</c:v>
                </c:pt>
                <c:pt idx="10">
                  <c:v>Idee 11</c:v>
                </c:pt>
                <c:pt idx="11">
                  <c:v>Idee 12</c:v>
                </c:pt>
                <c:pt idx="12">
                  <c:v>Idee 13</c:v>
                </c:pt>
                <c:pt idx="13">
                  <c:v>Idee 14</c:v>
                </c:pt>
                <c:pt idx="14">
                  <c:v>Idee 15</c:v>
                </c:pt>
                <c:pt idx="15">
                  <c:v>Idee 16</c:v>
                </c:pt>
                <c:pt idx="16">
                  <c:v>Idee 17</c:v>
                </c:pt>
                <c:pt idx="17">
                  <c:v>Idee 18</c:v>
                </c:pt>
                <c:pt idx="18">
                  <c:v>Idee 19</c:v>
                </c:pt>
                <c:pt idx="19">
                  <c:v>Idee 20</c:v>
                </c:pt>
              </c:strCache>
            </c:strRef>
          </c:cat>
          <c:val>
            <c:numRef>
              <c:f>Nutzen!$E$5:$E$24</c:f>
              <c:numCache>
                <c:formatCode>0</c:formatCode>
                <c:ptCount val="20"/>
                <c:pt idx="0">
                  <c:v>4</c:v>
                </c:pt>
                <c:pt idx="1">
                  <c:v>6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6C-4808-9475-869C734ED794}"/>
            </c:ext>
          </c:extLst>
        </c:ser>
        <c:ser>
          <c:idx val="1"/>
          <c:order val="1"/>
          <c:tx>
            <c:strRef>
              <c:f>Nutzen!$F$4</c:f>
              <c:strCache>
                <c:ptCount val="1"/>
                <c:pt idx="0">
                  <c:v>Investisse-ments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Nutzen!$C$5:$C$24</c:f>
              <c:strCache>
                <c:ptCount val="20"/>
                <c:pt idx="0">
                  <c:v>Idee 1</c:v>
                </c:pt>
                <c:pt idx="1">
                  <c:v>Idee 2</c:v>
                </c:pt>
                <c:pt idx="2">
                  <c:v>Idee 3</c:v>
                </c:pt>
                <c:pt idx="3">
                  <c:v>Idee 4</c:v>
                </c:pt>
                <c:pt idx="4">
                  <c:v>Idee 5</c:v>
                </c:pt>
                <c:pt idx="5">
                  <c:v>Idee 6</c:v>
                </c:pt>
                <c:pt idx="6">
                  <c:v>Idee 7</c:v>
                </c:pt>
                <c:pt idx="7">
                  <c:v>Idee 8</c:v>
                </c:pt>
                <c:pt idx="8">
                  <c:v>Idee 9</c:v>
                </c:pt>
                <c:pt idx="9">
                  <c:v>Idee 10</c:v>
                </c:pt>
                <c:pt idx="10">
                  <c:v>Idee 11</c:v>
                </c:pt>
                <c:pt idx="11">
                  <c:v>Idee 12</c:v>
                </c:pt>
                <c:pt idx="12">
                  <c:v>Idee 13</c:v>
                </c:pt>
                <c:pt idx="13">
                  <c:v>Idee 14</c:v>
                </c:pt>
                <c:pt idx="14">
                  <c:v>Idee 15</c:v>
                </c:pt>
                <c:pt idx="15">
                  <c:v>Idee 16</c:v>
                </c:pt>
                <c:pt idx="16">
                  <c:v>Idee 17</c:v>
                </c:pt>
                <c:pt idx="17">
                  <c:v>Idee 18</c:v>
                </c:pt>
                <c:pt idx="18">
                  <c:v>Idee 19</c:v>
                </c:pt>
                <c:pt idx="19">
                  <c:v>Idee 20</c:v>
                </c:pt>
              </c:strCache>
            </c:strRef>
          </c:cat>
          <c:val>
            <c:numRef>
              <c:f>Nutzen!$F$5:$F$24</c:f>
              <c:numCache>
                <c:formatCode>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B6C-4808-9475-869C734ED7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62446032"/>
        <c:axId val="-162443312"/>
      </c:barChart>
      <c:catAx>
        <c:axId val="-162446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43312"/>
        <c:crosses val="autoZero"/>
        <c:auto val="1"/>
        <c:lblAlgn val="ctr"/>
        <c:lblOffset val="100"/>
        <c:noMultiLvlLbl val="0"/>
      </c:catAx>
      <c:valAx>
        <c:axId val="-162443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46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 rot="5400000" vert="horz"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Kosten!$D$25</c:f>
              <c:strCache>
                <c:ptCount val="1"/>
                <c:pt idx="0">
                  <c:v>en %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/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Kosten!$C$26:$C$40</c:f>
              <c:strCache>
                <c:ptCount val="2"/>
                <c:pt idx="0">
                  <c:v>Coût 1</c:v>
                </c:pt>
                <c:pt idx="1">
                  <c:v>Coût 2</c:v>
                </c:pt>
              </c:strCache>
            </c:strRef>
          </c:cat>
          <c:val>
            <c:numRef>
              <c:f>Kosten!$D$26:$D$40</c:f>
              <c:numCache>
                <c:formatCode>0%</c:formatCode>
                <c:ptCount val="15"/>
                <c:pt idx="0">
                  <c:v>0.8</c:v>
                </c:pt>
                <c:pt idx="1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A7-4DAC-A820-07FC50F76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ln>
              <a:solidFill>
                <a:schemeClr val="tx2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bg2">
                  <a:lumMod val="90000"/>
                  <a:alpha val="50000"/>
                </a:schemeClr>
              </a:solidFill>
              <a:ln>
                <a:solidFill>
                  <a:schemeClr val="bg2">
                    <a:lumMod val="2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36C9-46F7-BAE8-228691104936}"/>
              </c:ext>
            </c:extLst>
          </c:dPt>
          <c:dPt>
            <c:idx val="1"/>
            <c:invertIfNegative val="0"/>
            <c:bubble3D val="0"/>
            <c:spPr>
              <a:solidFill>
                <a:schemeClr val="bg2">
                  <a:lumMod val="75000"/>
                  <a:alpha val="50000"/>
                </a:schemeClr>
              </a:solidFill>
              <a:ln>
                <a:solidFill>
                  <a:schemeClr val="bg2">
                    <a:lumMod val="2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36C9-46F7-BAE8-228691104936}"/>
              </c:ext>
            </c:extLst>
          </c:dPt>
          <c:dPt>
            <c:idx val="2"/>
            <c:invertIfNegative val="0"/>
            <c:bubble3D val="0"/>
            <c:spPr>
              <a:solidFill>
                <a:schemeClr val="bg1">
                  <a:lumMod val="95000"/>
                  <a:alpha val="50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36C9-46F7-BAE8-228691104936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85000"/>
                  <a:alpha val="50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36C9-46F7-BAE8-228691104936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20000"/>
                  <a:lumOff val="80000"/>
                  <a:alpha val="5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36C9-46F7-BAE8-228691104936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4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B-36C9-46F7-BAE8-228691104936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2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2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D-36C9-46F7-BAE8-228691104936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2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F-36C9-46F7-BAE8-228691104936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3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3">
                    <a:lumMod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1-36C9-46F7-BAE8-228691104936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3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3">
                    <a:lumMod val="50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3-36C9-46F7-BAE8-228691104936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4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4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5-36C9-46F7-BAE8-228691104936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4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4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7-36C9-46F7-BAE8-228691104936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5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5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9-36C9-46F7-BAE8-228691104936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5">
                  <a:lumMod val="60000"/>
                  <a:lumOff val="40000"/>
                  <a:alpha val="50000"/>
                </a:schemeClr>
              </a:solidFill>
              <a:ln>
                <a:solidFill>
                  <a:schemeClr val="accent5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B-36C9-46F7-BAE8-228691104936}"/>
              </c:ext>
            </c:extLst>
          </c:dPt>
          <c:dPt>
            <c:idx val="14"/>
            <c:invertIfNegative val="0"/>
            <c:bubble3D val="0"/>
            <c:spPr>
              <a:solidFill>
                <a:schemeClr val="accent6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D-36C9-46F7-BAE8-228691104936}"/>
              </c:ext>
            </c:extLst>
          </c:dPt>
          <c:dLbls>
            <c:dLbl>
              <c:idx val="0"/>
              <c:layout>
                <c:manualLayout>
                  <c:x val="-8.3307290698941008E-2"/>
                  <c:y val="-8.8741018247284337E-3"/>
                </c:manualLayout>
              </c:layout>
              <c:tx>
                <c:strRef>
                  <c:f>Portfolio!$B$5</c:f>
                  <c:strCache>
                    <c:ptCount val="1"/>
                    <c:pt idx="0">
                      <c:v>i1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{0C376788-D3D8-45C6-85E1-F2E4124AB70B}</c15:txfldGUID>
                      <c15:f>Portfolio!$B$5</c15:f>
                      <c15:dlblFieldTableCache>
                        <c:ptCount val="1"/>
                        <c:pt idx="0">
                          <c:v>i1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36C9-46F7-BAE8-228691104936}"/>
                </c:ext>
              </c:extLst>
            </c:dLbl>
            <c:dLbl>
              <c:idx val="1"/>
              <c:layout>
                <c:manualLayout>
                  <c:x val="-7.113690659927642E-2"/>
                  <c:y val="-2.2185254561821132E-3"/>
                </c:manualLayout>
              </c:layout>
              <c:tx>
                <c:strRef>
                  <c:f>Portfolio!$B$6</c:f>
                  <c:strCache>
                    <c:ptCount val="1"/>
                    <c:pt idx="0">
                      <c:v>i2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{DB1E1C1C-1C7F-480E-8EF0-B04E0FC7ACCB}</c15:txfldGUID>
                      <c15:f>Portfolio!$B$6</c15:f>
                      <c15:dlblFieldTableCache>
                        <c:ptCount val="1"/>
                        <c:pt idx="0">
                          <c:v>i2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36C9-46F7-BAE8-228691104936}"/>
                </c:ext>
              </c:extLst>
            </c:dLbl>
            <c:dLbl>
              <c:idx val="2"/>
              <c:layout>
                <c:manualLayout>
                  <c:x val="-8.7364085398829242E-2"/>
                  <c:y val="1.331115273709268E-2"/>
                </c:manualLayout>
              </c:layout>
              <c:tx>
                <c:strRef>
                  <c:f>Portfolio!$B$7</c:f>
                  <c:strCache>
                    <c:ptCount val="1"/>
                    <c:pt idx="0">
                      <c:v>i3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{3CD282BA-24DD-4457-8F57-F3B91B430B39}</c15:txfldGUID>
                      <c15:f>Portfolio!$B$7</c15:f>
                      <c15:dlblFieldTableCache>
                        <c:ptCount val="1"/>
                        <c:pt idx="0">
                          <c:v>i3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36C9-46F7-BAE8-228691104936}"/>
                </c:ext>
              </c:extLst>
            </c:dLbl>
            <c:dLbl>
              <c:idx val="3"/>
              <c:tx>
                <c:strRef>
                  <c:f>Portfolio!$B$8</c:f>
                  <c:strCache>
                    <c:ptCount val="1"/>
                    <c:pt idx="0">
                      <c:v>i4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{7E3F2305-104C-4EC4-B115-BBFF983BF645}</c15:txfldGUID>
                      <c15:f>Portfolio!$B$8</c15:f>
                      <c15:dlblFieldTableCache>
                        <c:ptCount val="1"/>
                        <c:pt idx="0">
                          <c:v>i4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36C9-46F7-BAE8-228691104936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strRef>
                  <c:f>Portfolio!$B$9</c:f>
                  <c:strCache>
                    <c:ptCount val="1"/>
                    <c:pt idx="0">
                      <c:v>i5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{02CC4677-95F1-4C41-A089-3DE861F3C879}</c15:txfldGUID>
                      <c15:f>Portfolio!$B$9</c15:f>
                      <c15:dlblFieldTableCache>
                        <c:ptCount val="1"/>
                        <c:pt idx="0">
                          <c:v>i5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36C9-46F7-BAE8-228691104936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strRef>
                  <c:f>Portfolio!$B$10</c:f>
                  <c:strCache>
                    <c:ptCount val="1"/>
                    <c:pt idx="0">
                      <c:v>i6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{DCC84BDF-A055-4904-849A-B3A1922D9009}</c15:txfldGUID>
                      <c15:f>Portfolio!$B$10</c15:f>
                      <c15:dlblFieldTableCache>
                        <c:ptCount val="1"/>
                        <c:pt idx="0">
                          <c:v>i6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36C9-46F7-BAE8-228691104936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strRef>
                  <c:f>Portfolio!$B$11</c:f>
                  <c:strCache>
                    <c:ptCount val="1"/>
                    <c:pt idx="0">
                      <c:v>i7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{CB2D131A-AE1B-43E0-87D9-0ED6998A7439}</c15:txfldGUID>
                      <c15:f>Portfolio!$B$11</c15:f>
                      <c15:dlblFieldTableCache>
                        <c:ptCount val="1"/>
                        <c:pt idx="0">
                          <c:v>i7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36C9-46F7-BAE8-228691104936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strRef>
                  <c:f>Portfolio!$B$12</c:f>
                  <c:strCache>
                    <c:ptCount val="1"/>
                    <c:pt idx="0">
                      <c:v>i8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{4C57A3D5-1092-4EBE-BFFF-1111D7583C6C}</c15:txfldGUID>
                      <c15:f>Portfolio!$B$12</c15:f>
                      <c15:dlblFieldTableCache>
                        <c:ptCount val="1"/>
                        <c:pt idx="0">
                          <c:v>i8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36C9-46F7-BAE8-228691104936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strRef>
                  <c:f>Portfolio!$B$13</c:f>
                  <c:strCache>
                    <c:ptCount val="1"/>
                    <c:pt idx="0">
                      <c:v>i9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{1659304A-303C-49BB-829D-E80D46C129CE}</c15:txfldGUID>
                      <c15:f>Portfolio!$B$13</c15:f>
                      <c15:dlblFieldTableCache>
                        <c:ptCount val="1"/>
                        <c:pt idx="0">
                          <c:v>i9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36C9-46F7-BAE8-228691104936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strRef>
                  <c:f>Portfolio!$B$14</c:f>
                  <c:strCache>
                    <c:ptCount val="1"/>
                    <c:pt idx="0">
                      <c:v>i10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{5767BD10-AC6D-4C38-80EA-14F52DFA64CD}</c15:txfldGUID>
                      <c15:f>Portfolio!$B$14</c15:f>
                      <c15:dlblFieldTableCache>
                        <c:ptCount val="1"/>
                        <c:pt idx="0">
                          <c:v>i10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36C9-46F7-BAE8-228691104936}"/>
                </c:ext>
              </c:extLst>
            </c:dLbl>
            <c:dLbl>
              <c:idx val="10"/>
              <c:tx>
                <c:strRef>
                  <c:f>Portfolio!$B$15</c:f>
                  <c:strCache>
                    <c:ptCount val="1"/>
                    <c:pt idx="0">
                      <c:v>i11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{BED1168B-DB94-4D04-80B1-77E8520121DC}</c15:txfldGUID>
                      <c15:f>Portfolio!$B$15</c15:f>
                      <c15:dlblFieldTableCache>
                        <c:ptCount val="1"/>
                        <c:pt idx="0">
                          <c:v>i11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5-36C9-46F7-BAE8-228691104936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strRef>
                  <c:f>Portfolio!$B$16</c:f>
                  <c:strCache>
                    <c:ptCount val="1"/>
                    <c:pt idx="0">
                      <c:v>i12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{5BDF1AA5-6F84-419F-8521-9737DD4E8076}</c15:txfldGUID>
                      <c15:f>Portfolio!$B$16</c15:f>
                      <c15:dlblFieldTableCache>
                        <c:ptCount val="1"/>
                        <c:pt idx="0">
                          <c:v>i12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7-36C9-46F7-BAE8-228691104936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strRef>
                  <c:f>Portfolio!$B$17</c:f>
                  <c:strCache>
                    <c:ptCount val="1"/>
                    <c:pt idx="0">
                      <c:v>i13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{AE58451F-0087-4AA3-87B4-5E629641B44F}</c15:txfldGUID>
                      <c15:f>Portfolio!$B$17</c15:f>
                      <c15:dlblFieldTableCache>
                        <c:ptCount val="1"/>
                        <c:pt idx="0">
                          <c:v>i13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9-36C9-46F7-BAE8-228691104936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strRef>
                  <c:f>Portfolio!$B$18</c:f>
                  <c:strCache>
                    <c:ptCount val="1"/>
                    <c:pt idx="0">
                      <c:v>i14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{CF3D6310-56CC-4668-98A3-41ABECBF1A7E}</c15:txfldGUID>
                      <c15:f>Portfolio!$B$18</c15:f>
                      <c15:dlblFieldTableCache>
                        <c:ptCount val="1"/>
                        <c:pt idx="0">
                          <c:v>i14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B-36C9-46F7-BAE8-228691104936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strRef>
                  <c:f>Portfolio!$B$19</c:f>
                  <c:strCache>
                    <c:ptCount val="1"/>
                    <c:pt idx="0">
                      <c:v>i15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{6D23BF6E-B79E-48C6-843A-223A6D3521DF}</c15:txfldGUID>
                      <c15:f>Portfolio!$B$19</c15:f>
                      <c15:dlblFieldTableCache>
                        <c:ptCount val="1"/>
                        <c:pt idx="0">
                          <c:v>i15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D-36C9-46F7-BAE8-228691104936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Portfolio!$D$5:$D$19</c:f>
              <c:numCache>
                <c:formatCode>0</c:formatCode>
                <c:ptCount val="15"/>
                <c:pt idx="0">
                  <c:v>8</c:v>
                </c:pt>
                <c:pt idx="1">
                  <c:v>3</c:v>
                </c:pt>
              </c:numCache>
            </c:numRef>
          </c:xVal>
          <c:yVal>
            <c:numRef>
              <c:f>Portfolio!$E$5:$E$19</c:f>
              <c:numCache>
                <c:formatCode>0</c:formatCode>
                <c:ptCount val="15"/>
                <c:pt idx="0">
                  <c:v>9</c:v>
                </c:pt>
                <c:pt idx="1">
                  <c:v>6</c:v>
                </c:pt>
              </c:numCache>
            </c:numRef>
          </c:yVal>
          <c:bubbleSize>
            <c:numRef>
              <c:f>Portfolio!$K$5:$K$19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E-36C9-46F7-BAE8-2286911049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162440048"/>
        <c:axId val="-162454736"/>
      </c:bubbleChart>
      <c:valAx>
        <c:axId val="-162440048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-162454736"/>
        <c:crosses val="autoZero"/>
        <c:crossBetween val="midCat"/>
        <c:majorUnit val="1"/>
        <c:minorUnit val="0.1"/>
      </c:valAx>
      <c:valAx>
        <c:axId val="-162454736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-162440048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453193350831147E-2"/>
          <c:y val="3.0478737928459579E-2"/>
          <c:w val="0.81096011499924903"/>
          <c:h val="0.91180701138472342"/>
        </c:manualLayout>
      </c:layout>
      <c:bubbleChart>
        <c:varyColors val="0"/>
        <c:ser>
          <c:idx val="0"/>
          <c:order val="0"/>
          <c:spPr>
            <a:ln>
              <a:solidFill>
                <a:schemeClr val="tx2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bg2">
                  <a:lumMod val="90000"/>
                  <a:alpha val="50000"/>
                </a:schemeClr>
              </a:solidFill>
              <a:ln>
                <a:solidFill>
                  <a:schemeClr val="bg2">
                    <a:lumMod val="2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79CD-4082-B8D6-74FC788C7430}"/>
              </c:ext>
            </c:extLst>
          </c:dPt>
          <c:dPt>
            <c:idx val="1"/>
            <c:invertIfNegative val="0"/>
            <c:bubble3D val="0"/>
            <c:spPr>
              <a:solidFill>
                <a:schemeClr val="bg2">
                  <a:lumMod val="75000"/>
                  <a:alpha val="50000"/>
                </a:schemeClr>
              </a:solidFill>
              <a:ln>
                <a:solidFill>
                  <a:schemeClr val="bg2">
                    <a:lumMod val="2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79CD-4082-B8D6-74FC788C7430}"/>
              </c:ext>
            </c:extLst>
          </c:dPt>
          <c:dPt>
            <c:idx val="2"/>
            <c:invertIfNegative val="0"/>
            <c:bubble3D val="0"/>
            <c:spPr>
              <a:solidFill>
                <a:schemeClr val="bg1">
                  <a:lumMod val="95000"/>
                  <a:alpha val="50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79CD-4082-B8D6-74FC788C7430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85000"/>
                  <a:alpha val="50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79CD-4082-B8D6-74FC788C7430}"/>
              </c:ext>
            </c:extLst>
          </c:dPt>
          <c:dPt>
            <c:idx val="4"/>
            <c:invertIfNegative val="0"/>
            <c:bubble3D val="0"/>
            <c:spPr>
              <a:solidFill>
                <a:schemeClr val="tx2">
                  <a:lumMod val="20000"/>
                  <a:lumOff val="80000"/>
                  <a:alpha val="5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79CD-4082-B8D6-74FC788C7430}"/>
              </c:ext>
            </c:extLst>
          </c:dPt>
          <c:dPt>
            <c:idx val="5"/>
            <c:invertIfNegative val="0"/>
            <c:bubble3D val="0"/>
            <c:spPr>
              <a:solidFill>
                <a:schemeClr val="tx2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4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B-79CD-4082-B8D6-74FC788C7430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2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2">
                    <a:lumMod val="75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D-79CD-4082-B8D6-74FC788C7430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2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F-79CD-4082-B8D6-74FC788C7430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3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3">
                    <a:lumMod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1-79CD-4082-B8D6-74FC788C7430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3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3">
                    <a:lumMod val="50000"/>
                    <a:alpha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3-79CD-4082-B8D6-74FC788C7430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4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4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5-79CD-4082-B8D6-74FC788C7430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4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4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7-79CD-4082-B8D6-74FC788C7430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5">
                  <a:lumMod val="20000"/>
                  <a:lumOff val="80000"/>
                  <a:alpha val="50000"/>
                </a:schemeClr>
              </a:solidFill>
              <a:ln>
                <a:solidFill>
                  <a:schemeClr val="accent5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9-79CD-4082-B8D6-74FC788C7430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5">
                  <a:lumMod val="60000"/>
                  <a:lumOff val="40000"/>
                  <a:alpha val="50000"/>
                </a:schemeClr>
              </a:solidFill>
              <a:ln>
                <a:solidFill>
                  <a:schemeClr val="accent5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B-79CD-4082-B8D6-74FC788C7430}"/>
              </c:ext>
            </c:extLst>
          </c:dPt>
          <c:dPt>
            <c:idx val="14"/>
            <c:invertIfNegative val="0"/>
            <c:bubble3D val="0"/>
            <c:spPr>
              <a:solidFill>
                <a:schemeClr val="accent6">
                  <a:lumMod val="40000"/>
                  <a:lumOff val="60000"/>
                  <a:alpha val="50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D-79CD-4082-B8D6-74FC788C7430}"/>
              </c:ext>
            </c:extLst>
          </c:dPt>
          <c:dLbls>
            <c:dLbl>
              <c:idx val="0"/>
              <c:layout>
                <c:manualLayout>
                  <c:x val="-8.3307290698941008E-2"/>
                  <c:y val="-8.8741018247284337E-3"/>
                </c:manualLayout>
              </c:layout>
              <c:tx>
                <c:strRef>
                  <c:f>Risikomgmt!$B$5</c:f>
                  <c:strCache>
                    <c:ptCount val="1"/>
                    <c:pt idx="0">
                      <c:v>R1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{26AC3D0C-7FBE-49F2-BF2B-BFD5E477A56F}</c15:txfldGUID>
                      <c15:f>Risikomgmt!$B$5</c15:f>
                      <c15:dlblFieldTableCache>
                        <c:ptCount val="1"/>
                        <c:pt idx="0">
                          <c:v>R1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79CD-4082-B8D6-74FC788C7430}"/>
                </c:ext>
              </c:extLst>
            </c:dLbl>
            <c:dLbl>
              <c:idx val="1"/>
              <c:layout>
                <c:manualLayout>
                  <c:x val="-7.113690659927642E-2"/>
                  <c:y val="-2.2185254561821132E-3"/>
                </c:manualLayout>
              </c:layout>
              <c:tx>
                <c:strRef>
                  <c:f>Risikomgmt!$B$6</c:f>
                  <c:strCache>
                    <c:ptCount val="1"/>
                    <c:pt idx="0">
                      <c:v>R2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{01E58A4A-6973-4B69-97B0-156AC07D1CF8}</c15:txfldGUID>
                      <c15:f>Risikomgmt!$B$6</c15:f>
                      <c15:dlblFieldTableCache>
                        <c:ptCount val="1"/>
                        <c:pt idx="0">
                          <c:v>R2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79CD-4082-B8D6-74FC788C7430}"/>
                </c:ext>
              </c:extLst>
            </c:dLbl>
            <c:dLbl>
              <c:idx val="2"/>
              <c:layout>
                <c:manualLayout>
                  <c:x val="-8.7364085398829242E-2"/>
                  <c:y val="1.331115273709268E-2"/>
                </c:manualLayout>
              </c:layout>
              <c:tx>
                <c:strRef>
                  <c:f>Risikomgmt!$B$7</c:f>
                  <c:strCache>
                    <c:ptCount val="1"/>
                    <c:pt idx="0">
                      <c:v>R3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{DA5BE1D0-FAF2-4E52-9D28-09956E793BAF}</c15:txfldGUID>
                      <c15:f>Risikomgmt!$B$7</c15:f>
                      <c15:dlblFieldTableCache>
                        <c:ptCount val="1"/>
                        <c:pt idx="0">
                          <c:v>R3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5-79CD-4082-B8D6-74FC788C7430}"/>
                </c:ext>
              </c:extLst>
            </c:dLbl>
            <c:dLbl>
              <c:idx val="3"/>
              <c:tx>
                <c:strRef>
                  <c:f>Risikomgmt!$B$8</c:f>
                  <c:strCache>
                    <c:ptCount val="1"/>
                    <c:pt idx="0">
                      <c:v>R4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{6152C717-FAFB-40A0-8BAE-E0B53FC8EA80}</c15:txfldGUID>
                      <c15:f>Risikomgmt!$B$8</c15:f>
                      <c15:dlblFieldTableCache>
                        <c:ptCount val="1"/>
                        <c:pt idx="0">
                          <c:v>R4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7-79CD-4082-B8D6-74FC788C7430}"/>
                </c:ext>
              </c:extLst>
            </c:dLbl>
            <c:dLbl>
              <c:idx val="4"/>
              <c:layout>
                <c:manualLayout>
                  <c:x val="-6.2355064088305663E-2"/>
                  <c:y val="1.1092627280910566E-2"/>
                </c:manualLayout>
              </c:layout>
              <c:tx>
                <c:strRef>
                  <c:f>Risikomgmt!$B$9</c:f>
                  <c:strCache>
                    <c:ptCount val="1"/>
                    <c:pt idx="0">
                      <c:v>R5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{DCE6ADE3-04B4-4A4D-8887-E2096C198214}</c15:txfldGUID>
                      <c15:f>Risikomgmt!$B$9</c15:f>
                      <c15:dlblFieldTableCache>
                        <c:ptCount val="1"/>
                        <c:pt idx="0">
                          <c:v>R5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79CD-4082-B8D6-74FC788C7430}"/>
                </c:ext>
              </c:extLst>
            </c:dLbl>
            <c:dLbl>
              <c:idx val="5"/>
              <c:layout>
                <c:manualLayout>
                  <c:x val="-8.1955025798978162E-2"/>
                  <c:y val="8.8741018247284528E-3"/>
                </c:manualLayout>
              </c:layout>
              <c:tx>
                <c:strRef>
                  <c:f>Risikomgmt!$B$10</c:f>
                  <c:strCache>
                    <c:ptCount val="1"/>
                    <c:pt idx="0">
                      <c:v>R6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{3F3A3E89-B531-48CA-8362-8256D9BE69B5}</c15:txfldGUID>
                      <c15:f>Risikomgmt!$B$10</c15:f>
                      <c15:dlblFieldTableCache>
                        <c:ptCount val="1"/>
                        <c:pt idx="0">
                          <c:v>R6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B-79CD-4082-B8D6-74FC788C7430}"/>
                </c:ext>
              </c:extLst>
            </c:dLbl>
            <c:dLbl>
              <c:idx val="6"/>
              <c:layout>
                <c:manualLayout>
                  <c:x val="-6.663088311096739E-2"/>
                  <c:y val="0"/>
                </c:manualLayout>
              </c:layout>
              <c:tx>
                <c:strRef>
                  <c:f>Risikomgmt!$B$11</c:f>
                  <c:strCache>
                    <c:ptCount val="1"/>
                    <c:pt idx="0">
                      <c:v>R7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{0D7919A8-34DE-4AE9-AF51-A40C8B8F0DC9}</c15:txfldGUID>
                      <c15:f>Risikomgmt!$B$11</c15:f>
                      <c15:dlblFieldTableCache>
                        <c:ptCount val="1"/>
                        <c:pt idx="0">
                          <c:v>R7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D-79CD-4082-B8D6-74FC788C7430}"/>
                </c:ext>
              </c:extLst>
            </c:dLbl>
            <c:dLbl>
              <c:idx val="7"/>
              <c:layout>
                <c:manualLayout>
                  <c:x val="-7.4744472510743856E-2"/>
                  <c:y val="8.8741018247284528E-3"/>
                </c:manualLayout>
              </c:layout>
              <c:tx>
                <c:strRef>
                  <c:f>Risikomgmt!$B$12</c:f>
                  <c:strCache>
                    <c:ptCount val="1"/>
                    <c:pt idx="0">
                      <c:v>R8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{B4C38043-86D2-47B4-A015-5B110271AE9B}</c15:txfldGUID>
                      <c15:f>Risikomgmt!$B$12</c15:f>
                      <c15:dlblFieldTableCache>
                        <c:ptCount val="1"/>
                        <c:pt idx="0">
                          <c:v>R8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F-79CD-4082-B8D6-74FC788C7430}"/>
                </c:ext>
              </c:extLst>
            </c:dLbl>
            <c:dLbl>
              <c:idx val="8"/>
              <c:layout>
                <c:manualLayout>
                  <c:x val="-7.744900231066934E-2"/>
                  <c:y val="-1.331115273709268E-2"/>
                </c:manualLayout>
              </c:layout>
              <c:tx>
                <c:strRef>
                  <c:f>Risikomgmt!$B$13</c:f>
                  <c:strCache>
                    <c:ptCount val="1"/>
                    <c:pt idx="0">
                      <c:v>R9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{5C4256FF-1B34-468E-9F40-23D23555FD0E}</c15:txfldGUID>
                      <c15:f>Risikomgmt!$B$13</c15:f>
                      <c15:dlblFieldTableCache>
                        <c:ptCount val="1"/>
                        <c:pt idx="0">
                          <c:v>R9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1-79CD-4082-B8D6-74FC788C7430}"/>
                </c:ext>
              </c:extLst>
            </c:dLbl>
            <c:dLbl>
              <c:idx val="9"/>
              <c:layout>
                <c:manualLayout>
                  <c:x val="-6.1726314148598582E-2"/>
                  <c:y val="-1.1092627280910566E-2"/>
                </c:manualLayout>
              </c:layout>
              <c:tx>
                <c:strRef>
                  <c:f>Risikomgmt!$B$14</c:f>
                  <c:strCache>
                    <c:ptCount val="1"/>
                    <c:pt idx="0">
                      <c:v>R10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{34A42CAB-A193-4765-A0EA-70F457BE5783}</c15:txfldGUID>
                      <c15:f>Risikomgmt!$B$14</c15:f>
                      <c15:dlblFieldTableCache>
                        <c:ptCount val="1"/>
                        <c:pt idx="0">
                          <c:v>R10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3-79CD-4082-B8D6-74FC788C7430}"/>
                </c:ext>
              </c:extLst>
            </c:dLbl>
            <c:dLbl>
              <c:idx val="10"/>
              <c:tx>
                <c:strRef>
                  <c:f>Risikomgmt!$B$15</c:f>
                  <c:strCache>
                    <c:ptCount val="1"/>
                    <c:pt idx="0">
                      <c:v>R11</c:v>
                    </c:pt>
                  </c:strCache>
                </c:strRef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{90770A6B-878F-45B0-8EFA-28AA343903FE}</c15:txfldGUID>
                      <c15:f>Risikomgmt!$B$15</c15:f>
                      <c15:dlblFieldTableCache>
                        <c:ptCount val="1"/>
                        <c:pt idx="0">
                          <c:v>R11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5-79CD-4082-B8D6-74FC788C7430}"/>
                </c:ext>
              </c:extLst>
            </c:dLbl>
            <c:dLbl>
              <c:idx val="11"/>
              <c:layout>
                <c:manualLayout>
                  <c:x val="-5.6317254548747607E-2"/>
                  <c:y val="-6.65557636854634E-3"/>
                </c:manualLayout>
              </c:layout>
              <c:tx>
                <c:strRef>
                  <c:f>Risikomgmt!$B$16</c:f>
                  <c:strCache>
                    <c:ptCount val="1"/>
                    <c:pt idx="0">
                      <c:v>R12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{F1B4BBB4-903C-42CB-A3A7-0D25D6E60F8C}</c15:txfldGUID>
                      <c15:f>Risikomgmt!$B$16</c15:f>
                      <c15:dlblFieldTableCache>
                        <c:ptCount val="1"/>
                        <c:pt idx="0">
                          <c:v>R12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7-79CD-4082-B8D6-74FC788C7430}"/>
                </c:ext>
              </c:extLst>
            </c:dLbl>
            <c:dLbl>
              <c:idx val="12"/>
              <c:layout>
                <c:manualLayout>
                  <c:x val="-6.1726314148598582E-2"/>
                  <c:y val="-1.331115273709268E-2"/>
                </c:manualLayout>
              </c:layout>
              <c:tx>
                <c:strRef>
                  <c:f>Risikomgmt!$B$17</c:f>
                  <c:strCache>
                    <c:ptCount val="1"/>
                    <c:pt idx="0">
                      <c:v>R13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{6079E131-B918-4540-8762-FD57B6FF2B46}</c15:txfldGUID>
                      <c15:f>Risikomgmt!$B$17</c15:f>
                      <c15:dlblFieldTableCache>
                        <c:ptCount val="1"/>
                        <c:pt idx="0">
                          <c:v>R13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9-79CD-4082-B8D6-74FC788C7430}"/>
                </c:ext>
              </c:extLst>
            </c:dLbl>
            <c:dLbl>
              <c:idx val="13"/>
              <c:layout>
                <c:manualLayout>
                  <c:x val="-6.8487745125963478E-2"/>
                  <c:y val="1.1092627280910566E-2"/>
                </c:manualLayout>
              </c:layout>
              <c:tx>
                <c:strRef>
                  <c:f>Risikomgmt!$B$18</c:f>
                  <c:strCache>
                    <c:ptCount val="1"/>
                    <c:pt idx="0">
                      <c:v>R14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{E0B9DD66-7F72-48A1-A822-6A4E4624503B}</c15:txfldGUID>
                      <c15:f>Risikomgmt!$B$18</c15:f>
                      <c15:dlblFieldTableCache>
                        <c:ptCount val="1"/>
                        <c:pt idx="0">
                          <c:v>R14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B-79CD-4082-B8D6-74FC788C7430}"/>
                </c:ext>
              </c:extLst>
            </c:dLbl>
            <c:dLbl>
              <c:idx val="14"/>
              <c:layout>
                <c:manualLayout>
                  <c:x val="-6.5783108848486815E-2"/>
                  <c:y val="-6.65557636854634E-3"/>
                </c:manualLayout>
              </c:layout>
              <c:tx>
                <c:strRef>
                  <c:f>Risikomgmt!$B$19</c:f>
                  <c:strCache>
                    <c:ptCount val="1"/>
                    <c:pt idx="0">
                      <c:v>R15</c:v>
                    </c:pt>
                  </c:strCache>
                </c:strRef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{FBA3A23E-2371-4154-B583-D14A97C8A4FC}</c15:txfldGUID>
                      <c15:f>Risikomgmt!$B$19</c15:f>
                      <c15:dlblFieldTableCache>
                        <c:ptCount val="1"/>
                        <c:pt idx="0">
                          <c:v>R15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1D-79CD-4082-B8D6-74FC788C7430}"/>
                </c:ext>
              </c:extLst>
            </c:dLbl>
            <c:spPr>
              <a:ln>
                <a:noFill/>
              </a:ln>
            </c:spPr>
            <c:txPr>
              <a:bodyPr/>
              <a:lstStyle/>
              <a:p>
                <a:pPr>
                  <a:defRPr sz="1400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Risikomgmt!$D$5:$D$19</c:f>
              <c:numCache>
                <c:formatCode>0</c:formatCode>
                <c:ptCount val="15"/>
                <c:pt idx="0">
                  <c:v>3</c:v>
                </c:pt>
                <c:pt idx="1">
                  <c:v>8</c:v>
                </c:pt>
              </c:numCache>
            </c:numRef>
          </c:xVal>
          <c:yVal>
            <c:numRef>
              <c:f>Risikomgmt!$E$5:$E$19</c:f>
              <c:numCache>
                <c:formatCode>0</c:formatCode>
                <c:ptCount val="15"/>
                <c:pt idx="0">
                  <c:v>9</c:v>
                </c:pt>
                <c:pt idx="1">
                  <c:v>10</c:v>
                </c:pt>
              </c:numCache>
            </c:numRef>
          </c:yVal>
          <c:bubbleSize>
            <c:numRef>
              <c:f>Risikomgmt!$J$5:$J$19</c:f>
              <c:numCache>
                <c:formatCode>0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E-79CD-4082-B8D6-74FC788C74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-162460720"/>
        <c:axId val="-162465616"/>
      </c:bubbleChart>
      <c:valAx>
        <c:axId val="-162460720"/>
        <c:scaling>
          <c:orientation val="minMax"/>
          <c:max val="11"/>
          <c:min val="0"/>
        </c:scaling>
        <c:delete val="0"/>
        <c:axPos val="b"/>
        <c:numFmt formatCode="0" sourceLinked="1"/>
        <c:majorTickMark val="out"/>
        <c:minorTickMark val="none"/>
        <c:tickLblPos val="nextTo"/>
        <c:crossAx val="-162465616"/>
        <c:crosses val="autoZero"/>
        <c:crossBetween val="midCat"/>
        <c:majorUnit val="1"/>
        <c:minorUnit val="0.1"/>
      </c:valAx>
      <c:valAx>
        <c:axId val="-162465616"/>
        <c:scaling>
          <c:orientation val="minMax"/>
          <c:max val="11"/>
          <c:min val="0"/>
        </c:scaling>
        <c:delete val="0"/>
        <c:axPos val="l"/>
        <c:numFmt formatCode="0" sourceLinked="1"/>
        <c:majorTickMark val="out"/>
        <c:minorTickMark val="none"/>
        <c:tickLblPos val="nextTo"/>
        <c:crossAx val="-162460720"/>
        <c:crosses val="autoZero"/>
        <c:crossBetween val="midCat"/>
        <c:majorUnit val="1"/>
        <c:min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493797177062777E-2"/>
          <c:y val="9.4893660531241791E-2"/>
          <c:w val="0.83053562479904297"/>
          <c:h val="0.67490942682444011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[0]!paretoXaxis</c:f>
              <c:strCache>
                <c:ptCount val="20"/>
                <c:pt idx="0">
                  <c:v>Reason 20</c:v>
                </c:pt>
                <c:pt idx="1">
                  <c:v>Reason 19</c:v>
                </c:pt>
                <c:pt idx="2">
                  <c:v>Reason 18</c:v>
                </c:pt>
                <c:pt idx="3">
                  <c:v>Reason 17</c:v>
                </c:pt>
                <c:pt idx="4">
                  <c:v>Reason 16</c:v>
                </c:pt>
                <c:pt idx="5">
                  <c:v>Reason 15</c:v>
                </c:pt>
                <c:pt idx="6">
                  <c:v>Reason 14</c:v>
                </c:pt>
                <c:pt idx="7">
                  <c:v>Reason 13</c:v>
                </c:pt>
                <c:pt idx="8">
                  <c:v>Reason 12</c:v>
                </c:pt>
                <c:pt idx="9">
                  <c:v>Reason 11</c:v>
                </c:pt>
                <c:pt idx="10">
                  <c:v>Reason 1</c:v>
                </c:pt>
                <c:pt idx="11">
                  <c:v>Reason 10</c:v>
                </c:pt>
                <c:pt idx="12">
                  <c:v>Reason 9</c:v>
                </c:pt>
                <c:pt idx="13">
                  <c:v>Reason 8</c:v>
                </c:pt>
                <c:pt idx="14">
                  <c:v>Reason 7</c:v>
                </c:pt>
                <c:pt idx="15">
                  <c:v>Reason 6</c:v>
                </c:pt>
                <c:pt idx="16">
                  <c:v>Reason 5</c:v>
                </c:pt>
                <c:pt idx="17">
                  <c:v>Reason 4</c:v>
                </c:pt>
                <c:pt idx="18">
                  <c:v>Reason 3</c:v>
                </c:pt>
                <c:pt idx="19">
                  <c:v>Reason 2</c:v>
                </c:pt>
              </c:strCache>
            </c:strRef>
          </c:cat>
          <c:val>
            <c:numRef>
              <c:f>[0]!Bars</c:f>
              <c:numCache>
                <c:formatCode>General</c:formatCode>
                <c:ptCount val="20"/>
                <c:pt idx="0">
                  <c:v>21</c:v>
                </c:pt>
                <c:pt idx="1">
                  <c:v>19</c:v>
                </c:pt>
                <c:pt idx="2">
                  <c:v>18</c:v>
                </c:pt>
                <c:pt idx="3">
                  <c:v>17</c:v>
                </c:pt>
                <c:pt idx="4">
                  <c:v>16</c:v>
                </c:pt>
                <c:pt idx="5">
                  <c:v>15</c:v>
                </c:pt>
                <c:pt idx="6">
                  <c:v>14</c:v>
                </c:pt>
                <c:pt idx="7">
                  <c:v>13</c:v>
                </c:pt>
                <c:pt idx="8">
                  <c:v>12</c:v>
                </c:pt>
                <c:pt idx="9">
                  <c:v>11</c:v>
                </c:pt>
                <c:pt idx="10">
                  <c:v>10</c:v>
                </c:pt>
                <c:pt idx="11">
                  <c:v>10</c:v>
                </c:pt>
                <c:pt idx="12">
                  <c:v>9</c:v>
                </c:pt>
                <c:pt idx="13">
                  <c:v>8</c:v>
                </c:pt>
                <c:pt idx="14">
                  <c:v>7</c:v>
                </c:pt>
                <c:pt idx="15">
                  <c:v>6</c:v>
                </c:pt>
                <c:pt idx="16">
                  <c:v>5</c:v>
                </c:pt>
                <c:pt idx="17">
                  <c:v>4</c:v>
                </c:pt>
                <c:pt idx="18">
                  <c:v>3</c:v>
                </c:pt>
                <c:pt idx="1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5F-41FC-BFC3-3F23E5D954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62459088"/>
        <c:axId val="-162458544"/>
      </c:barChart>
      <c:lineChart>
        <c:grouping val="standard"/>
        <c:varyColors val="0"/>
        <c:ser>
          <c:idx val="1"/>
          <c:order val="1"/>
          <c:tx>
            <c:strRef>
              <c:f>Pareto!$H$6</c:f>
              <c:strCache>
                <c:ptCount val="1"/>
                <c:pt idx="0">
                  <c:v>Percentage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[0]!Percentage</c:f>
              <c:numCache>
                <c:formatCode>0%</c:formatCode>
                <c:ptCount val="20"/>
                <c:pt idx="0">
                  <c:v>9.5454545454545459E-2</c:v>
                </c:pt>
                <c:pt idx="1">
                  <c:v>0.18181818181818182</c:v>
                </c:pt>
                <c:pt idx="2">
                  <c:v>0.26363636363636367</c:v>
                </c:pt>
                <c:pt idx="3">
                  <c:v>0.34090909090909094</c:v>
                </c:pt>
                <c:pt idx="4">
                  <c:v>0.41363636363636369</c:v>
                </c:pt>
                <c:pt idx="5">
                  <c:v>0.48181818181818187</c:v>
                </c:pt>
                <c:pt idx="6">
                  <c:v>0.54545454545454553</c:v>
                </c:pt>
                <c:pt idx="7">
                  <c:v>0.60454545454545461</c:v>
                </c:pt>
                <c:pt idx="8">
                  <c:v>0.65909090909090917</c:v>
                </c:pt>
                <c:pt idx="9">
                  <c:v>0.70909090909090922</c:v>
                </c:pt>
                <c:pt idx="10">
                  <c:v>0.75454545454545463</c:v>
                </c:pt>
                <c:pt idx="11">
                  <c:v>0.8</c:v>
                </c:pt>
                <c:pt idx="12">
                  <c:v>0.84090909090909094</c:v>
                </c:pt>
                <c:pt idx="13">
                  <c:v>0.87727272727272732</c:v>
                </c:pt>
                <c:pt idx="14">
                  <c:v>0.90909090909090917</c:v>
                </c:pt>
                <c:pt idx="15">
                  <c:v>0.9363636363636364</c:v>
                </c:pt>
                <c:pt idx="16">
                  <c:v>0.95909090909090911</c:v>
                </c:pt>
                <c:pt idx="17">
                  <c:v>0.97727272727272729</c:v>
                </c:pt>
                <c:pt idx="18">
                  <c:v>0.99090909090909096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5F-41FC-BFC3-3F23E5D954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62458000"/>
        <c:axId val="-162466160"/>
      </c:lineChart>
      <c:catAx>
        <c:axId val="-162459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58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162458544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59088"/>
        <c:crosses val="autoZero"/>
        <c:crossBetween val="between"/>
      </c:valAx>
      <c:catAx>
        <c:axId val="-162458000"/>
        <c:scaling>
          <c:orientation val="minMax"/>
        </c:scaling>
        <c:delete val="1"/>
        <c:axPos val="b"/>
        <c:majorTickMark val="none"/>
        <c:minorTickMark val="none"/>
        <c:tickLblPos val="nextTo"/>
        <c:crossAx val="-162466160"/>
        <c:crosses val="autoZero"/>
        <c:auto val="1"/>
        <c:lblAlgn val="ctr"/>
        <c:lblOffset val="100"/>
        <c:noMultiLvlLbl val="0"/>
      </c:catAx>
      <c:valAx>
        <c:axId val="-162466160"/>
        <c:scaling>
          <c:orientation val="minMax"/>
        </c:scaling>
        <c:delete val="0"/>
        <c:axPos val="r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58000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orientation="landscape" verticalDpi="1200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Kommunikation!$J$9:$J$18</c:f>
              <c:numCache>
                <c:formatCode>;;;</c:formatCode>
                <c:ptCount val="10"/>
                <c:pt idx="0">
                  <c:v>3</c:v>
                </c:pt>
                <c:pt idx="1">
                  <c:v>4</c:v>
                </c:pt>
                <c:pt idx="2">
                  <c:v>3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AD-4E02-8F7C-396ACD3956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62452016"/>
        <c:axId val="-162438416"/>
      </c:radarChart>
      <c:catAx>
        <c:axId val="-162452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38416"/>
        <c:crosses val="autoZero"/>
        <c:auto val="1"/>
        <c:lblAlgn val="ctr"/>
        <c:lblOffset val="100"/>
        <c:noMultiLvlLbl val="0"/>
      </c:catAx>
      <c:valAx>
        <c:axId val="-162438416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5201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Kommunikation!$J$23:$J$32</c:f>
              <c:numCache>
                <c:formatCode>;;;</c:formatCode>
                <c:ptCount val="10"/>
                <c:pt idx="0">
                  <c:v>3</c:v>
                </c:pt>
                <c:pt idx="1">
                  <c:v>2</c:v>
                </c:pt>
                <c:pt idx="2">
                  <c:v>4</c:v>
                </c:pt>
                <c:pt idx="3">
                  <c:v>3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D3-4F81-9263-0586E712AF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62444400"/>
        <c:axId val="-162457456"/>
      </c:radarChart>
      <c:catAx>
        <c:axId val="-162444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57456"/>
        <c:crosses val="autoZero"/>
        <c:auto val="1"/>
        <c:lblAlgn val="ctr"/>
        <c:lblOffset val="100"/>
        <c:noMultiLvlLbl val="0"/>
      </c:catAx>
      <c:valAx>
        <c:axId val="-162457456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4440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Kommunikation!$J$37:$J$46</c:f>
              <c:numCache>
                <c:formatCode>;;;</c:formatCode>
                <c:ptCount val="10"/>
                <c:pt idx="0">
                  <c:v>3</c:v>
                </c:pt>
                <c:pt idx="1">
                  <c:v>1</c:v>
                </c:pt>
                <c:pt idx="2">
                  <c:v>3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75-4F4B-9299-9B92B0693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62449296"/>
        <c:axId val="-162448752"/>
      </c:radarChart>
      <c:catAx>
        <c:axId val="-162449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48752"/>
        <c:crosses val="autoZero"/>
        <c:auto val="1"/>
        <c:lblAlgn val="ctr"/>
        <c:lblOffset val="100"/>
        <c:noMultiLvlLbl val="0"/>
      </c:catAx>
      <c:valAx>
        <c:axId val="-162448752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4929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Kommunikation!$J$51:$J$60</c:f>
              <c:numCache>
                <c:formatCode>;;;</c:formatCode>
                <c:ptCount val="10"/>
                <c:pt idx="0">
                  <c:v>3</c:v>
                </c:pt>
                <c:pt idx="1">
                  <c:v>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23-4CBD-B4DD-12A373EB41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62463984"/>
        <c:axId val="-162452560"/>
      </c:radarChart>
      <c:catAx>
        <c:axId val="-162463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52560"/>
        <c:crosses val="autoZero"/>
        <c:auto val="1"/>
        <c:lblAlgn val="ctr"/>
        <c:lblOffset val="100"/>
        <c:noMultiLvlLbl val="0"/>
      </c:catAx>
      <c:valAx>
        <c:axId val="-162452560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6398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Kommunikation!$J$65:$J$74</c:f>
              <c:numCache>
                <c:formatCode>;;;</c:formatCode>
                <c:ptCount val="10"/>
                <c:pt idx="0">
                  <c:v>4</c:v>
                </c:pt>
                <c:pt idx="1">
                  <c:v>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13-40F7-8602-0AA4BFAA52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62439504"/>
        <c:axId val="-162437872"/>
      </c:radarChart>
      <c:catAx>
        <c:axId val="-162439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37872"/>
        <c:crosses val="autoZero"/>
        <c:auto val="1"/>
        <c:lblAlgn val="ctr"/>
        <c:lblOffset val="100"/>
        <c:noMultiLvlLbl val="0"/>
      </c:catAx>
      <c:valAx>
        <c:axId val="-162437872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3950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77300907165267"/>
          <c:y val="0.17476308882442326"/>
          <c:w val="0.77139836425457853"/>
          <c:h val="0.73869041617994957"/>
        </c:manualLayout>
      </c:layout>
      <c:radarChart>
        <c:radarStyle val="fill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val>
            <c:numRef>
              <c:f>Kommunikation!$J$79:$J$88</c:f>
              <c:numCache>
                <c:formatCode>;;;</c:formatCode>
                <c:ptCount val="10"/>
                <c:pt idx="0">
                  <c:v>3</c:v>
                </c:pt>
                <c:pt idx="1">
                  <c:v>3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27-46FD-BF2D-7EA61B311F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62436784"/>
        <c:axId val="-162435152"/>
      </c:radarChart>
      <c:catAx>
        <c:axId val="-162436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35152"/>
        <c:crosses val="autoZero"/>
        <c:auto val="1"/>
        <c:lblAlgn val="ctr"/>
        <c:lblOffset val="100"/>
        <c:noMultiLvlLbl val="0"/>
      </c:catAx>
      <c:valAx>
        <c:axId val="-162435152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;;;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2436784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Lines="3" dropStyle="combo" dx="16" fmlaLink="' '!$B$4" fmlaRange="' '!$Z$6:$Z$8" noThreeD="1" sel="2" val="0"/>
</file>

<file path=xl/ctrlProps/ctrlProp2.xml><?xml version="1.0" encoding="utf-8"?>
<formControlPr xmlns="http://schemas.microsoft.com/office/spreadsheetml/2009/9/main" objectType="Drop" dropLines="2" dropStyle="combo" dx="16" fmlaLink="' '!$B$4" fmlaRange="' '!$Z$6:$Z$7" noThreeD="1" sel="2" val="0"/>
</file>

<file path=xl/ctrlProps/ctrlProp3.xml><?xml version="1.0" encoding="utf-8"?>
<formControlPr xmlns="http://schemas.microsoft.com/office/spreadsheetml/2009/9/main" objectType="Drop" dropLines="2" dropStyle="combo" dx="16" fmlaLink="' '!$B$4" fmlaRange="' '!$Z$6:$Z$7" noThreeD="1" sel="2" val="0"/>
</file>

<file path=xl/ctrlProps/ctrlProp4.xml><?xml version="1.0" encoding="utf-8"?>
<formControlPr xmlns="http://schemas.microsoft.com/office/spreadsheetml/2009/9/main" objectType="Drop" dropLines="2" dropStyle="combo" dx="16" fmlaLink="' '!$B$4" fmlaRange="' '!$Z$6:$Z$7" noThreeD="1" sel="2" val="0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Radio" firstButton="1" fmlaLink="$B$119" lockText="1"/>
</file>

<file path=xl/ctrlProps/ctrlProp7.xml><?xml version="1.0" encoding="utf-8"?>
<formControlPr xmlns="http://schemas.microsoft.com/office/spreadsheetml/2009/9/main" objectType="Radio" lockText="1"/>
</file>

<file path=xl/ctrlProps/ctrlProp8.xml><?xml version="1.0" encoding="utf-8"?>
<formControlPr xmlns="http://schemas.microsoft.com/office/spreadsheetml/2009/9/main" objectType="Radio" lockText="1"/>
</file>

<file path=xl/ctrlProps/ctrlProp9.xml><?xml version="1.0" encoding="utf-8"?>
<formControlPr xmlns="http://schemas.microsoft.com/office/spreadsheetml/2009/9/main" objectType="Radio" checked="Checked" lockText="1"/>
</file>

<file path=xl/ctrlProps/ctrlProp10.xml><?xml version="1.0" encoding="utf-8"?>
<formControlPr xmlns="http://schemas.microsoft.com/office/spreadsheetml/2009/9/main" objectType="Radio" lockText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Radio" firstButton="1" fmlaLink="$B$120" lockText="1"/>
</file>

<file path=xl/ctrlProps/ctrlProp13.xml><?xml version="1.0" encoding="utf-8"?>
<formControlPr xmlns="http://schemas.microsoft.com/office/spreadsheetml/2009/9/main" objectType="Radio" lockText="1"/>
</file>

<file path=xl/ctrlProps/ctrlProp14.xml><?xml version="1.0" encoding="utf-8"?>
<formControlPr xmlns="http://schemas.microsoft.com/office/spreadsheetml/2009/9/main" objectType="Radio" checked="Checked" lockText="1"/>
</file>

<file path=xl/ctrlProps/ctrlProp15.xml><?xml version="1.0" encoding="utf-8"?>
<formControlPr xmlns="http://schemas.microsoft.com/office/spreadsheetml/2009/9/main" objectType="Radio" lockText="1"/>
</file>

<file path=xl/ctrlProps/ctrlProp16.xml><?xml version="1.0" encoding="utf-8"?>
<formControlPr xmlns="http://schemas.microsoft.com/office/spreadsheetml/2009/9/main" objectType="Radio" lockText="1"/>
</file>

<file path=xl/ctrlProps/ctrlProp17.xml><?xml version="1.0" encoding="utf-8"?>
<formControlPr xmlns="http://schemas.microsoft.com/office/spreadsheetml/2009/9/main" objectType="GBox" noThreeD="1"/>
</file>

<file path=xl/ctrlProps/ctrlProp18.xml><?xml version="1.0" encoding="utf-8"?>
<formControlPr xmlns="http://schemas.microsoft.com/office/spreadsheetml/2009/9/main" objectType="Radio" firstButton="1" fmlaLink="$B$121" lockText="1"/>
</file>

<file path=xl/ctrlProps/ctrlProp19.xml><?xml version="1.0" encoding="utf-8"?>
<formControlPr xmlns="http://schemas.microsoft.com/office/spreadsheetml/2009/9/main" objectType="Radio" lockText="1"/>
</file>

<file path=xl/ctrlProps/ctrlProp20.xml><?xml version="1.0" encoding="utf-8"?>
<formControlPr xmlns="http://schemas.microsoft.com/office/spreadsheetml/2009/9/main" objectType="Radio" checked="Checked" lockText="1"/>
</file>

<file path=xl/ctrlProps/ctrlProp21.xml><?xml version="1.0" encoding="utf-8"?>
<formControlPr xmlns="http://schemas.microsoft.com/office/spreadsheetml/2009/9/main" objectType="Radio" lockText="1"/>
</file>

<file path=xl/ctrlProps/ctrlProp22.xml><?xml version="1.0" encoding="utf-8"?>
<formControlPr xmlns="http://schemas.microsoft.com/office/spreadsheetml/2009/9/main" objectType="Radio" lockText="1"/>
</file>

<file path=xl/ctrlProps/ctrlProp23.xml><?xml version="1.0" encoding="utf-8"?>
<formControlPr xmlns="http://schemas.microsoft.com/office/spreadsheetml/2009/9/main" objectType="GBox" noThreeD="1"/>
</file>

<file path=xl/ctrlProps/ctrlProp24.xml><?xml version="1.0" encoding="utf-8"?>
<formControlPr xmlns="http://schemas.microsoft.com/office/spreadsheetml/2009/9/main" objectType="Radio" firstButton="1" fmlaLink="$B$123" lockText="1"/>
</file>

<file path=xl/ctrlProps/ctrlProp25.xml><?xml version="1.0" encoding="utf-8"?>
<formControlPr xmlns="http://schemas.microsoft.com/office/spreadsheetml/2009/9/main" objectType="Radio" lockText="1"/>
</file>

<file path=xl/ctrlProps/ctrlProp26.xml><?xml version="1.0" encoding="utf-8"?>
<formControlPr xmlns="http://schemas.microsoft.com/office/spreadsheetml/2009/9/main" objectType="Radio" lockText="1"/>
</file>

<file path=xl/ctrlProps/ctrlProp27.xml><?xml version="1.0" encoding="utf-8"?>
<formControlPr xmlns="http://schemas.microsoft.com/office/spreadsheetml/2009/9/main" objectType="Radio" lockText="1"/>
</file>

<file path=xl/ctrlProps/ctrlProp28.xml><?xml version="1.0" encoding="utf-8"?>
<formControlPr xmlns="http://schemas.microsoft.com/office/spreadsheetml/2009/9/main" objectType="Radio" checked="Checked" lockText="1"/>
</file>

<file path=xl/ctrlProps/ctrlProp29.xml><?xml version="1.0" encoding="utf-8"?>
<formControlPr xmlns="http://schemas.microsoft.com/office/spreadsheetml/2009/9/main" objectType="GBox" noThreeD="1"/>
</file>

<file path=xl/ctrlProps/ctrlProp30.xml><?xml version="1.0" encoding="utf-8"?>
<formControlPr xmlns="http://schemas.microsoft.com/office/spreadsheetml/2009/9/main" objectType="Radio" firstButton="1" fmlaLink="$B$124" lockText="1"/>
</file>

<file path=xl/ctrlProps/ctrlProp31.xml><?xml version="1.0" encoding="utf-8"?>
<formControlPr xmlns="http://schemas.microsoft.com/office/spreadsheetml/2009/9/main" objectType="Radio" checked="Checked" lockText="1"/>
</file>

<file path=xl/ctrlProps/ctrlProp32.xml><?xml version="1.0" encoding="utf-8"?>
<formControlPr xmlns="http://schemas.microsoft.com/office/spreadsheetml/2009/9/main" objectType="Radio" lockText="1"/>
</file>

<file path=xl/ctrlProps/ctrlProp33.xml><?xml version="1.0" encoding="utf-8"?>
<formControlPr xmlns="http://schemas.microsoft.com/office/spreadsheetml/2009/9/main" objectType="Radio" lockText="1"/>
</file>

<file path=xl/ctrlProps/ctrlProp34.xml><?xml version="1.0" encoding="utf-8"?>
<formControlPr xmlns="http://schemas.microsoft.com/office/spreadsheetml/2009/9/main" objectType="Radio" lockText="1"/>
</file>

<file path=xl/ctrlProps/ctrlProp35.xml><?xml version="1.0" encoding="utf-8"?>
<formControlPr xmlns="http://schemas.microsoft.com/office/spreadsheetml/2009/9/main" objectType="GBox" noThreeD="1"/>
</file>

<file path=xl/ctrlProps/ctrlProp36.xml><?xml version="1.0" encoding="utf-8"?>
<formControlPr xmlns="http://schemas.microsoft.com/office/spreadsheetml/2009/9/main" objectType="Radio" firstButton="1" fmlaLink="$B$125" lockText="1"/>
</file>

<file path=xl/ctrlProps/ctrlProp37.xml><?xml version="1.0" encoding="utf-8"?>
<formControlPr xmlns="http://schemas.microsoft.com/office/spreadsheetml/2009/9/main" objectType="Radio" lockText="1"/>
</file>

<file path=xl/ctrlProps/ctrlProp38.xml><?xml version="1.0" encoding="utf-8"?>
<formControlPr xmlns="http://schemas.microsoft.com/office/spreadsheetml/2009/9/main" objectType="Radio" lockText="1"/>
</file>

<file path=xl/ctrlProps/ctrlProp39.xml><?xml version="1.0" encoding="utf-8"?>
<formControlPr xmlns="http://schemas.microsoft.com/office/spreadsheetml/2009/9/main" objectType="Radio" checked="Checked" lockText="1"/>
</file>

<file path=xl/ctrlProps/ctrlProp40.xml><?xml version="1.0" encoding="utf-8"?>
<formControlPr xmlns="http://schemas.microsoft.com/office/spreadsheetml/2009/9/main" objectType="Radio" lockText="1"/>
</file>

<file path=xl/ctrlProps/ctrlProp41.xml><?xml version="1.0" encoding="utf-8"?>
<formControlPr xmlns="http://schemas.microsoft.com/office/spreadsheetml/2009/9/main" objectType="GBox" noThreeD="1"/>
</file>

<file path=xl/ctrlProps/ctrlProp42.xml><?xml version="1.0" encoding="utf-8"?>
<formControlPr xmlns="http://schemas.microsoft.com/office/spreadsheetml/2009/9/main" objectType="Radio" firstButton="1" fmlaLink="$B$132" lockText="1"/>
</file>

<file path=xl/ctrlProps/ctrlProp43.xml><?xml version="1.0" encoding="utf-8"?>
<formControlPr xmlns="http://schemas.microsoft.com/office/spreadsheetml/2009/9/main" objectType="Radio" lockText="1"/>
</file>

<file path=xl/ctrlProps/ctrlProp44.xml><?xml version="1.0" encoding="utf-8"?>
<formControlPr xmlns="http://schemas.microsoft.com/office/spreadsheetml/2009/9/main" objectType="Radio" lockText="1"/>
</file>

<file path=xl/ctrlProps/ctrlProp45.xml><?xml version="1.0" encoding="utf-8"?>
<formControlPr xmlns="http://schemas.microsoft.com/office/spreadsheetml/2009/9/main" objectType="Radio" lockText="1"/>
</file>

<file path=xl/ctrlProps/ctrlProp46.xml><?xml version="1.0" encoding="utf-8"?>
<formControlPr xmlns="http://schemas.microsoft.com/office/spreadsheetml/2009/9/main" objectType="Radio" checked="Checked" lockText="1"/>
</file>

<file path=xl/ctrlProps/ctrlProp47.xml><?xml version="1.0" encoding="utf-8"?>
<formControlPr xmlns="http://schemas.microsoft.com/office/spreadsheetml/2009/9/main" objectType="GBox" noThreeD="1"/>
</file>

<file path=xl/ctrlProps/ctrlProp48.xml><?xml version="1.0" encoding="utf-8"?>
<formControlPr xmlns="http://schemas.microsoft.com/office/spreadsheetml/2009/9/main" objectType="Radio" firstButton="1" fmlaLink="$B$133" lockText="1"/>
</file>

<file path=xl/ctrlProps/ctrlProp49.xml><?xml version="1.0" encoding="utf-8"?>
<formControlPr xmlns="http://schemas.microsoft.com/office/spreadsheetml/2009/9/main" objectType="Radio" lockText="1"/>
</file>

<file path=xl/ctrlProps/ctrlProp50.xml><?xml version="1.0" encoding="utf-8"?>
<formControlPr xmlns="http://schemas.microsoft.com/office/spreadsheetml/2009/9/main" objectType="Radio" lockText="1"/>
</file>

<file path=xl/ctrlProps/ctrlProp51.xml><?xml version="1.0" encoding="utf-8"?>
<formControlPr xmlns="http://schemas.microsoft.com/office/spreadsheetml/2009/9/main" objectType="Radio" checked="Checked" lockText="1"/>
</file>

<file path=xl/ctrlProps/ctrlProp52.xml><?xml version="1.0" encoding="utf-8"?>
<formControlPr xmlns="http://schemas.microsoft.com/office/spreadsheetml/2009/9/main" objectType="Radio" lockText="1"/>
</file>

<file path=xl/ctrlProps/ctrlProp53.xml><?xml version="1.0" encoding="utf-8"?>
<formControlPr xmlns="http://schemas.microsoft.com/office/spreadsheetml/2009/9/main" objectType="GBox" noThreeD="1"/>
</file>

<file path=xl/ctrlProps/ctrlProp54.xml><?xml version="1.0" encoding="utf-8"?>
<formControlPr xmlns="http://schemas.microsoft.com/office/spreadsheetml/2009/9/main" objectType="Radio" firstButton="1" fmlaLink="$B$134" lockText="1"/>
</file>

<file path=xl/ctrlProps/ctrlProp55.xml><?xml version="1.0" encoding="utf-8"?>
<formControlPr xmlns="http://schemas.microsoft.com/office/spreadsheetml/2009/9/main" objectType="Radio" checked="Checked" lockText="1"/>
</file>

<file path=xl/ctrlProps/ctrlProp56.xml><?xml version="1.0" encoding="utf-8"?>
<formControlPr xmlns="http://schemas.microsoft.com/office/spreadsheetml/2009/9/main" objectType="Radio" lockText="1"/>
</file>

<file path=xl/ctrlProps/ctrlProp57.xml><?xml version="1.0" encoding="utf-8"?>
<formControlPr xmlns="http://schemas.microsoft.com/office/spreadsheetml/2009/9/main" objectType="Radio" lockText="1"/>
</file>

<file path=xl/ctrlProps/ctrlProp58.xml><?xml version="1.0" encoding="utf-8"?>
<formControlPr xmlns="http://schemas.microsoft.com/office/spreadsheetml/2009/9/main" objectType="Radio" lockText="1"/>
</file>

<file path=xl/ctrlProps/ctrlProp59.xml><?xml version="1.0" encoding="utf-8"?>
<formControlPr xmlns="http://schemas.microsoft.com/office/spreadsheetml/2009/9/main" objectType="GBox" noThreeD="1"/>
</file>

<file path=xl/ctrlProps/ctrlProp60.xml><?xml version="1.0" encoding="utf-8"?>
<formControlPr xmlns="http://schemas.microsoft.com/office/spreadsheetml/2009/9/main" objectType="Radio" firstButton="1" fmlaLink="$B$135" lockText="1"/>
</file>

<file path=xl/ctrlProps/ctrlProp61.xml><?xml version="1.0" encoding="utf-8"?>
<formControlPr xmlns="http://schemas.microsoft.com/office/spreadsheetml/2009/9/main" objectType="Radio" checked="Checked" lockText="1"/>
</file>

<file path=xl/ctrlProps/ctrlProp62.xml><?xml version="1.0" encoding="utf-8"?>
<formControlPr xmlns="http://schemas.microsoft.com/office/spreadsheetml/2009/9/main" objectType="Radio" lockText="1"/>
</file>

<file path=xl/ctrlProps/ctrlProp63.xml><?xml version="1.0" encoding="utf-8"?>
<formControlPr xmlns="http://schemas.microsoft.com/office/spreadsheetml/2009/9/main" objectType="Radio" lockText="1"/>
</file>

<file path=xl/ctrlProps/ctrlProp64.xml><?xml version="1.0" encoding="utf-8"?>
<formControlPr xmlns="http://schemas.microsoft.com/office/spreadsheetml/2009/9/main" objectType="Radio" lockText="1"/>
</file>

<file path=xl/ctrlProps/ctrlProp65.xml><?xml version="1.0" encoding="utf-8"?>
<formControlPr xmlns="http://schemas.microsoft.com/office/spreadsheetml/2009/9/main" objectType="GBox" noThreeD="1"/>
</file>

<file path=xl/ctrlProps/ctrlProp66.xml><?xml version="1.0" encoding="utf-8"?>
<formControlPr xmlns="http://schemas.microsoft.com/office/spreadsheetml/2009/9/main" objectType="Radio" firstButton="1" fmlaLink="$B$118" lockText="1"/>
</file>

<file path=xl/ctrlProps/ctrlProp67.xml><?xml version="1.0" encoding="utf-8"?>
<formControlPr xmlns="http://schemas.microsoft.com/office/spreadsheetml/2009/9/main" objectType="Radio" lockText="1"/>
</file>

<file path=xl/ctrlProps/ctrlProp68.xml><?xml version="1.0" encoding="utf-8"?>
<formControlPr xmlns="http://schemas.microsoft.com/office/spreadsheetml/2009/9/main" objectType="Radio" checked="Checked" lockText="1"/>
</file>

<file path=xl/ctrlProps/ctrlProp69.xml><?xml version="1.0" encoding="utf-8"?>
<formControlPr xmlns="http://schemas.microsoft.com/office/spreadsheetml/2009/9/main" objectType="Radio" lockText="1"/>
</file>

<file path=xl/ctrlProps/ctrlProp70.xml><?xml version="1.0" encoding="utf-8"?>
<formControlPr xmlns="http://schemas.microsoft.com/office/spreadsheetml/2009/9/main" objectType="Radio" lockText="1"/>
</file>

<file path=xl/ctrlProps/ctrlProp71.xml><?xml version="1.0" encoding="utf-8"?>
<formControlPr xmlns="http://schemas.microsoft.com/office/spreadsheetml/2009/9/main" objectType="GBox" noThreeD="1"/>
</file>

<file path=xl/ctrlProps/ctrlProp72.xml><?xml version="1.0" encoding="utf-8"?>
<formControlPr xmlns="http://schemas.microsoft.com/office/spreadsheetml/2009/9/main" objectType="Radio" firstButton="1" fmlaLink="$B$126" lockText="1"/>
</file>

<file path=xl/ctrlProps/ctrlProp73.xml><?xml version="1.0" encoding="utf-8"?>
<formControlPr xmlns="http://schemas.microsoft.com/office/spreadsheetml/2009/9/main" objectType="Radio" lockText="1"/>
</file>

<file path=xl/ctrlProps/ctrlProp74.xml><?xml version="1.0" encoding="utf-8"?>
<formControlPr xmlns="http://schemas.microsoft.com/office/spreadsheetml/2009/9/main" objectType="Radio" lockText="1"/>
</file>

<file path=xl/ctrlProps/ctrlProp75.xml><?xml version="1.0" encoding="utf-8"?>
<formControlPr xmlns="http://schemas.microsoft.com/office/spreadsheetml/2009/9/main" objectType="Radio" checked="Checked" lockText="1"/>
</file>

<file path=xl/ctrlProps/ctrlProp76.xml><?xml version="1.0" encoding="utf-8"?>
<formControlPr xmlns="http://schemas.microsoft.com/office/spreadsheetml/2009/9/main" objectType="Radio" lockText="1"/>
</file>

<file path=xl/ctrlProps/ctrlProp77.xml><?xml version="1.0" encoding="utf-8"?>
<formControlPr xmlns="http://schemas.microsoft.com/office/spreadsheetml/2009/9/main" objectType="GBox" noThreeD="1"/>
</file>

<file path=xl/ctrlProps/ctrlProp78.xml><?xml version="1.0" encoding="utf-8"?>
<formControlPr xmlns="http://schemas.microsoft.com/office/spreadsheetml/2009/9/main" objectType="Radio" firstButton="1" fmlaLink="$B$127" lockText="1"/>
</file>

<file path=xl/ctrlProps/ctrlProp79.xml><?xml version="1.0" encoding="utf-8"?>
<formControlPr xmlns="http://schemas.microsoft.com/office/spreadsheetml/2009/9/main" objectType="Radio" lockText="1"/>
</file>

<file path=xl/ctrlProps/ctrlProp80.xml><?xml version="1.0" encoding="utf-8"?>
<formControlPr xmlns="http://schemas.microsoft.com/office/spreadsheetml/2009/9/main" objectType="Radio" checked="Checked" lockText="1"/>
</file>

<file path=xl/ctrlProps/ctrlProp81.xml><?xml version="1.0" encoding="utf-8"?>
<formControlPr xmlns="http://schemas.microsoft.com/office/spreadsheetml/2009/9/main" objectType="Radio" lockText="1"/>
</file>

<file path=xl/ctrlProps/ctrlProp82.xml><?xml version="1.0" encoding="utf-8"?>
<formControlPr xmlns="http://schemas.microsoft.com/office/spreadsheetml/2009/9/main" objectType="Radio" lockText="1"/>
</file>

<file path=xl/ctrlProps/ctrlProp83.xml><?xml version="1.0" encoding="utf-8"?>
<formControlPr xmlns="http://schemas.microsoft.com/office/spreadsheetml/2009/9/main" objectType="GBox" noThreeD="1"/>
</file>

<file path=xl/ctrlProps/ctrlProp84.xml><?xml version="1.0" encoding="utf-8"?>
<formControlPr xmlns="http://schemas.microsoft.com/office/spreadsheetml/2009/9/main" objectType="Radio" firstButton="1" fmlaLink="$B$128" lockText="1"/>
</file>

<file path=xl/ctrlProps/ctrlProp85.xml><?xml version="1.0" encoding="utf-8"?>
<formControlPr xmlns="http://schemas.microsoft.com/office/spreadsheetml/2009/9/main" objectType="Radio" checked="Checked" lockText="1"/>
</file>

<file path=xl/ctrlProps/ctrlProp86.xml><?xml version="1.0" encoding="utf-8"?>
<formControlPr xmlns="http://schemas.microsoft.com/office/spreadsheetml/2009/9/main" objectType="Radio" lockText="1"/>
</file>

<file path=xl/ctrlProps/ctrlProp87.xml><?xml version="1.0" encoding="utf-8"?>
<formControlPr xmlns="http://schemas.microsoft.com/office/spreadsheetml/2009/9/main" objectType="Radio" lockText="1"/>
</file>

<file path=xl/ctrlProps/ctrlProp88.xml><?xml version="1.0" encoding="utf-8"?>
<formControlPr xmlns="http://schemas.microsoft.com/office/spreadsheetml/2009/9/main" objectType="Radio" lockText="1"/>
</file>

<file path=xl/ctrlProps/ctrlProp89.xml><?xml version="1.0" encoding="utf-8"?>
<formControlPr xmlns="http://schemas.microsoft.com/office/spreadsheetml/2009/9/main" objectType="GBox" noThreeD="1"/>
</file>

<file path=xl/ctrlProps/ctrlProp90.xml><?xml version="1.0" encoding="utf-8"?>
<formControlPr xmlns="http://schemas.microsoft.com/office/spreadsheetml/2009/9/main" objectType="Radio" firstButton="1" fmlaLink="$B$129" lockText="1"/>
</file>

<file path=xl/ctrlProps/ctrlProp91.xml><?xml version="1.0" encoding="utf-8"?>
<formControlPr xmlns="http://schemas.microsoft.com/office/spreadsheetml/2009/9/main" objectType="Radio" checked="Checked" lockText="1"/>
</file>

<file path=xl/ctrlProps/ctrlProp92.xml><?xml version="1.0" encoding="utf-8"?>
<formControlPr xmlns="http://schemas.microsoft.com/office/spreadsheetml/2009/9/main" objectType="Radio" lockText="1"/>
</file>

<file path=xl/ctrlProps/ctrlProp93.xml><?xml version="1.0" encoding="utf-8"?>
<formControlPr xmlns="http://schemas.microsoft.com/office/spreadsheetml/2009/9/main" objectType="Radio" lockText="1"/>
</file>

<file path=xl/ctrlProps/ctrlProp94.xml><?xml version="1.0" encoding="utf-8"?>
<formControlPr xmlns="http://schemas.microsoft.com/office/spreadsheetml/2009/9/main" objectType="Radio" lockText="1"/>
</file>

<file path=xl/ctrlProps/ctrlProp95.xml><?xml version="1.0" encoding="utf-8"?>
<formControlPr xmlns="http://schemas.microsoft.com/office/spreadsheetml/2009/9/main" objectType="GBox" noThreeD="1"/>
</file>

<file path=xl/ctrlProps/ctrlProp96.xml><?xml version="1.0" encoding="utf-8"?>
<formControlPr xmlns="http://schemas.microsoft.com/office/spreadsheetml/2009/9/main" objectType="Radio" firstButton="1" fmlaLink="$B$130" lockText="1"/>
</file>

<file path=xl/ctrlProps/ctrlProp97.xml><?xml version="1.0" encoding="utf-8"?>
<formControlPr xmlns="http://schemas.microsoft.com/office/spreadsheetml/2009/9/main" objectType="Radio" lockText="1"/>
</file>

<file path=xl/ctrlProps/ctrlProp98.xml><?xml version="1.0" encoding="utf-8"?>
<formControlPr xmlns="http://schemas.microsoft.com/office/spreadsheetml/2009/9/main" objectType="Radio" checked="Checked" lockText="1"/>
</file>

<file path=xl/ctrlProps/ctrlProp99.xml><?xml version="1.0" encoding="utf-8"?>
<formControlPr xmlns="http://schemas.microsoft.com/office/spreadsheetml/2009/9/main" objectType="Radio" lockText="1"/>
</file>

<file path=xl/ctrlProps/ctrlProp100.xml><?xml version="1.0" encoding="utf-8"?>
<formControlPr xmlns="http://schemas.microsoft.com/office/spreadsheetml/2009/9/main" objectType="Radio" lockText="1"/>
</file>

<file path=xl/ctrlProps/ctrlProp101.xml><?xml version="1.0" encoding="utf-8"?>
<formControlPr xmlns="http://schemas.microsoft.com/office/spreadsheetml/2009/9/main" objectType="GBox" noThreeD="1"/>
</file>

<file path=xl/ctrlProps/ctrlProp102.xml><?xml version="1.0" encoding="utf-8"?>
<formControlPr xmlns="http://schemas.microsoft.com/office/spreadsheetml/2009/9/main" objectType="Radio" firstButton="1" fmlaLink="$B$137" lockText="1"/>
</file>

<file path=xl/ctrlProps/ctrlProp103.xml><?xml version="1.0" encoding="utf-8"?>
<formControlPr xmlns="http://schemas.microsoft.com/office/spreadsheetml/2009/9/main" objectType="Radio" lockText="1"/>
</file>

<file path=xl/ctrlProps/ctrlProp104.xml><?xml version="1.0" encoding="utf-8"?>
<formControlPr xmlns="http://schemas.microsoft.com/office/spreadsheetml/2009/9/main" objectType="Radio" checked="Checked" lockText="1"/>
</file>

<file path=xl/ctrlProps/ctrlProp105.xml><?xml version="1.0" encoding="utf-8"?>
<formControlPr xmlns="http://schemas.microsoft.com/office/spreadsheetml/2009/9/main" objectType="Radio" lockText="1"/>
</file>

<file path=xl/ctrlProps/ctrlProp106.xml><?xml version="1.0" encoding="utf-8"?>
<formControlPr xmlns="http://schemas.microsoft.com/office/spreadsheetml/2009/9/main" objectType="Radio" lockText="1"/>
</file>

<file path=xl/ctrlProps/ctrlProp107.xml><?xml version="1.0" encoding="utf-8"?>
<formControlPr xmlns="http://schemas.microsoft.com/office/spreadsheetml/2009/9/main" objectType="GBox" noThreeD="1"/>
</file>

<file path=xl/ctrlProps/ctrlProp108.xml><?xml version="1.0" encoding="utf-8"?>
<formControlPr xmlns="http://schemas.microsoft.com/office/spreadsheetml/2009/9/main" objectType="Radio" firstButton="1" fmlaLink="$B$138" lockText="1"/>
</file>

<file path=xl/ctrlProps/ctrlProp109.xml><?xml version="1.0" encoding="utf-8"?>
<formControlPr xmlns="http://schemas.microsoft.com/office/spreadsheetml/2009/9/main" objectType="Radio" checked="Checked" lockText="1"/>
</file>

<file path=xl/ctrlProps/ctrlProp110.xml><?xml version="1.0" encoding="utf-8"?>
<formControlPr xmlns="http://schemas.microsoft.com/office/spreadsheetml/2009/9/main" objectType="Radio" lockText="1"/>
</file>

<file path=xl/ctrlProps/ctrlProp111.xml><?xml version="1.0" encoding="utf-8"?>
<formControlPr xmlns="http://schemas.microsoft.com/office/spreadsheetml/2009/9/main" objectType="Radio" lockText="1"/>
</file>

<file path=xl/ctrlProps/ctrlProp112.xml><?xml version="1.0" encoding="utf-8"?>
<formControlPr xmlns="http://schemas.microsoft.com/office/spreadsheetml/2009/9/main" objectType="Radio" lockText="1"/>
</file>

<file path=xl/ctrlProps/ctrlProp113.xml><?xml version="1.0" encoding="utf-8"?>
<formControlPr xmlns="http://schemas.microsoft.com/office/spreadsheetml/2009/9/main" objectType="GBox" noThreeD="1"/>
</file>

<file path=xl/ctrlProps/ctrlProp114.xml><?xml version="1.0" encoding="utf-8"?>
<formControlPr xmlns="http://schemas.microsoft.com/office/spreadsheetml/2009/9/main" objectType="Radio" checked="Checked" firstButton="1" fmlaLink="$B$139" lockText="1"/>
</file>

<file path=xl/ctrlProps/ctrlProp115.xml><?xml version="1.0" encoding="utf-8"?>
<formControlPr xmlns="http://schemas.microsoft.com/office/spreadsheetml/2009/9/main" objectType="Radio" lockText="1"/>
</file>

<file path=xl/ctrlProps/ctrlProp116.xml><?xml version="1.0" encoding="utf-8"?>
<formControlPr xmlns="http://schemas.microsoft.com/office/spreadsheetml/2009/9/main" objectType="Radio" lockText="1"/>
</file>

<file path=xl/ctrlProps/ctrlProp117.xml><?xml version="1.0" encoding="utf-8"?>
<formControlPr xmlns="http://schemas.microsoft.com/office/spreadsheetml/2009/9/main" objectType="Radio" lockText="1"/>
</file>

<file path=xl/ctrlProps/ctrlProp118.xml><?xml version="1.0" encoding="utf-8"?>
<formControlPr xmlns="http://schemas.microsoft.com/office/spreadsheetml/2009/9/main" objectType="Radio" lockText="1"/>
</file>

<file path=xl/ctrlProps/ctrlProp119.xml><?xml version="1.0" encoding="utf-8"?>
<formControlPr xmlns="http://schemas.microsoft.com/office/spreadsheetml/2009/9/main" objectType="GBox" noThreeD="1"/>
</file>

<file path=xl/ctrlProps/ctrlProp120.xml><?xml version="1.0" encoding="utf-8"?>
<formControlPr xmlns="http://schemas.microsoft.com/office/spreadsheetml/2009/9/main" objectType="Radio" checked="Checked" firstButton="1" fmlaLink="$B$141" lockText="1"/>
</file>

<file path=xl/ctrlProps/ctrlProp121.xml><?xml version="1.0" encoding="utf-8"?>
<formControlPr xmlns="http://schemas.microsoft.com/office/spreadsheetml/2009/9/main" objectType="Radio" lockText="1"/>
</file>

<file path=xl/ctrlProps/ctrlProp122.xml><?xml version="1.0" encoding="utf-8"?>
<formControlPr xmlns="http://schemas.microsoft.com/office/spreadsheetml/2009/9/main" objectType="Radio" lockText="1"/>
</file>

<file path=xl/ctrlProps/ctrlProp123.xml><?xml version="1.0" encoding="utf-8"?>
<formControlPr xmlns="http://schemas.microsoft.com/office/spreadsheetml/2009/9/main" objectType="Radio" lockText="1"/>
</file>

<file path=xl/ctrlProps/ctrlProp124.xml><?xml version="1.0" encoding="utf-8"?>
<formControlPr xmlns="http://schemas.microsoft.com/office/spreadsheetml/2009/9/main" objectType="Radio" lockText="1"/>
</file>

<file path=xl/ctrlProps/ctrlProp125.xml><?xml version="1.0" encoding="utf-8"?>
<formControlPr xmlns="http://schemas.microsoft.com/office/spreadsheetml/2009/9/main" objectType="GBox" noThreeD="1"/>
</file>

<file path=xl/ctrlProps/ctrlProp126.xml><?xml version="1.0" encoding="utf-8"?>
<formControlPr xmlns="http://schemas.microsoft.com/office/spreadsheetml/2009/9/main" objectType="Radio" firstButton="1" fmlaLink="$B$142" lockText="1"/>
</file>

<file path=xl/ctrlProps/ctrlProp127.xml><?xml version="1.0" encoding="utf-8"?>
<formControlPr xmlns="http://schemas.microsoft.com/office/spreadsheetml/2009/9/main" objectType="Radio" lockText="1"/>
</file>

<file path=xl/ctrlProps/ctrlProp128.xml><?xml version="1.0" encoding="utf-8"?>
<formControlPr xmlns="http://schemas.microsoft.com/office/spreadsheetml/2009/9/main" objectType="Radio" checked="Checked" lockText="1"/>
</file>

<file path=xl/ctrlProps/ctrlProp129.xml><?xml version="1.0" encoding="utf-8"?>
<formControlPr xmlns="http://schemas.microsoft.com/office/spreadsheetml/2009/9/main" objectType="Radio" lockText="1"/>
</file>

<file path=xl/ctrlProps/ctrlProp130.xml><?xml version="1.0" encoding="utf-8"?>
<formControlPr xmlns="http://schemas.microsoft.com/office/spreadsheetml/2009/9/main" objectType="Radio" lockText="1"/>
</file>

<file path=xl/ctrlProps/ctrlProp131.xml><?xml version="1.0" encoding="utf-8"?>
<formControlPr xmlns="http://schemas.microsoft.com/office/spreadsheetml/2009/9/main" objectType="GBox" noThreeD="1"/>
</file>

<file path=xl/ctrlProps/ctrlProp132.xml><?xml version="1.0" encoding="utf-8"?>
<formControlPr xmlns="http://schemas.microsoft.com/office/spreadsheetml/2009/9/main" objectType="Radio" firstButton="1" fmlaLink="$B$143" lockText="1"/>
</file>

<file path=xl/ctrlProps/ctrlProp133.xml><?xml version="1.0" encoding="utf-8"?>
<formControlPr xmlns="http://schemas.microsoft.com/office/spreadsheetml/2009/9/main" objectType="Radio" lockText="1"/>
</file>

<file path=xl/ctrlProps/ctrlProp134.xml><?xml version="1.0" encoding="utf-8"?>
<formControlPr xmlns="http://schemas.microsoft.com/office/spreadsheetml/2009/9/main" objectType="Radio" lockText="1"/>
</file>

<file path=xl/ctrlProps/ctrlProp135.xml><?xml version="1.0" encoding="utf-8"?>
<formControlPr xmlns="http://schemas.microsoft.com/office/spreadsheetml/2009/9/main" objectType="Radio" lockText="1"/>
</file>

<file path=xl/ctrlProps/ctrlProp136.xml><?xml version="1.0" encoding="utf-8"?>
<formControlPr xmlns="http://schemas.microsoft.com/office/spreadsheetml/2009/9/main" objectType="Radio" checked="Checked" lockText="1"/>
</file>

<file path=xl/ctrlProps/ctrlProp137.xml><?xml version="1.0" encoding="utf-8"?>
<formControlPr xmlns="http://schemas.microsoft.com/office/spreadsheetml/2009/9/main" objectType="GBox" noThreeD="1"/>
</file>

<file path=xl/ctrlProps/ctrlProp138.xml><?xml version="1.0" encoding="utf-8"?>
<formControlPr xmlns="http://schemas.microsoft.com/office/spreadsheetml/2009/9/main" objectType="Radio" firstButton="1" fmlaLink="$B$144" lockText="1"/>
</file>

<file path=xl/ctrlProps/ctrlProp139.xml><?xml version="1.0" encoding="utf-8"?>
<formControlPr xmlns="http://schemas.microsoft.com/office/spreadsheetml/2009/9/main" objectType="Radio" checked="Checked" lockText="1"/>
</file>

<file path=xl/ctrlProps/ctrlProp140.xml><?xml version="1.0" encoding="utf-8"?>
<formControlPr xmlns="http://schemas.microsoft.com/office/spreadsheetml/2009/9/main" objectType="Radio" lockText="1"/>
</file>

<file path=xl/ctrlProps/ctrlProp141.xml><?xml version="1.0" encoding="utf-8"?>
<formControlPr xmlns="http://schemas.microsoft.com/office/spreadsheetml/2009/9/main" objectType="Radio" lockText="1"/>
</file>

<file path=xl/ctrlProps/ctrlProp142.xml><?xml version="1.0" encoding="utf-8"?>
<formControlPr xmlns="http://schemas.microsoft.com/office/spreadsheetml/2009/9/main" objectType="Radio" lockText="1"/>
</file>

<file path=xl/ctrlProps/ctrlProp143.xml><?xml version="1.0" encoding="utf-8"?>
<formControlPr xmlns="http://schemas.microsoft.com/office/spreadsheetml/2009/9/main" objectType="GBox" noThreeD="1"/>
</file>

<file path=xl/ctrlProps/ctrlProp144.xml><?xml version="1.0" encoding="utf-8"?>
<formControlPr xmlns="http://schemas.microsoft.com/office/spreadsheetml/2009/9/main" objectType="Radio" firstButton="1" fmlaLink="$B$145" lockText="1"/>
</file>

<file path=xl/ctrlProps/ctrlProp145.xml><?xml version="1.0" encoding="utf-8"?>
<formControlPr xmlns="http://schemas.microsoft.com/office/spreadsheetml/2009/9/main" objectType="Radio" lockText="1"/>
</file>

<file path=xl/ctrlProps/ctrlProp146.xml><?xml version="1.0" encoding="utf-8"?>
<formControlPr xmlns="http://schemas.microsoft.com/office/spreadsheetml/2009/9/main" objectType="Radio" lockText="1"/>
</file>

<file path=xl/ctrlProps/ctrlProp147.xml><?xml version="1.0" encoding="utf-8"?>
<formControlPr xmlns="http://schemas.microsoft.com/office/spreadsheetml/2009/9/main" objectType="Radio" lockText="1"/>
</file>

<file path=xl/ctrlProps/ctrlProp148.xml><?xml version="1.0" encoding="utf-8"?>
<formControlPr xmlns="http://schemas.microsoft.com/office/spreadsheetml/2009/9/main" objectType="Radio" lockText="1"/>
</file>

<file path=xl/ctrlProps/ctrlProp149.xml><?xml version="1.0" encoding="utf-8"?>
<formControlPr xmlns="http://schemas.microsoft.com/office/spreadsheetml/2009/9/main" objectType="GBox" noThreeD="1"/>
</file>

<file path=xl/ctrlProps/ctrlProp150.xml><?xml version="1.0" encoding="utf-8"?>
<formControlPr xmlns="http://schemas.microsoft.com/office/spreadsheetml/2009/9/main" objectType="Radio" firstButton="1" fmlaLink="$B$147" lockText="1"/>
</file>

<file path=xl/ctrlProps/ctrlProp151.xml><?xml version="1.0" encoding="utf-8"?>
<formControlPr xmlns="http://schemas.microsoft.com/office/spreadsheetml/2009/9/main" objectType="Radio" lockText="1"/>
</file>

<file path=xl/ctrlProps/ctrlProp152.xml><?xml version="1.0" encoding="utf-8"?>
<formControlPr xmlns="http://schemas.microsoft.com/office/spreadsheetml/2009/9/main" objectType="Radio" lockText="1"/>
</file>

<file path=xl/ctrlProps/ctrlProp153.xml><?xml version="1.0" encoding="utf-8"?>
<formControlPr xmlns="http://schemas.microsoft.com/office/spreadsheetml/2009/9/main" objectType="Radio" lockText="1"/>
</file>

<file path=xl/ctrlProps/ctrlProp154.xml><?xml version="1.0" encoding="utf-8"?>
<formControlPr xmlns="http://schemas.microsoft.com/office/spreadsheetml/2009/9/main" objectType="Radio" lockText="1"/>
</file>

<file path=xl/ctrlProps/ctrlProp155.xml><?xml version="1.0" encoding="utf-8"?>
<formControlPr xmlns="http://schemas.microsoft.com/office/spreadsheetml/2009/9/main" objectType="GBox" noThreeD="1"/>
</file>

<file path=xl/ctrlProps/ctrlProp156.xml><?xml version="1.0" encoding="utf-8"?>
<formControlPr xmlns="http://schemas.microsoft.com/office/spreadsheetml/2009/9/main" objectType="Radio" firstButton="1" fmlaLink="$B$149" lockText="1"/>
</file>

<file path=xl/ctrlProps/ctrlProp157.xml><?xml version="1.0" encoding="utf-8"?>
<formControlPr xmlns="http://schemas.microsoft.com/office/spreadsheetml/2009/9/main" objectType="Radio" lockText="1"/>
</file>

<file path=xl/ctrlProps/ctrlProp158.xml><?xml version="1.0" encoding="utf-8"?>
<formControlPr xmlns="http://schemas.microsoft.com/office/spreadsheetml/2009/9/main" objectType="Radio" lockText="1"/>
</file>

<file path=xl/ctrlProps/ctrlProp159.xml><?xml version="1.0" encoding="utf-8"?>
<formControlPr xmlns="http://schemas.microsoft.com/office/spreadsheetml/2009/9/main" objectType="Radio" lockText="1"/>
</file>

<file path=xl/ctrlProps/ctrlProp160.xml><?xml version="1.0" encoding="utf-8"?>
<formControlPr xmlns="http://schemas.microsoft.com/office/spreadsheetml/2009/9/main" objectType="Radio" lockText="1"/>
</file>

<file path=xl/ctrlProps/ctrlProp161.xml><?xml version="1.0" encoding="utf-8"?>
<formControlPr xmlns="http://schemas.microsoft.com/office/spreadsheetml/2009/9/main" objectType="GBox" noThreeD="1"/>
</file>

<file path=xl/ctrlProps/ctrlProp162.xml><?xml version="1.0" encoding="utf-8"?>
<formControlPr xmlns="http://schemas.microsoft.com/office/spreadsheetml/2009/9/main" objectType="Radio" firstButton="1" fmlaLink="$B$150" lockText="1"/>
</file>

<file path=xl/ctrlProps/ctrlProp163.xml><?xml version="1.0" encoding="utf-8"?>
<formControlPr xmlns="http://schemas.microsoft.com/office/spreadsheetml/2009/9/main" objectType="Radio" lockText="1"/>
</file>

<file path=xl/ctrlProps/ctrlProp164.xml><?xml version="1.0" encoding="utf-8"?>
<formControlPr xmlns="http://schemas.microsoft.com/office/spreadsheetml/2009/9/main" objectType="Radio" lockText="1"/>
</file>

<file path=xl/ctrlProps/ctrlProp165.xml><?xml version="1.0" encoding="utf-8"?>
<formControlPr xmlns="http://schemas.microsoft.com/office/spreadsheetml/2009/9/main" objectType="Radio" checked="Checked" lockText="1"/>
</file>

<file path=xl/ctrlProps/ctrlProp166.xml><?xml version="1.0" encoding="utf-8"?>
<formControlPr xmlns="http://schemas.microsoft.com/office/spreadsheetml/2009/9/main" objectType="Radio" lockText="1"/>
</file>

<file path=xl/ctrlProps/ctrlProp167.xml><?xml version="1.0" encoding="utf-8"?>
<formControlPr xmlns="http://schemas.microsoft.com/office/spreadsheetml/2009/9/main" objectType="GBox" noThreeD="1"/>
</file>

<file path=xl/ctrlProps/ctrlProp168.xml><?xml version="1.0" encoding="utf-8"?>
<formControlPr xmlns="http://schemas.microsoft.com/office/spreadsheetml/2009/9/main" objectType="Radio" firstButton="1" fmlaLink="$B$151" lockText="1"/>
</file>

<file path=xl/ctrlProps/ctrlProp169.xml><?xml version="1.0" encoding="utf-8"?>
<formControlPr xmlns="http://schemas.microsoft.com/office/spreadsheetml/2009/9/main" objectType="Radio" checked="Checked" lockText="1"/>
</file>

<file path=xl/ctrlProps/ctrlProp170.xml><?xml version="1.0" encoding="utf-8"?>
<formControlPr xmlns="http://schemas.microsoft.com/office/spreadsheetml/2009/9/main" objectType="Radio" lockText="1"/>
</file>

<file path=xl/ctrlProps/ctrlProp171.xml><?xml version="1.0" encoding="utf-8"?>
<formControlPr xmlns="http://schemas.microsoft.com/office/spreadsheetml/2009/9/main" objectType="Radio" lockText="1"/>
</file>

<file path=xl/ctrlProps/ctrlProp172.xml><?xml version="1.0" encoding="utf-8"?>
<formControlPr xmlns="http://schemas.microsoft.com/office/spreadsheetml/2009/9/main" objectType="Radio" lockText="1"/>
</file>

<file path=xl/ctrlProps/ctrlProp173.xml><?xml version="1.0" encoding="utf-8"?>
<formControlPr xmlns="http://schemas.microsoft.com/office/spreadsheetml/2009/9/main" objectType="GBox" noThreeD="1"/>
</file>

<file path=xl/ctrlProps/ctrlProp174.xml><?xml version="1.0" encoding="utf-8"?>
<formControlPr xmlns="http://schemas.microsoft.com/office/spreadsheetml/2009/9/main" objectType="Radio" firstButton="1" fmlaLink="$B$152" lockText="1"/>
</file>

<file path=xl/ctrlProps/ctrlProp175.xml><?xml version="1.0" encoding="utf-8"?>
<formControlPr xmlns="http://schemas.microsoft.com/office/spreadsheetml/2009/9/main" objectType="Radio" lockText="1"/>
</file>

<file path=xl/ctrlProps/ctrlProp176.xml><?xml version="1.0" encoding="utf-8"?>
<formControlPr xmlns="http://schemas.microsoft.com/office/spreadsheetml/2009/9/main" objectType="Radio" lockText="1"/>
</file>

<file path=xl/ctrlProps/ctrlProp177.xml><?xml version="1.0" encoding="utf-8"?>
<formControlPr xmlns="http://schemas.microsoft.com/office/spreadsheetml/2009/9/main" objectType="Radio" lockText="1"/>
</file>

<file path=xl/ctrlProps/ctrlProp178.xml><?xml version="1.0" encoding="utf-8"?>
<formControlPr xmlns="http://schemas.microsoft.com/office/spreadsheetml/2009/9/main" objectType="Radio" lockText="1"/>
</file>

<file path=xl/ctrlProps/ctrlProp179.xml><?xml version="1.0" encoding="utf-8"?>
<formControlPr xmlns="http://schemas.microsoft.com/office/spreadsheetml/2009/9/main" objectType="GBox" noThreeD="1"/>
</file>

<file path=xl/ctrlProps/ctrlProp180.xml><?xml version="1.0" encoding="utf-8"?>
<formControlPr xmlns="http://schemas.microsoft.com/office/spreadsheetml/2009/9/main" objectType="Radio" firstButton="1" fmlaLink="$B$154" lockText="1"/>
</file>

<file path=xl/ctrlProps/ctrlProp181.xml><?xml version="1.0" encoding="utf-8"?>
<formControlPr xmlns="http://schemas.microsoft.com/office/spreadsheetml/2009/9/main" objectType="Radio" lockText="1"/>
</file>

<file path=xl/ctrlProps/ctrlProp182.xml><?xml version="1.0" encoding="utf-8"?>
<formControlPr xmlns="http://schemas.microsoft.com/office/spreadsheetml/2009/9/main" objectType="Radio" lockText="1"/>
</file>

<file path=xl/ctrlProps/ctrlProp183.xml><?xml version="1.0" encoding="utf-8"?>
<formControlPr xmlns="http://schemas.microsoft.com/office/spreadsheetml/2009/9/main" objectType="Radio" checked="Checked" lockText="1"/>
</file>

<file path=xl/ctrlProps/ctrlProp184.xml><?xml version="1.0" encoding="utf-8"?>
<formControlPr xmlns="http://schemas.microsoft.com/office/spreadsheetml/2009/9/main" objectType="Radio" lockText="1"/>
</file>

<file path=xl/ctrlProps/ctrlProp185.xml><?xml version="1.0" encoding="utf-8"?>
<formControlPr xmlns="http://schemas.microsoft.com/office/spreadsheetml/2009/9/main" objectType="GBox" noThreeD="1"/>
</file>

<file path=xl/ctrlProps/ctrlProp186.xml><?xml version="1.0" encoding="utf-8"?>
<formControlPr xmlns="http://schemas.microsoft.com/office/spreadsheetml/2009/9/main" objectType="Radio" firstButton="1" fmlaLink="$B$155" lockText="1"/>
</file>

<file path=xl/ctrlProps/ctrlProp187.xml><?xml version="1.0" encoding="utf-8"?>
<formControlPr xmlns="http://schemas.microsoft.com/office/spreadsheetml/2009/9/main" objectType="Radio" lockText="1"/>
</file>

<file path=xl/ctrlProps/ctrlProp188.xml><?xml version="1.0" encoding="utf-8"?>
<formControlPr xmlns="http://schemas.microsoft.com/office/spreadsheetml/2009/9/main" objectType="Radio" lockText="1"/>
</file>

<file path=xl/ctrlProps/ctrlProp189.xml><?xml version="1.0" encoding="utf-8"?>
<formControlPr xmlns="http://schemas.microsoft.com/office/spreadsheetml/2009/9/main" objectType="Radio" lockText="1"/>
</file>

<file path=xl/ctrlProps/ctrlProp190.xml><?xml version="1.0" encoding="utf-8"?>
<formControlPr xmlns="http://schemas.microsoft.com/office/spreadsheetml/2009/9/main" objectType="Radio" lockText="1"/>
</file>

<file path=xl/ctrlProps/ctrlProp191.xml><?xml version="1.0" encoding="utf-8"?>
<formControlPr xmlns="http://schemas.microsoft.com/office/spreadsheetml/2009/9/main" objectType="GBox" noThreeD="1"/>
</file>

<file path=xl/ctrlProps/ctrlProp192.xml><?xml version="1.0" encoding="utf-8"?>
<formControlPr xmlns="http://schemas.microsoft.com/office/spreadsheetml/2009/9/main" objectType="Radio" firstButton="1" fmlaLink="$B$156" lockText="1"/>
</file>

<file path=xl/ctrlProps/ctrlProp193.xml><?xml version="1.0" encoding="utf-8"?>
<formControlPr xmlns="http://schemas.microsoft.com/office/spreadsheetml/2009/9/main" objectType="Radio" lockText="1"/>
</file>

<file path=xl/ctrlProps/ctrlProp194.xml><?xml version="1.0" encoding="utf-8"?>
<formControlPr xmlns="http://schemas.microsoft.com/office/spreadsheetml/2009/9/main" objectType="Radio" lockText="1"/>
</file>

<file path=xl/ctrlProps/ctrlProp195.xml><?xml version="1.0" encoding="utf-8"?>
<formControlPr xmlns="http://schemas.microsoft.com/office/spreadsheetml/2009/9/main" objectType="Radio" lockText="1"/>
</file>

<file path=xl/ctrlProps/ctrlProp196.xml><?xml version="1.0" encoding="utf-8"?>
<formControlPr xmlns="http://schemas.microsoft.com/office/spreadsheetml/2009/9/main" objectType="Radio" lockText="1"/>
</file>

<file path=xl/ctrlProps/ctrlProp197.xml><?xml version="1.0" encoding="utf-8"?>
<formControlPr xmlns="http://schemas.microsoft.com/office/spreadsheetml/2009/9/main" objectType="GBox" noThreeD="1"/>
</file>

<file path=xl/ctrlProps/ctrlProp198.xml><?xml version="1.0" encoding="utf-8"?>
<formControlPr xmlns="http://schemas.microsoft.com/office/spreadsheetml/2009/9/main" objectType="Radio" firstButton="1" fmlaLink="$B$158" lockText="1"/>
</file>

<file path=xl/ctrlProps/ctrlProp199.xml><?xml version="1.0" encoding="utf-8"?>
<formControlPr xmlns="http://schemas.microsoft.com/office/spreadsheetml/2009/9/main" objectType="Radio" lockText="1"/>
</file>

<file path=xl/ctrlProps/ctrlProp200.xml><?xml version="1.0" encoding="utf-8"?>
<formControlPr xmlns="http://schemas.microsoft.com/office/spreadsheetml/2009/9/main" objectType="Radio" checked="Checked" lockText="1"/>
</file>

<file path=xl/ctrlProps/ctrlProp201.xml><?xml version="1.0" encoding="utf-8"?>
<formControlPr xmlns="http://schemas.microsoft.com/office/spreadsheetml/2009/9/main" objectType="Radio" lockText="1"/>
</file>

<file path=xl/ctrlProps/ctrlProp202.xml><?xml version="1.0" encoding="utf-8"?>
<formControlPr xmlns="http://schemas.microsoft.com/office/spreadsheetml/2009/9/main" objectType="Radio" lockText="1"/>
</file>

<file path=xl/ctrlProps/ctrlProp203.xml><?xml version="1.0" encoding="utf-8"?>
<formControlPr xmlns="http://schemas.microsoft.com/office/spreadsheetml/2009/9/main" objectType="GBox" noThreeD="1"/>
</file>

<file path=xl/ctrlProps/ctrlProp204.xml><?xml version="1.0" encoding="utf-8"?>
<formControlPr xmlns="http://schemas.microsoft.com/office/spreadsheetml/2009/9/main" objectType="Radio" firstButton="1" fmlaLink="$B$159" lockText="1"/>
</file>

<file path=xl/ctrlProps/ctrlProp205.xml><?xml version="1.0" encoding="utf-8"?>
<formControlPr xmlns="http://schemas.microsoft.com/office/spreadsheetml/2009/9/main" objectType="Radio" lockText="1"/>
</file>

<file path=xl/ctrlProps/ctrlProp206.xml><?xml version="1.0" encoding="utf-8"?>
<formControlPr xmlns="http://schemas.microsoft.com/office/spreadsheetml/2009/9/main" objectType="Radio" lockText="1"/>
</file>

<file path=xl/ctrlProps/ctrlProp207.xml><?xml version="1.0" encoding="utf-8"?>
<formControlPr xmlns="http://schemas.microsoft.com/office/spreadsheetml/2009/9/main" objectType="Radio" lockText="1"/>
</file>

<file path=xl/ctrlProps/ctrlProp208.xml><?xml version="1.0" encoding="utf-8"?>
<formControlPr xmlns="http://schemas.microsoft.com/office/spreadsheetml/2009/9/main" objectType="Radio" lockText="1"/>
</file>

<file path=xl/ctrlProps/ctrlProp209.xml><?xml version="1.0" encoding="utf-8"?>
<formControlPr xmlns="http://schemas.microsoft.com/office/spreadsheetml/2009/9/main" objectType="GBox" noThreeD="1"/>
</file>

<file path=xl/ctrlProps/ctrlProp210.xml><?xml version="1.0" encoding="utf-8"?>
<formControlPr xmlns="http://schemas.microsoft.com/office/spreadsheetml/2009/9/main" objectType="Radio" firstButton="1" fmlaLink="$B$160" lockText="1"/>
</file>

<file path=xl/ctrlProps/ctrlProp211.xml><?xml version="1.0" encoding="utf-8"?>
<formControlPr xmlns="http://schemas.microsoft.com/office/spreadsheetml/2009/9/main" objectType="Radio" lockText="1"/>
</file>

<file path=xl/ctrlProps/ctrlProp212.xml><?xml version="1.0" encoding="utf-8"?>
<formControlPr xmlns="http://schemas.microsoft.com/office/spreadsheetml/2009/9/main" objectType="Radio" lockText="1"/>
</file>

<file path=xl/ctrlProps/ctrlProp213.xml><?xml version="1.0" encoding="utf-8"?>
<formControlPr xmlns="http://schemas.microsoft.com/office/spreadsheetml/2009/9/main" objectType="Radio" lockText="1"/>
</file>

<file path=xl/ctrlProps/ctrlProp214.xml><?xml version="1.0" encoding="utf-8"?>
<formControlPr xmlns="http://schemas.microsoft.com/office/spreadsheetml/2009/9/main" objectType="Radio" lockText="1"/>
</file>

<file path=xl/ctrlProps/ctrlProp215.xml><?xml version="1.0" encoding="utf-8"?>
<formControlPr xmlns="http://schemas.microsoft.com/office/spreadsheetml/2009/9/main" objectType="GBox" noThreeD="1"/>
</file>

<file path=xl/ctrlProps/ctrlProp216.xml><?xml version="1.0" encoding="utf-8"?>
<formControlPr xmlns="http://schemas.microsoft.com/office/spreadsheetml/2009/9/main" objectType="Radio" firstButton="1" fmlaLink="$B$161" lockText="1"/>
</file>

<file path=xl/ctrlProps/ctrlProp217.xml><?xml version="1.0" encoding="utf-8"?>
<formControlPr xmlns="http://schemas.microsoft.com/office/spreadsheetml/2009/9/main" objectType="Radio" lockText="1"/>
</file>

<file path=xl/ctrlProps/ctrlProp218.xml><?xml version="1.0" encoding="utf-8"?>
<formControlPr xmlns="http://schemas.microsoft.com/office/spreadsheetml/2009/9/main" objectType="Radio" lockText="1"/>
</file>

<file path=xl/ctrlProps/ctrlProp219.xml><?xml version="1.0" encoding="utf-8"?>
<formControlPr xmlns="http://schemas.microsoft.com/office/spreadsheetml/2009/9/main" objectType="Radio" lockText="1"/>
</file>

<file path=xl/ctrlProps/ctrlProp220.xml><?xml version="1.0" encoding="utf-8"?>
<formControlPr xmlns="http://schemas.microsoft.com/office/spreadsheetml/2009/9/main" objectType="Radio" lockText="1"/>
</file>

<file path=xl/ctrlProps/ctrlProp221.xml><?xml version="1.0" encoding="utf-8"?>
<formControlPr xmlns="http://schemas.microsoft.com/office/spreadsheetml/2009/9/main" objectType="GBox" noThreeD="1"/>
</file>

<file path=xl/ctrlProps/ctrlProp222.xml><?xml version="1.0" encoding="utf-8"?>
<formControlPr xmlns="http://schemas.microsoft.com/office/spreadsheetml/2009/9/main" objectType="Radio" firstButton="1" fmlaLink="$B$163" lockText="1"/>
</file>

<file path=xl/ctrlProps/ctrlProp223.xml><?xml version="1.0" encoding="utf-8"?>
<formControlPr xmlns="http://schemas.microsoft.com/office/spreadsheetml/2009/9/main" objectType="Radio" lockText="1"/>
</file>

<file path=xl/ctrlProps/ctrlProp224.xml><?xml version="1.0" encoding="utf-8"?>
<formControlPr xmlns="http://schemas.microsoft.com/office/spreadsheetml/2009/9/main" objectType="Radio" lockText="1"/>
</file>

<file path=xl/ctrlProps/ctrlProp225.xml><?xml version="1.0" encoding="utf-8"?>
<formControlPr xmlns="http://schemas.microsoft.com/office/spreadsheetml/2009/9/main" objectType="Radio" lockText="1"/>
</file>

<file path=xl/ctrlProps/ctrlProp226.xml><?xml version="1.0" encoding="utf-8"?>
<formControlPr xmlns="http://schemas.microsoft.com/office/spreadsheetml/2009/9/main" objectType="Radio" lockText="1"/>
</file>

<file path=xl/ctrlProps/ctrlProp227.xml><?xml version="1.0" encoding="utf-8"?>
<formControlPr xmlns="http://schemas.microsoft.com/office/spreadsheetml/2009/9/main" objectType="GBox" noThreeD="1"/>
</file>

<file path=xl/ctrlProps/ctrlProp228.xml><?xml version="1.0" encoding="utf-8"?>
<formControlPr xmlns="http://schemas.microsoft.com/office/spreadsheetml/2009/9/main" objectType="Radio" firstButton="1" fmlaLink="$B$164" lockText="1"/>
</file>

<file path=xl/ctrlProps/ctrlProp229.xml><?xml version="1.0" encoding="utf-8"?>
<formControlPr xmlns="http://schemas.microsoft.com/office/spreadsheetml/2009/9/main" objectType="Radio" lockText="1"/>
</file>

<file path=xl/ctrlProps/ctrlProp230.xml><?xml version="1.0" encoding="utf-8"?>
<formControlPr xmlns="http://schemas.microsoft.com/office/spreadsheetml/2009/9/main" objectType="Radio" checked="Checked" lockText="1"/>
</file>

<file path=xl/ctrlProps/ctrlProp231.xml><?xml version="1.0" encoding="utf-8"?>
<formControlPr xmlns="http://schemas.microsoft.com/office/spreadsheetml/2009/9/main" objectType="Radio" lockText="1"/>
</file>

<file path=xl/ctrlProps/ctrlProp232.xml><?xml version="1.0" encoding="utf-8"?>
<formControlPr xmlns="http://schemas.microsoft.com/office/spreadsheetml/2009/9/main" objectType="Radio" lockText="1"/>
</file>

<file path=xl/ctrlProps/ctrlProp233.xml><?xml version="1.0" encoding="utf-8"?>
<formControlPr xmlns="http://schemas.microsoft.com/office/spreadsheetml/2009/9/main" objectType="GBox" noThreeD="1"/>
</file>

<file path=xl/ctrlProps/ctrlProp234.xml><?xml version="1.0" encoding="utf-8"?>
<formControlPr xmlns="http://schemas.microsoft.com/office/spreadsheetml/2009/9/main" objectType="Radio" firstButton="1" fmlaLink="$B$146" lockText="1"/>
</file>

<file path=xl/ctrlProps/ctrlProp235.xml><?xml version="1.0" encoding="utf-8"?>
<formControlPr xmlns="http://schemas.microsoft.com/office/spreadsheetml/2009/9/main" objectType="Radio" lockText="1"/>
</file>

<file path=xl/ctrlProps/ctrlProp236.xml><?xml version="1.0" encoding="utf-8"?>
<formControlPr xmlns="http://schemas.microsoft.com/office/spreadsheetml/2009/9/main" objectType="Radio" lockText="1"/>
</file>

<file path=xl/ctrlProps/ctrlProp237.xml><?xml version="1.0" encoding="utf-8"?>
<formControlPr xmlns="http://schemas.microsoft.com/office/spreadsheetml/2009/9/main" objectType="Radio" lockText="1"/>
</file>

<file path=xl/ctrlProps/ctrlProp238.xml><?xml version="1.0" encoding="utf-8"?>
<formControlPr xmlns="http://schemas.microsoft.com/office/spreadsheetml/2009/9/main" objectType="Radio" lockText="1"/>
</file>

<file path=xl/ctrlProps/ctrlProp239.xml><?xml version="1.0" encoding="utf-8"?>
<formControlPr xmlns="http://schemas.microsoft.com/office/spreadsheetml/2009/9/main" objectType="Drop" dropLines="2" dropStyle="combo" dx="16" fmlaLink="' '!$B$4" fmlaRange="' '!$Z$6:$Z$7" noThreeD="1" sel="2" val="0"/>
</file>

<file path=xl/ctrlProps/ctrlProp240.xml><?xml version="1.0" encoding="utf-8"?>
<formControlPr xmlns="http://schemas.microsoft.com/office/spreadsheetml/2009/9/main" objectType="GBox" noThreeD="1"/>
</file>

<file path=xl/ctrlProps/ctrlProp241.xml><?xml version="1.0" encoding="utf-8"?>
<formControlPr xmlns="http://schemas.microsoft.com/office/spreadsheetml/2009/9/main" objectType="GBox" noThreeD="1"/>
</file>

<file path=xl/ctrlProps/ctrlProp242.xml><?xml version="1.0" encoding="utf-8"?>
<formControlPr xmlns="http://schemas.microsoft.com/office/spreadsheetml/2009/9/main" objectType="Radio" firstButton="1" fmlaLink="$B$135" lockText="1"/>
</file>

<file path=xl/ctrlProps/ctrlProp243.xml><?xml version="1.0" encoding="utf-8"?>
<formControlPr xmlns="http://schemas.microsoft.com/office/spreadsheetml/2009/9/main" objectType="Radio" lockText="1"/>
</file>

<file path=xl/ctrlProps/ctrlProp244.xml><?xml version="1.0" encoding="utf-8"?>
<formControlPr xmlns="http://schemas.microsoft.com/office/spreadsheetml/2009/9/main" objectType="Radio" checked="Checked" lockText="1"/>
</file>

<file path=xl/ctrlProps/ctrlProp245.xml><?xml version="1.0" encoding="utf-8"?>
<formControlPr xmlns="http://schemas.microsoft.com/office/spreadsheetml/2009/9/main" objectType="Radio" lockText="1"/>
</file>

<file path=xl/ctrlProps/ctrlProp246.xml><?xml version="1.0" encoding="utf-8"?>
<formControlPr xmlns="http://schemas.microsoft.com/office/spreadsheetml/2009/9/main" objectType="Radio" lockText="1"/>
</file>

<file path=xl/ctrlProps/ctrlProp247.xml><?xml version="1.0" encoding="utf-8"?>
<formControlPr xmlns="http://schemas.microsoft.com/office/spreadsheetml/2009/9/main" objectType="GBox" noThreeD="1"/>
</file>

<file path=xl/ctrlProps/ctrlProp248.xml><?xml version="1.0" encoding="utf-8"?>
<formControlPr xmlns="http://schemas.microsoft.com/office/spreadsheetml/2009/9/main" objectType="Radio" firstButton="1" fmlaLink="$B$136" lockText="1"/>
</file>

<file path=xl/ctrlProps/ctrlProp249.xml><?xml version="1.0" encoding="utf-8"?>
<formControlPr xmlns="http://schemas.microsoft.com/office/spreadsheetml/2009/9/main" objectType="Radio" lockText="1"/>
</file>

<file path=xl/ctrlProps/ctrlProp250.xml><?xml version="1.0" encoding="utf-8"?>
<formControlPr xmlns="http://schemas.microsoft.com/office/spreadsheetml/2009/9/main" objectType="Radio" lockText="1"/>
</file>

<file path=xl/ctrlProps/ctrlProp251.xml><?xml version="1.0" encoding="utf-8"?>
<formControlPr xmlns="http://schemas.microsoft.com/office/spreadsheetml/2009/9/main" objectType="Radio" checked="Checked" lockText="1"/>
</file>

<file path=xl/ctrlProps/ctrlProp252.xml><?xml version="1.0" encoding="utf-8"?>
<formControlPr xmlns="http://schemas.microsoft.com/office/spreadsheetml/2009/9/main" objectType="Radio" lockText="1"/>
</file>

<file path=xl/ctrlProps/ctrlProp253.xml><?xml version="1.0" encoding="utf-8"?>
<formControlPr xmlns="http://schemas.microsoft.com/office/spreadsheetml/2009/9/main" objectType="GBox" noThreeD="1"/>
</file>

<file path=xl/ctrlProps/ctrlProp254.xml><?xml version="1.0" encoding="utf-8"?>
<formControlPr xmlns="http://schemas.microsoft.com/office/spreadsheetml/2009/9/main" objectType="Radio" firstButton="1" fmlaLink="$B$137" lockText="1"/>
</file>

<file path=xl/ctrlProps/ctrlProp255.xml><?xml version="1.0" encoding="utf-8"?>
<formControlPr xmlns="http://schemas.microsoft.com/office/spreadsheetml/2009/9/main" objectType="Radio" lockText="1"/>
</file>

<file path=xl/ctrlProps/ctrlProp256.xml><?xml version="1.0" encoding="utf-8"?>
<formControlPr xmlns="http://schemas.microsoft.com/office/spreadsheetml/2009/9/main" objectType="Radio" lockText="1"/>
</file>

<file path=xl/ctrlProps/ctrlProp257.xml><?xml version="1.0" encoding="utf-8"?>
<formControlPr xmlns="http://schemas.microsoft.com/office/spreadsheetml/2009/9/main" objectType="Radio" checked="Checked" lockText="1"/>
</file>

<file path=xl/ctrlProps/ctrlProp258.xml><?xml version="1.0" encoding="utf-8"?>
<formControlPr xmlns="http://schemas.microsoft.com/office/spreadsheetml/2009/9/main" objectType="Radio" lockText="1"/>
</file>

<file path=xl/ctrlProps/ctrlProp259.xml><?xml version="1.0" encoding="utf-8"?>
<formControlPr xmlns="http://schemas.microsoft.com/office/spreadsheetml/2009/9/main" objectType="GBox" noThreeD="1"/>
</file>

<file path=xl/ctrlProps/ctrlProp260.xml><?xml version="1.0" encoding="utf-8"?>
<formControlPr xmlns="http://schemas.microsoft.com/office/spreadsheetml/2009/9/main" objectType="Radio" firstButton="1" fmlaLink="$B$153" lockText="1"/>
</file>

<file path=xl/ctrlProps/ctrlProp261.xml><?xml version="1.0" encoding="utf-8"?>
<formControlPr xmlns="http://schemas.microsoft.com/office/spreadsheetml/2009/9/main" objectType="Radio" checked="Checked" lockText="1"/>
</file>

<file path=xl/ctrlProps/ctrlProp262.xml><?xml version="1.0" encoding="utf-8"?>
<formControlPr xmlns="http://schemas.microsoft.com/office/spreadsheetml/2009/9/main" objectType="Radio" lockText="1"/>
</file>

<file path=xl/ctrlProps/ctrlProp263.xml><?xml version="1.0" encoding="utf-8"?>
<formControlPr xmlns="http://schemas.microsoft.com/office/spreadsheetml/2009/9/main" objectType="Radio" lockText="1"/>
</file>

<file path=xl/ctrlProps/ctrlProp264.xml><?xml version="1.0" encoding="utf-8"?>
<formControlPr xmlns="http://schemas.microsoft.com/office/spreadsheetml/2009/9/main" objectType="Radio" lockText="1"/>
</file>

<file path=xl/ctrlProps/ctrlProp265.xml><?xml version="1.0" encoding="utf-8"?>
<formControlPr xmlns="http://schemas.microsoft.com/office/spreadsheetml/2009/9/main" objectType="GBox" noThreeD="1"/>
</file>

<file path=xl/ctrlProps/ctrlProp266.xml><?xml version="1.0" encoding="utf-8"?>
<formControlPr xmlns="http://schemas.microsoft.com/office/spreadsheetml/2009/9/main" objectType="Radio" firstButton="1" fmlaLink="$B$134" lockText="1"/>
</file>

<file path=xl/ctrlProps/ctrlProp267.xml><?xml version="1.0" encoding="utf-8"?>
<formControlPr xmlns="http://schemas.microsoft.com/office/spreadsheetml/2009/9/main" objectType="Radio" checked="Checked" lockText="1"/>
</file>

<file path=xl/ctrlProps/ctrlProp268.xml><?xml version="1.0" encoding="utf-8"?>
<formControlPr xmlns="http://schemas.microsoft.com/office/spreadsheetml/2009/9/main" objectType="Radio" lockText="1"/>
</file>

<file path=xl/ctrlProps/ctrlProp269.xml><?xml version="1.0" encoding="utf-8"?>
<formControlPr xmlns="http://schemas.microsoft.com/office/spreadsheetml/2009/9/main" objectType="Radio" lockText="1"/>
</file>

<file path=xl/ctrlProps/ctrlProp270.xml><?xml version="1.0" encoding="utf-8"?>
<formControlPr xmlns="http://schemas.microsoft.com/office/spreadsheetml/2009/9/main" objectType="Radio" lockText="1"/>
</file>

<file path=xl/ctrlProps/ctrlProp271.xml><?xml version="1.0" encoding="utf-8"?>
<formControlPr xmlns="http://schemas.microsoft.com/office/spreadsheetml/2009/9/main" objectType="GBox" noThreeD="1"/>
</file>

<file path=xl/ctrlProps/ctrlProp272.xml><?xml version="1.0" encoding="utf-8"?>
<formControlPr xmlns="http://schemas.microsoft.com/office/spreadsheetml/2009/9/main" objectType="Radio" firstButton="1" fmlaLink="$B$147" lockText="1"/>
</file>

<file path=xl/ctrlProps/ctrlProp273.xml><?xml version="1.0" encoding="utf-8"?>
<formControlPr xmlns="http://schemas.microsoft.com/office/spreadsheetml/2009/9/main" objectType="Radio" lockText="1"/>
</file>

<file path=xl/ctrlProps/ctrlProp274.xml><?xml version="1.0" encoding="utf-8"?>
<formControlPr xmlns="http://schemas.microsoft.com/office/spreadsheetml/2009/9/main" objectType="Radio" lockText="1"/>
</file>

<file path=xl/ctrlProps/ctrlProp275.xml><?xml version="1.0" encoding="utf-8"?>
<formControlPr xmlns="http://schemas.microsoft.com/office/spreadsheetml/2009/9/main" objectType="Radio" checked="Checked" lockText="1"/>
</file>

<file path=xl/ctrlProps/ctrlProp276.xml><?xml version="1.0" encoding="utf-8"?>
<formControlPr xmlns="http://schemas.microsoft.com/office/spreadsheetml/2009/9/main" objectType="Radio" lockText="1"/>
</file>

<file path=xl/ctrlProps/ctrlProp277.xml><?xml version="1.0" encoding="utf-8"?>
<formControlPr xmlns="http://schemas.microsoft.com/office/spreadsheetml/2009/9/main" objectType="GBox" noThreeD="1"/>
</file>

<file path=xl/ctrlProps/ctrlProp278.xml><?xml version="1.0" encoding="utf-8"?>
<formControlPr xmlns="http://schemas.microsoft.com/office/spreadsheetml/2009/9/main" objectType="Radio" firstButton="1" fmlaLink="$B$148" lockText="1"/>
</file>

<file path=xl/ctrlProps/ctrlProp279.xml><?xml version="1.0" encoding="utf-8"?>
<formControlPr xmlns="http://schemas.microsoft.com/office/spreadsheetml/2009/9/main" objectType="Radio" lockText="1"/>
</file>

<file path=xl/ctrlProps/ctrlProp280.xml><?xml version="1.0" encoding="utf-8"?>
<formControlPr xmlns="http://schemas.microsoft.com/office/spreadsheetml/2009/9/main" objectType="Radio" checked="Checked" lockText="1"/>
</file>

<file path=xl/ctrlProps/ctrlProp281.xml><?xml version="1.0" encoding="utf-8"?>
<formControlPr xmlns="http://schemas.microsoft.com/office/spreadsheetml/2009/9/main" objectType="Radio" lockText="1"/>
</file>

<file path=xl/ctrlProps/ctrlProp282.xml><?xml version="1.0" encoding="utf-8"?>
<formControlPr xmlns="http://schemas.microsoft.com/office/spreadsheetml/2009/9/main" objectType="Radio" lockText="1"/>
</file>

<file path=xl/ctrlProps/ctrlProp283.xml><?xml version="1.0" encoding="utf-8"?>
<formControlPr xmlns="http://schemas.microsoft.com/office/spreadsheetml/2009/9/main" objectType="GBox" noThreeD="1"/>
</file>

<file path=xl/ctrlProps/ctrlProp284.xml><?xml version="1.0" encoding="utf-8"?>
<formControlPr xmlns="http://schemas.microsoft.com/office/spreadsheetml/2009/9/main" objectType="Radio" firstButton="1" fmlaLink="$B$149" lockText="1"/>
</file>

<file path=xl/ctrlProps/ctrlProp285.xml><?xml version="1.0" encoding="utf-8"?>
<formControlPr xmlns="http://schemas.microsoft.com/office/spreadsheetml/2009/9/main" objectType="Radio" checked="Checked" lockText="1"/>
</file>

<file path=xl/ctrlProps/ctrlProp286.xml><?xml version="1.0" encoding="utf-8"?>
<formControlPr xmlns="http://schemas.microsoft.com/office/spreadsheetml/2009/9/main" objectType="Radio" lockText="1"/>
</file>

<file path=xl/ctrlProps/ctrlProp287.xml><?xml version="1.0" encoding="utf-8"?>
<formControlPr xmlns="http://schemas.microsoft.com/office/spreadsheetml/2009/9/main" objectType="Radio" lockText="1"/>
</file>

<file path=xl/ctrlProps/ctrlProp288.xml><?xml version="1.0" encoding="utf-8"?>
<formControlPr xmlns="http://schemas.microsoft.com/office/spreadsheetml/2009/9/main" objectType="Radio" lockText="1"/>
</file>

<file path=xl/ctrlProps/ctrlProp289.xml><?xml version="1.0" encoding="utf-8"?>
<formControlPr xmlns="http://schemas.microsoft.com/office/spreadsheetml/2009/9/main" objectType="GBox" noThreeD="1"/>
</file>

<file path=xl/ctrlProps/ctrlProp290.xml><?xml version="1.0" encoding="utf-8"?>
<formControlPr xmlns="http://schemas.microsoft.com/office/spreadsheetml/2009/9/main" objectType="Radio" firstButton="1" fmlaLink="$B$162" lockText="1"/>
</file>

<file path=xl/ctrlProps/ctrlProp291.xml><?xml version="1.0" encoding="utf-8"?>
<formControlPr xmlns="http://schemas.microsoft.com/office/spreadsheetml/2009/9/main" objectType="Radio" lockText="1"/>
</file>

<file path=xl/ctrlProps/ctrlProp292.xml><?xml version="1.0" encoding="utf-8"?>
<formControlPr xmlns="http://schemas.microsoft.com/office/spreadsheetml/2009/9/main" objectType="Radio" lockText="1"/>
</file>

<file path=xl/ctrlProps/ctrlProp293.xml><?xml version="1.0" encoding="utf-8"?>
<formControlPr xmlns="http://schemas.microsoft.com/office/spreadsheetml/2009/9/main" objectType="Radio" checked="Checked" lockText="1"/>
</file>

<file path=xl/ctrlProps/ctrlProp294.xml><?xml version="1.0" encoding="utf-8"?>
<formControlPr xmlns="http://schemas.microsoft.com/office/spreadsheetml/2009/9/main" objectType="Radio" lockText="1"/>
</file>

<file path=xl/ctrlProps/ctrlProp295.xml><?xml version="1.0" encoding="utf-8"?>
<formControlPr xmlns="http://schemas.microsoft.com/office/spreadsheetml/2009/9/main" objectType="GBox" noThreeD="1"/>
</file>

<file path=xl/ctrlProps/ctrlProp296.xml><?xml version="1.0" encoding="utf-8"?>
<formControlPr xmlns="http://schemas.microsoft.com/office/spreadsheetml/2009/9/main" objectType="Radio" firstButton="1" fmlaLink="$B$167" lockText="1"/>
</file>

<file path=xl/ctrlProps/ctrlProp297.xml><?xml version="1.0" encoding="utf-8"?>
<formControlPr xmlns="http://schemas.microsoft.com/office/spreadsheetml/2009/9/main" objectType="Radio" checked="Checked" lockText="1"/>
</file>

<file path=xl/ctrlProps/ctrlProp298.xml><?xml version="1.0" encoding="utf-8"?>
<formControlPr xmlns="http://schemas.microsoft.com/office/spreadsheetml/2009/9/main" objectType="Radio" lockText="1"/>
</file>

<file path=xl/ctrlProps/ctrlProp299.xml><?xml version="1.0" encoding="utf-8"?>
<formControlPr xmlns="http://schemas.microsoft.com/office/spreadsheetml/2009/9/main" objectType="Radio" lockText="1"/>
</file>

<file path=xl/ctrlProps/ctrlProp300.xml><?xml version="1.0" encoding="utf-8"?>
<formControlPr xmlns="http://schemas.microsoft.com/office/spreadsheetml/2009/9/main" objectType="Radio" lockText="1"/>
</file>

<file path=xl/ctrlProps/ctrlProp301.xml><?xml version="1.0" encoding="utf-8"?>
<formControlPr xmlns="http://schemas.microsoft.com/office/spreadsheetml/2009/9/main" objectType="GBox" noThreeD="1"/>
</file>

<file path=xl/ctrlProps/ctrlProp302.xml><?xml version="1.0" encoding="utf-8"?>
<formControlPr xmlns="http://schemas.microsoft.com/office/spreadsheetml/2009/9/main" objectType="Radio" firstButton="1" fmlaLink="$B$170" lockText="1"/>
</file>

<file path=xl/ctrlProps/ctrlProp303.xml><?xml version="1.0" encoding="utf-8"?>
<formControlPr xmlns="http://schemas.microsoft.com/office/spreadsheetml/2009/9/main" objectType="Radio" lockText="1"/>
</file>

<file path=xl/ctrlProps/ctrlProp304.xml><?xml version="1.0" encoding="utf-8"?>
<formControlPr xmlns="http://schemas.microsoft.com/office/spreadsheetml/2009/9/main" objectType="Radio" checked="Checked" lockText="1"/>
</file>

<file path=xl/ctrlProps/ctrlProp305.xml><?xml version="1.0" encoding="utf-8"?>
<formControlPr xmlns="http://schemas.microsoft.com/office/spreadsheetml/2009/9/main" objectType="Radio" lockText="1"/>
</file>

<file path=xl/ctrlProps/ctrlProp306.xml><?xml version="1.0" encoding="utf-8"?>
<formControlPr xmlns="http://schemas.microsoft.com/office/spreadsheetml/2009/9/main" objectType="Radio" lockText="1"/>
</file>

<file path=xl/ctrlProps/ctrlProp307.xml><?xml version="1.0" encoding="utf-8"?>
<formControlPr xmlns="http://schemas.microsoft.com/office/spreadsheetml/2009/9/main" objectType="GBox" noThreeD="1"/>
</file>

<file path=xl/ctrlProps/ctrlProp308.xml><?xml version="1.0" encoding="utf-8"?>
<formControlPr xmlns="http://schemas.microsoft.com/office/spreadsheetml/2009/9/main" objectType="Radio" firstButton="1" fmlaLink="$B$173" lockText="1"/>
</file>

<file path=xl/ctrlProps/ctrlProp309.xml><?xml version="1.0" encoding="utf-8"?>
<formControlPr xmlns="http://schemas.microsoft.com/office/spreadsheetml/2009/9/main" objectType="Radio" lockText="1"/>
</file>

<file path=xl/ctrlProps/ctrlProp310.xml><?xml version="1.0" encoding="utf-8"?>
<formControlPr xmlns="http://schemas.microsoft.com/office/spreadsheetml/2009/9/main" objectType="Radio" lockText="1"/>
</file>

<file path=xl/ctrlProps/ctrlProp311.xml><?xml version="1.0" encoding="utf-8"?>
<formControlPr xmlns="http://schemas.microsoft.com/office/spreadsheetml/2009/9/main" objectType="Radio" checked="Checked" lockText="1"/>
</file>

<file path=xl/ctrlProps/ctrlProp312.xml><?xml version="1.0" encoding="utf-8"?>
<formControlPr xmlns="http://schemas.microsoft.com/office/spreadsheetml/2009/9/main" objectType="Radio" lockText="1"/>
</file>

<file path=xl/ctrlProps/ctrlProp313.xml><?xml version="1.0" encoding="utf-8"?>
<formControlPr xmlns="http://schemas.microsoft.com/office/spreadsheetml/2009/9/main" objectType="GBox" noThreeD="1"/>
</file>

<file path=xl/ctrlProps/ctrlProp314.xml><?xml version="1.0" encoding="utf-8"?>
<formControlPr xmlns="http://schemas.microsoft.com/office/spreadsheetml/2009/9/main" objectType="Radio" firstButton="1" fmlaLink="$B$174" lockText="1"/>
</file>

<file path=xl/ctrlProps/ctrlProp315.xml><?xml version="1.0" encoding="utf-8"?>
<formControlPr xmlns="http://schemas.microsoft.com/office/spreadsheetml/2009/9/main" objectType="Radio" lockText="1"/>
</file>

<file path=xl/ctrlProps/ctrlProp316.xml><?xml version="1.0" encoding="utf-8"?>
<formControlPr xmlns="http://schemas.microsoft.com/office/spreadsheetml/2009/9/main" objectType="Radio" checked="Checked" lockText="1"/>
</file>

<file path=xl/ctrlProps/ctrlProp317.xml><?xml version="1.0" encoding="utf-8"?>
<formControlPr xmlns="http://schemas.microsoft.com/office/spreadsheetml/2009/9/main" objectType="Radio" lockText="1"/>
</file>

<file path=xl/ctrlProps/ctrlProp318.xml><?xml version="1.0" encoding="utf-8"?>
<formControlPr xmlns="http://schemas.microsoft.com/office/spreadsheetml/2009/9/main" objectType="Radio" lockText="1"/>
</file>

<file path=xl/ctrlProps/ctrlProp319.xml><?xml version="1.0" encoding="utf-8"?>
<formControlPr xmlns="http://schemas.microsoft.com/office/spreadsheetml/2009/9/main" objectType="GBox" noThreeD="1"/>
</file>

<file path=xl/ctrlProps/ctrlProp320.xml><?xml version="1.0" encoding="utf-8"?>
<formControlPr xmlns="http://schemas.microsoft.com/office/spreadsheetml/2009/9/main" objectType="Radio" firstButton="1" fmlaLink="$B$178" lockText="1"/>
</file>

<file path=xl/ctrlProps/ctrlProp321.xml><?xml version="1.0" encoding="utf-8"?>
<formControlPr xmlns="http://schemas.microsoft.com/office/spreadsheetml/2009/9/main" objectType="Radio" lockText="1"/>
</file>

<file path=xl/ctrlProps/ctrlProp322.xml><?xml version="1.0" encoding="utf-8"?>
<formControlPr xmlns="http://schemas.microsoft.com/office/spreadsheetml/2009/9/main" objectType="Radio" checked="Checked" lockText="1"/>
</file>

<file path=xl/ctrlProps/ctrlProp323.xml><?xml version="1.0" encoding="utf-8"?>
<formControlPr xmlns="http://schemas.microsoft.com/office/spreadsheetml/2009/9/main" objectType="Radio" lockText="1"/>
</file>

<file path=xl/ctrlProps/ctrlProp324.xml><?xml version="1.0" encoding="utf-8"?>
<formControlPr xmlns="http://schemas.microsoft.com/office/spreadsheetml/2009/9/main" objectType="Radio" lockText="1"/>
</file>

<file path=xl/ctrlProps/ctrlProp325.xml><?xml version="1.0" encoding="utf-8"?>
<formControlPr xmlns="http://schemas.microsoft.com/office/spreadsheetml/2009/9/main" objectType="GBox" noThreeD="1"/>
</file>

<file path=xl/ctrlProps/ctrlProp326.xml><?xml version="1.0" encoding="utf-8"?>
<formControlPr xmlns="http://schemas.microsoft.com/office/spreadsheetml/2009/9/main" objectType="Radio" firstButton="1" fmlaLink="$B$180" lockText="1"/>
</file>

<file path=xl/ctrlProps/ctrlProp327.xml><?xml version="1.0" encoding="utf-8"?>
<formControlPr xmlns="http://schemas.microsoft.com/office/spreadsheetml/2009/9/main" objectType="Radio" lockText="1"/>
</file>

<file path=xl/ctrlProps/ctrlProp328.xml><?xml version="1.0" encoding="utf-8"?>
<formControlPr xmlns="http://schemas.microsoft.com/office/spreadsheetml/2009/9/main" objectType="Radio" lockText="1"/>
</file>

<file path=xl/ctrlProps/ctrlProp329.xml><?xml version="1.0" encoding="utf-8"?>
<formControlPr xmlns="http://schemas.microsoft.com/office/spreadsheetml/2009/9/main" objectType="Radio" lockText="1"/>
</file>

<file path=xl/ctrlProps/ctrlProp330.xml><?xml version="1.0" encoding="utf-8"?>
<formControlPr xmlns="http://schemas.microsoft.com/office/spreadsheetml/2009/9/main" objectType="Radio" checked="Checked" lockText="1"/>
</file>

<file path=xl/ctrlProps/ctrlProp331.xml><?xml version="1.0" encoding="utf-8"?>
<formControlPr xmlns="http://schemas.microsoft.com/office/spreadsheetml/2009/9/main" objectType="GBox" noThreeD="1"/>
</file>

<file path=xl/ctrlProps/ctrlProp332.xml><?xml version="1.0" encoding="utf-8"?>
<formControlPr xmlns="http://schemas.microsoft.com/office/spreadsheetml/2009/9/main" objectType="Radio" firstButton="1" fmlaLink="$B$185" lockText="1"/>
</file>

<file path=xl/ctrlProps/ctrlProp333.xml><?xml version="1.0" encoding="utf-8"?>
<formControlPr xmlns="http://schemas.microsoft.com/office/spreadsheetml/2009/9/main" objectType="Radio" checked="Checked" lockText="1"/>
</file>

<file path=xl/ctrlProps/ctrlProp334.xml><?xml version="1.0" encoding="utf-8"?>
<formControlPr xmlns="http://schemas.microsoft.com/office/spreadsheetml/2009/9/main" objectType="Radio" lockText="1"/>
</file>

<file path=xl/ctrlProps/ctrlProp335.xml><?xml version="1.0" encoding="utf-8"?>
<formControlPr xmlns="http://schemas.microsoft.com/office/spreadsheetml/2009/9/main" objectType="Radio" lockText="1"/>
</file>

<file path=xl/ctrlProps/ctrlProp336.xml><?xml version="1.0" encoding="utf-8"?>
<formControlPr xmlns="http://schemas.microsoft.com/office/spreadsheetml/2009/9/main" objectType="Radio" lockText="1"/>
</file>

<file path=xl/ctrlProps/ctrlProp337.xml><?xml version="1.0" encoding="utf-8"?>
<formControlPr xmlns="http://schemas.microsoft.com/office/spreadsheetml/2009/9/main" objectType="GBox" noThreeD="1"/>
</file>

<file path=xl/ctrlProps/ctrlProp338.xml><?xml version="1.0" encoding="utf-8"?>
<formControlPr xmlns="http://schemas.microsoft.com/office/spreadsheetml/2009/9/main" objectType="Radio" firstButton="1" fmlaLink="$B$193" lockText="1"/>
</file>

<file path=xl/ctrlProps/ctrlProp339.xml><?xml version="1.0" encoding="utf-8"?>
<formControlPr xmlns="http://schemas.microsoft.com/office/spreadsheetml/2009/9/main" objectType="Radio" lockText="1"/>
</file>

<file path=xl/ctrlProps/ctrlProp340.xml><?xml version="1.0" encoding="utf-8"?>
<formControlPr xmlns="http://schemas.microsoft.com/office/spreadsheetml/2009/9/main" objectType="Radio" lockText="1"/>
</file>

<file path=xl/ctrlProps/ctrlProp341.xml><?xml version="1.0" encoding="utf-8"?>
<formControlPr xmlns="http://schemas.microsoft.com/office/spreadsheetml/2009/9/main" objectType="Radio" lockText="1"/>
</file>

<file path=xl/ctrlProps/ctrlProp342.xml><?xml version="1.0" encoding="utf-8"?>
<formControlPr xmlns="http://schemas.microsoft.com/office/spreadsheetml/2009/9/main" objectType="Radio" checked="Checked" lockText="1"/>
</file>

<file path=xl/ctrlProps/ctrlProp343.xml><?xml version="1.0" encoding="utf-8"?>
<formControlPr xmlns="http://schemas.microsoft.com/office/spreadsheetml/2009/9/main" objectType="GBox" noThreeD="1"/>
</file>

<file path=xl/ctrlProps/ctrlProp344.xml><?xml version="1.0" encoding="utf-8"?>
<formControlPr xmlns="http://schemas.microsoft.com/office/spreadsheetml/2009/9/main" objectType="Radio" firstButton="1" fmlaLink="$B$200" lockText="1"/>
</file>

<file path=xl/ctrlProps/ctrlProp345.xml><?xml version="1.0" encoding="utf-8"?>
<formControlPr xmlns="http://schemas.microsoft.com/office/spreadsheetml/2009/9/main" objectType="Radio" checked="Checked" lockText="1"/>
</file>

<file path=xl/ctrlProps/ctrlProp346.xml><?xml version="1.0" encoding="utf-8"?>
<formControlPr xmlns="http://schemas.microsoft.com/office/spreadsheetml/2009/9/main" objectType="Radio" lockText="1"/>
</file>

<file path=xl/ctrlProps/ctrlProp347.xml><?xml version="1.0" encoding="utf-8"?>
<formControlPr xmlns="http://schemas.microsoft.com/office/spreadsheetml/2009/9/main" objectType="Radio" lockText="1"/>
</file>

<file path=xl/ctrlProps/ctrlProp348.xml><?xml version="1.0" encoding="utf-8"?>
<formControlPr xmlns="http://schemas.microsoft.com/office/spreadsheetml/2009/9/main" objectType="Radio" lockText="1"/>
</file>

<file path=xl/ctrlProps/ctrlProp349.xml><?xml version="1.0" encoding="utf-8"?>
<formControlPr xmlns="http://schemas.microsoft.com/office/spreadsheetml/2009/9/main" objectType="GBox" noThreeD="1"/>
</file>

<file path=xl/ctrlProps/ctrlProp350.xml><?xml version="1.0" encoding="utf-8"?>
<formControlPr xmlns="http://schemas.microsoft.com/office/spreadsheetml/2009/9/main" objectType="Radio" firstButton="1" fmlaLink="$B$138" lockText="1"/>
</file>

<file path=xl/ctrlProps/ctrlProp351.xml><?xml version="1.0" encoding="utf-8"?>
<formControlPr xmlns="http://schemas.microsoft.com/office/spreadsheetml/2009/9/main" objectType="Radio" lockText="1"/>
</file>

<file path=xl/ctrlProps/ctrlProp352.xml><?xml version="1.0" encoding="utf-8"?>
<formControlPr xmlns="http://schemas.microsoft.com/office/spreadsheetml/2009/9/main" objectType="Radio" checked="Checked" lockText="1"/>
</file>

<file path=xl/ctrlProps/ctrlProp353.xml><?xml version="1.0" encoding="utf-8"?>
<formControlPr xmlns="http://schemas.microsoft.com/office/spreadsheetml/2009/9/main" objectType="Radio" lockText="1"/>
</file>

<file path=xl/ctrlProps/ctrlProp354.xml><?xml version="1.0" encoding="utf-8"?>
<formControlPr xmlns="http://schemas.microsoft.com/office/spreadsheetml/2009/9/main" objectType="Radio" lockText="1"/>
</file>

<file path=xl/ctrlProps/ctrlProp355.xml><?xml version="1.0" encoding="utf-8"?>
<formControlPr xmlns="http://schemas.microsoft.com/office/spreadsheetml/2009/9/main" objectType="GBox" noThreeD="1"/>
</file>

<file path=xl/ctrlProps/ctrlProp356.xml><?xml version="1.0" encoding="utf-8"?>
<formControlPr xmlns="http://schemas.microsoft.com/office/spreadsheetml/2009/9/main" objectType="Radio" firstButton="1" fmlaLink="$B$139" lockText="1"/>
</file>

<file path=xl/ctrlProps/ctrlProp357.xml><?xml version="1.0" encoding="utf-8"?>
<formControlPr xmlns="http://schemas.microsoft.com/office/spreadsheetml/2009/9/main" objectType="Radio" checked="Checked" lockText="1"/>
</file>

<file path=xl/ctrlProps/ctrlProp358.xml><?xml version="1.0" encoding="utf-8"?>
<formControlPr xmlns="http://schemas.microsoft.com/office/spreadsheetml/2009/9/main" objectType="Radio" lockText="1"/>
</file>

<file path=xl/ctrlProps/ctrlProp359.xml><?xml version="1.0" encoding="utf-8"?>
<formControlPr xmlns="http://schemas.microsoft.com/office/spreadsheetml/2009/9/main" objectType="Radio" lockText="1"/>
</file>

<file path=xl/ctrlProps/ctrlProp360.xml><?xml version="1.0" encoding="utf-8"?>
<formControlPr xmlns="http://schemas.microsoft.com/office/spreadsheetml/2009/9/main" objectType="Radio" lockText="1"/>
</file>

<file path=xl/ctrlProps/ctrlProp361.xml><?xml version="1.0" encoding="utf-8"?>
<formControlPr xmlns="http://schemas.microsoft.com/office/spreadsheetml/2009/9/main" objectType="GBox" noThreeD="1"/>
</file>

<file path=xl/ctrlProps/ctrlProp362.xml><?xml version="1.0" encoding="utf-8"?>
<formControlPr xmlns="http://schemas.microsoft.com/office/spreadsheetml/2009/9/main" objectType="Radio" firstButton="1" fmlaLink="$B$140" lockText="1"/>
</file>

<file path=xl/ctrlProps/ctrlProp363.xml><?xml version="1.0" encoding="utf-8"?>
<formControlPr xmlns="http://schemas.microsoft.com/office/spreadsheetml/2009/9/main" objectType="Radio" lockText="1"/>
</file>

<file path=xl/ctrlProps/ctrlProp364.xml><?xml version="1.0" encoding="utf-8"?>
<formControlPr xmlns="http://schemas.microsoft.com/office/spreadsheetml/2009/9/main" objectType="Radio" lockText="1"/>
</file>

<file path=xl/ctrlProps/ctrlProp365.xml><?xml version="1.0" encoding="utf-8"?>
<formControlPr xmlns="http://schemas.microsoft.com/office/spreadsheetml/2009/9/main" objectType="Radio" lockText="1"/>
</file>

<file path=xl/ctrlProps/ctrlProp366.xml><?xml version="1.0" encoding="utf-8"?>
<formControlPr xmlns="http://schemas.microsoft.com/office/spreadsheetml/2009/9/main" objectType="Radio" checked="Checked" lockText="1"/>
</file>

<file path=xl/ctrlProps/ctrlProp367.xml><?xml version="1.0" encoding="utf-8"?>
<formControlPr xmlns="http://schemas.microsoft.com/office/spreadsheetml/2009/9/main" objectType="GBox" noThreeD="1"/>
</file>

<file path=xl/ctrlProps/ctrlProp368.xml><?xml version="1.0" encoding="utf-8"?>
<formControlPr xmlns="http://schemas.microsoft.com/office/spreadsheetml/2009/9/main" objectType="Radio" checked="Checked" firstButton="1" fmlaLink="$B$142" lockText="1"/>
</file>

<file path=xl/ctrlProps/ctrlProp369.xml><?xml version="1.0" encoding="utf-8"?>
<formControlPr xmlns="http://schemas.microsoft.com/office/spreadsheetml/2009/9/main" objectType="Radio" lockText="1"/>
</file>

<file path=xl/ctrlProps/ctrlProp370.xml><?xml version="1.0" encoding="utf-8"?>
<formControlPr xmlns="http://schemas.microsoft.com/office/spreadsheetml/2009/9/main" objectType="Radio" lockText="1"/>
</file>

<file path=xl/ctrlProps/ctrlProp371.xml><?xml version="1.0" encoding="utf-8"?>
<formControlPr xmlns="http://schemas.microsoft.com/office/spreadsheetml/2009/9/main" objectType="Radio" lockText="1"/>
</file>

<file path=xl/ctrlProps/ctrlProp372.xml><?xml version="1.0" encoding="utf-8"?>
<formControlPr xmlns="http://schemas.microsoft.com/office/spreadsheetml/2009/9/main" objectType="Radio" lockText="1"/>
</file>

<file path=xl/ctrlProps/ctrlProp373.xml><?xml version="1.0" encoding="utf-8"?>
<formControlPr xmlns="http://schemas.microsoft.com/office/spreadsheetml/2009/9/main" objectType="GBox" noThreeD="1"/>
</file>

<file path=xl/ctrlProps/ctrlProp374.xml><?xml version="1.0" encoding="utf-8"?>
<formControlPr xmlns="http://schemas.microsoft.com/office/spreadsheetml/2009/9/main" objectType="Radio" firstButton="1" fmlaLink="$B$143" lockText="1"/>
</file>

<file path=xl/ctrlProps/ctrlProp375.xml><?xml version="1.0" encoding="utf-8"?>
<formControlPr xmlns="http://schemas.microsoft.com/office/spreadsheetml/2009/9/main" objectType="Radio" checked="Checked" lockText="1"/>
</file>

<file path=xl/ctrlProps/ctrlProp376.xml><?xml version="1.0" encoding="utf-8"?>
<formControlPr xmlns="http://schemas.microsoft.com/office/spreadsheetml/2009/9/main" objectType="Radio" lockText="1"/>
</file>

<file path=xl/ctrlProps/ctrlProp377.xml><?xml version="1.0" encoding="utf-8"?>
<formControlPr xmlns="http://schemas.microsoft.com/office/spreadsheetml/2009/9/main" objectType="Radio" lockText="1"/>
</file>

<file path=xl/ctrlProps/ctrlProp378.xml><?xml version="1.0" encoding="utf-8"?>
<formControlPr xmlns="http://schemas.microsoft.com/office/spreadsheetml/2009/9/main" objectType="Radio" lockText="1"/>
</file>

<file path=xl/ctrlProps/ctrlProp379.xml><?xml version="1.0" encoding="utf-8"?>
<formControlPr xmlns="http://schemas.microsoft.com/office/spreadsheetml/2009/9/main" objectType="GBox" noThreeD="1"/>
</file>

<file path=xl/ctrlProps/ctrlProp380.xml><?xml version="1.0" encoding="utf-8"?>
<formControlPr xmlns="http://schemas.microsoft.com/office/spreadsheetml/2009/9/main" objectType="Radio" firstButton="1" fmlaLink="$B$144" lockText="1"/>
</file>

<file path=xl/ctrlProps/ctrlProp381.xml><?xml version="1.0" encoding="utf-8"?>
<formControlPr xmlns="http://schemas.microsoft.com/office/spreadsheetml/2009/9/main" objectType="Radio" lockText="1"/>
</file>

<file path=xl/ctrlProps/ctrlProp382.xml><?xml version="1.0" encoding="utf-8"?>
<formControlPr xmlns="http://schemas.microsoft.com/office/spreadsheetml/2009/9/main" objectType="Radio" checked="Checked" lockText="1"/>
</file>

<file path=xl/ctrlProps/ctrlProp383.xml><?xml version="1.0" encoding="utf-8"?>
<formControlPr xmlns="http://schemas.microsoft.com/office/spreadsheetml/2009/9/main" objectType="Radio" lockText="1"/>
</file>

<file path=xl/ctrlProps/ctrlProp384.xml><?xml version="1.0" encoding="utf-8"?>
<formControlPr xmlns="http://schemas.microsoft.com/office/spreadsheetml/2009/9/main" objectType="Radio" lockText="1"/>
</file>

<file path=xl/ctrlProps/ctrlProp385.xml><?xml version="1.0" encoding="utf-8"?>
<formControlPr xmlns="http://schemas.microsoft.com/office/spreadsheetml/2009/9/main" objectType="GBox" noThreeD="1"/>
</file>

<file path=xl/ctrlProps/ctrlProp386.xml><?xml version="1.0" encoding="utf-8"?>
<formControlPr xmlns="http://schemas.microsoft.com/office/spreadsheetml/2009/9/main" objectType="Radio" firstButton="1" fmlaLink="$B$145" lockText="1"/>
</file>

<file path=xl/ctrlProps/ctrlProp387.xml><?xml version="1.0" encoding="utf-8"?>
<formControlPr xmlns="http://schemas.microsoft.com/office/spreadsheetml/2009/9/main" objectType="Radio" checked="Checked" lockText="1"/>
</file>

<file path=xl/ctrlProps/ctrlProp388.xml><?xml version="1.0" encoding="utf-8"?>
<formControlPr xmlns="http://schemas.microsoft.com/office/spreadsheetml/2009/9/main" objectType="Radio" lockText="1"/>
</file>

<file path=xl/ctrlProps/ctrlProp389.xml><?xml version="1.0" encoding="utf-8"?>
<formControlPr xmlns="http://schemas.microsoft.com/office/spreadsheetml/2009/9/main" objectType="Radio" lockText="1"/>
</file>

<file path=xl/ctrlProps/ctrlProp390.xml><?xml version="1.0" encoding="utf-8"?>
<formControlPr xmlns="http://schemas.microsoft.com/office/spreadsheetml/2009/9/main" objectType="Radio" lockText="1"/>
</file>

<file path=xl/ctrlProps/ctrlProp391.xml><?xml version="1.0" encoding="utf-8"?>
<formControlPr xmlns="http://schemas.microsoft.com/office/spreadsheetml/2009/9/main" objectType="GBox" noThreeD="1"/>
</file>

<file path=xl/ctrlProps/ctrlProp392.xml><?xml version="1.0" encoding="utf-8"?>
<formControlPr xmlns="http://schemas.microsoft.com/office/spreadsheetml/2009/9/main" objectType="Radio" firstButton="1" fmlaLink="$B$146" lockText="1"/>
</file>

<file path=xl/ctrlProps/ctrlProp393.xml><?xml version="1.0" encoding="utf-8"?>
<formControlPr xmlns="http://schemas.microsoft.com/office/spreadsheetml/2009/9/main" objectType="Radio" lockText="1"/>
</file>

<file path=xl/ctrlProps/ctrlProp394.xml><?xml version="1.0" encoding="utf-8"?>
<formControlPr xmlns="http://schemas.microsoft.com/office/spreadsheetml/2009/9/main" objectType="Radio" lockText="1"/>
</file>

<file path=xl/ctrlProps/ctrlProp395.xml><?xml version="1.0" encoding="utf-8"?>
<formControlPr xmlns="http://schemas.microsoft.com/office/spreadsheetml/2009/9/main" objectType="Radio" lockText="1"/>
</file>

<file path=xl/ctrlProps/ctrlProp396.xml><?xml version="1.0" encoding="utf-8"?>
<formControlPr xmlns="http://schemas.microsoft.com/office/spreadsheetml/2009/9/main" objectType="Radio" checked="Checked" lockText="1"/>
</file>

<file path=xl/ctrlProps/ctrlProp397.xml><?xml version="1.0" encoding="utf-8"?>
<formControlPr xmlns="http://schemas.microsoft.com/office/spreadsheetml/2009/9/main" objectType="GBox" noThreeD="1"/>
</file>

<file path=xl/ctrlProps/ctrlProp398.xml><?xml version="1.0" encoding="utf-8"?>
<formControlPr xmlns="http://schemas.microsoft.com/office/spreadsheetml/2009/9/main" objectType="Radio" firstButton="1" fmlaLink="$B$151" lockText="1"/>
</file>

<file path=xl/ctrlProps/ctrlProp399.xml><?xml version="1.0" encoding="utf-8"?>
<formControlPr xmlns="http://schemas.microsoft.com/office/spreadsheetml/2009/9/main" objectType="Radio" lockText="1"/>
</file>

<file path=xl/ctrlProps/ctrlProp400.xml><?xml version="1.0" encoding="utf-8"?>
<formControlPr xmlns="http://schemas.microsoft.com/office/spreadsheetml/2009/9/main" objectType="Radio" checked="Checked" lockText="1"/>
</file>

<file path=xl/ctrlProps/ctrlProp401.xml><?xml version="1.0" encoding="utf-8"?>
<formControlPr xmlns="http://schemas.microsoft.com/office/spreadsheetml/2009/9/main" objectType="Radio" lockText="1"/>
</file>

<file path=xl/ctrlProps/ctrlProp402.xml><?xml version="1.0" encoding="utf-8"?>
<formControlPr xmlns="http://schemas.microsoft.com/office/spreadsheetml/2009/9/main" objectType="Radio" lockText="1"/>
</file>

<file path=xl/ctrlProps/ctrlProp403.xml><?xml version="1.0" encoding="utf-8"?>
<formControlPr xmlns="http://schemas.microsoft.com/office/spreadsheetml/2009/9/main" objectType="GBox" noThreeD="1"/>
</file>

<file path=xl/ctrlProps/ctrlProp404.xml><?xml version="1.0" encoding="utf-8"?>
<formControlPr xmlns="http://schemas.microsoft.com/office/spreadsheetml/2009/9/main" objectType="Radio" firstButton="1" fmlaLink="$B$152" lockText="1"/>
</file>

<file path=xl/ctrlProps/ctrlProp405.xml><?xml version="1.0" encoding="utf-8"?>
<formControlPr xmlns="http://schemas.microsoft.com/office/spreadsheetml/2009/9/main" objectType="Radio" lockText="1"/>
</file>

<file path=xl/ctrlProps/ctrlProp406.xml><?xml version="1.0" encoding="utf-8"?>
<formControlPr xmlns="http://schemas.microsoft.com/office/spreadsheetml/2009/9/main" objectType="Radio" lockText="1"/>
</file>

<file path=xl/ctrlProps/ctrlProp407.xml><?xml version="1.0" encoding="utf-8"?>
<formControlPr xmlns="http://schemas.microsoft.com/office/spreadsheetml/2009/9/main" objectType="Radio" checked="Checked" lockText="1"/>
</file>

<file path=xl/ctrlProps/ctrlProp408.xml><?xml version="1.0" encoding="utf-8"?>
<formControlPr xmlns="http://schemas.microsoft.com/office/spreadsheetml/2009/9/main" objectType="Radio" lockText="1"/>
</file>

<file path=xl/ctrlProps/ctrlProp409.xml><?xml version="1.0" encoding="utf-8"?>
<formControlPr xmlns="http://schemas.microsoft.com/office/spreadsheetml/2009/9/main" objectType="GBox" noThreeD="1"/>
</file>

<file path=xl/ctrlProps/ctrlProp410.xml><?xml version="1.0" encoding="utf-8"?>
<formControlPr xmlns="http://schemas.microsoft.com/office/spreadsheetml/2009/9/main" objectType="Radio" firstButton="1" fmlaLink="$B$155" lockText="1"/>
</file>

<file path=xl/ctrlProps/ctrlProp411.xml><?xml version="1.0" encoding="utf-8"?>
<formControlPr xmlns="http://schemas.microsoft.com/office/spreadsheetml/2009/9/main" objectType="Radio" lockText="1"/>
</file>

<file path=xl/ctrlProps/ctrlProp412.xml><?xml version="1.0" encoding="utf-8"?>
<formControlPr xmlns="http://schemas.microsoft.com/office/spreadsheetml/2009/9/main" objectType="Radio" lockText="1"/>
</file>

<file path=xl/ctrlProps/ctrlProp413.xml><?xml version="1.0" encoding="utf-8"?>
<formControlPr xmlns="http://schemas.microsoft.com/office/spreadsheetml/2009/9/main" objectType="Radio" lockText="1"/>
</file>

<file path=xl/ctrlProps/ctrlProp414.xml><?xml version="1.0" encoding="utf-8"?>
<formControlPr xmlns="http://schemas.microsoft.com/office/spreadsheetml/2009/9/main" objectType="Radio" checked="Checked" lockText="1"/>
</file>

<file path=xl/ctrlProps/ctrlProp415.xml><?xml version="1.0" encoding="utf-8"?>
<formControlPr xmlns="http://schemas.microsoft.com/office/spreadsheetml/2009/9/main" objectType="GBox" noThreeD="1"/>
</file>

<file path=xl/ctrlProps/ctrlProp416.xml><?xml version="1.0" encoding="utf-8"?>
<formControlPr xmlns="http://schemas.microsoft.com/office/spreadsheetml/2009/9/main" objectType="Radio" firstButton="1" fmlaLink="$B$156" lockText="1"/>
</file>

<file path=xl/ctrlProps/ctrlProp417.xml><?xml version="1.0" encoding="utf-8"?>
<formControlPr xmlns="http://schemas.microsoft.com/office/spreadsheetml/2009/9/main" objectType="Radio" lockText="1"/>
</file>

<file path=xl/ctrlProps/ctrlProp418.xml><?xml version="1.0" encoding="utf-8"?>
<formControlPr xmlns="http://schemas.microsoft.com/office/spreadsheetml/2009/9/main" objectType="Radio" lockText="1"/>
</file>

<file path=xl/ctrlProps/ctrlProp419.xml><?xml version="1.0" encoding="utf-8"?>
<formControlPr xmlns="http://schemas.microsoft.com/office/spreadsheetml/2009/9/main" objectType="Radio" checked="Checked" lockText="1"/>
</file>

<file path=xl/ctrlProps/ctrlProp420.xml><?xml version="1.0" encoding="utf-8"?>
<formControlPr xmlns="http://schemas.microsoft.com/office/spreadsheetml/2009/9/main" objectType="Radio" lockText="1"/>
</file>

<file path=xl/ctrlProps/ctrlProp421.xml><?xml version="1.0" encoding="utf-8"?>
<formControlPr xmlns="http://schemas.microsoft.com/office/spreadsheetml/2009/9/main" objectType="GBox" noThreeD="1"/>
</file>

<file path=xl/ctrlProps/ctrlProp422.xml><?xml version="1.0" encoding="utf-8"?>
<formControlPr xmlns="http://schemas.microsoft.com/office/spreadsheetml/2009/9/main" objectType="Radio" firstButton="1" fmlaLink="$B$157" lockText="1"/>
</file>

<file path=xl/ctrlProps/ctrlProp423.xml><?xml version="1.0" encoding="utf-8"?>
<formControlPr xmlns="http://schemas.microsoft.com/office/spreadsheetml/2009/9/main" objectType="Radio" lockText="1"/>
</file>

<file path=xl/ctrlProps/ctrlProp424.xml><?xml version="1.0" encoding="utf-8"?>
<formControlPr xmlns="http://schemas.microsoft.com/office/spreadsheetml/2009/9/main" objectType="Radio" checked="Checked" lockText="1"/>
</file>

<file path=xl/ctrlProps/ctrlProp425.xml><?xml version="1.0" encoding="utf-8"?>
<formControlPr xmlns="http://schemas.microsoft.com/office/spreadsheetml/2009/9/main" objectType="Radio" lockText="1"/>
</file>

<file path=xl/ctrlProps/ctrlProp426.xml><?xml version="1.0" encoding="utf-8"?>
<formControlPr xmlns="http://schemas.microsoft.com/office/spreadsheetml/2009/9/main" objectType="Radio" lockText="1"/>
</file>

<file path=xl/ctrlProps/ctrlProp427.xml><?xml version="1.0" encoding="utf-8"?>
<formControlPr xmlns="http://schemas.microsoft.com/office/spreadsheetml/2009/9/main" objectType="GBox" noThreeD="1"/>
</file>

<file path=xl/ctrlProps/ctrlProp428.xml><?xml version="1.0" encoding="utf-8"?>
<formControlPr xmlns="http://schemas.microsoft.com/office/spreadsheetml/2009/9/main" objectType="Radio" firstButton="1" fmlaLink="$B$158" lockText="1"/>
</file>

<file path=xl/ctrlProps/ctrlProp429.xml><?xml version="1.0" encoding="utf-8"?>
<formControlPr xmlns="http://schemas.microsoft.com/office/spreadsheetml/2009/9/main" objectType="Radio" checked="Checked" lockText="1"/>
</file>

<file path=xl/ctrlProps/ctrlProp430.xml><?xml version="1.0" encoding="utf-8"?>
<formControlPr xmlns="http://schemas.microsoft.com/office/spreadsheetml/2009/9/main" objectType="Radio" lockText="1"/>
</file>

<file path=xl/ctrlProps/ctrlProp431.xml><?xml version="1.0" encoding="utf-8"?>
<formControlPr xmlns="http://schemas.microsoft.com/office/spreadsheetml/2009/9/main" objectType="Radio" lockText="1"/>
</file>

<file path=xl/ctrlProps/ctrlProp432.xml><?xml version="1.0" encoding="utf-8"?>
<formControlPr xmlns="http://schemas.microsoft.com/office/spreadsheetml/2009/9/main" objectType="Radio" lockText="1"/>
</file>

<file path=xl/ctrlProps/ctrlProp433.xml><?xml version="1.0" encoding="utf-8"?>
<formControlPr xmlns="http://schemas.microsoft.com/office/spreadsheetml/2009/9/main" objectType="GBox" noThreeD="1"/>
</file>

<file path=xl/ctrlProps/ctrlProp434.xml><?xml version="1.0" encoding="utf-8"?>
<formControlPr xmlns="http://schemas.microsoft.com/office/spreadsheetml/2009/9/main" objectType="Radio" checked="Checked" firstButton="1" fmlaLink="$B$159" lockText="1"/>
</file>

<file path=xl/ctrlProps/ctrlProp435.xml><?xml version="1.0" encoding="utf-8"?>
<formControlPr xmlns="http://schemas.microsoft.com/office/spreadsheetml/2009/9/main" objectType="Radio" lockText="1"/>
</file>

<file path=xl/ctrlProps/ctrlProp436.xml><?xml version="1.0" encoding="utf-8"?>
<formControlPr xmlns="http://schemas.microsoft.com/office/spreadsheetml/2009/9/main" objectType="Radio" lockText="1"/>
</file>

<file path=xl/ctrlProps/ctrlProp437.xml><?xml version="1.0" encoding="utf-8"?>
<formControlPr xmlns="http://schemas.microsoft.com/office/spreadsheetml/2009/9/main" objectType="Radio" lockText="1"/>
</file>

<file path=xl/ctrlProps/ctrlProp438.xml><?xml version="1.0" encoding="utf-8"?>
<formControlPr xmlns="http://schemas.microsoft.com/office/spreadsheetml/2009/9/main" objectType="Radio" lockText="1"/>
</file>

<file path=xl/ctrlProps/ctrlProp439.xml><?xml version="1.0" encoding="utf-8"?>
<formControlPr xmlns="http://schemas.microsoft.com/office/spreadsheetml/2009/9/main" objectType="GBox" noThreeD="1"/>
</file>

<file path=xl/ctrlProps/ctrlProp440.xml><?xml version="1.0" encoding="utf-8"?>
<formControlPr xmlns="http://schemas.microsoft.com/office/spreadsheetml/2009/9/main" objectType="Radio" firstButton="1" fmlaLink="$B$160" lockText="1"/>
</file>

<file path=xl/ctrlProps/ctrlProp441.xml><?xml version="1.0" encoding="utf-8"?>
<formControlPr xmlns="http://schemas.microsoft.com/office/spreadsheetml/2009/9/main" objectType="Radio" checked="Checked" lockText="1"/>
</file>

<file path=xl/ctrlProps/ctrlProp442.xml><?xml version="1.0" encoding="utf-8"?>
<formControlPr xmlns="http://schemas.microsoft.com/office/spreadsheetml/2009/9/main" objectType="Radio" lockText="1"/>
</file>

<file path=xl/ctrlProps/ctrlProp443.xml><?xml version="1.0" encoding="utf-8"?>
<formControlPr xmlns="http://schemas.microsoft.com/office/spreadsheetml/2009/9/main" objectType="Radio" lockText="1"/>
</file>

<file path=xl/ctrlProps/ctrlProp444.xml><?xml version="1.0" encoding="utf-8"?>
<formControlPr xmlns="http://schemas.microsoft.com/office/spreadsheetml/2009/9/main" objectType="Radio" lockText="1"/>
</file>

<file path=xl/ctrlProps/ctrlProp445.xml><?xml version="1.0" encoding="utf-8"?>
<formControlPr xmlns="http://schemas.microsoft.com/office/spreadsheetml/2009/9/main" objectType="GBox" noThreeD="1"/>
</file>

<file path=xl/ctrlProps/ctrlProp446.xml><?xml version="1.0" encoding="utf-8"?>
<formControlPr xmlns="http://schemas.microsoft.com/office/spreadsheetml/2009/9/main" objectType="Radio" firstButton="1" fmlaLink="$B$161" lockText="1"/>
</file>

<file path=xl/ctrlProps/ctrlProp447.xml><?xml version="1.0" encoding="utf-8"?>
<formControlPr xmlns="http://schemas.microsoft.com/office/spreadsheetml/2009/9/main" objectType="Radio" lockText="1"/>
</file>

<file path=xl/ctrlProps/ctrlProp448.xml><?xml version="1.0" encoding="utf-8"?>
<formControlPr xmlns="http://schemas.microsoft.com/office/spreadsheetml/2009/9/main" objectType="Radio" checked="Checked" lockText="1"/>
</file>

<file path=xl/ctrlProps/ctrlProp449.xml><?xml version="1.0" encoding="utf-8"?>
<formControlPr xmlns="http://schemas.microsoft.com/office/spreadsheetml/2009/9/main" objectType="Radio" lockText="1"/>
</file>

<file path=xl/ctrlProps/ctrlProp450.xml><?xml version="1.0" encoding="utf-8"?>
<formControlPr xmlns="http://schemas.microsoft.com/office/spreadsheetml/2009/9/main" objectType="Radio" lockText="1"/>
</file>

<file path=xl/ctrlProps/ctrlProp451.xml><?xml version="1.0" encoding="utf-8"?>
<formControlPr xmlns="http://schemas.microsoft.com/office/spreadsheetml/2009/9/main" objectType="GBox" noThreeD="1"/>
</file>

<file path=xl/ctrlProps/ctrlProp452.xml><?xml version="1.0" encoding="utf-8"?>
<formControlPr xmlns="http://schemas.microsoft.com/office/spreadsheetml/2009/9/main" objectType="Radio" firstButton="1" fmlaLink="$B$164" lockText="1"/>
</file>

<file path=xl/ctrlProps/ctrlProp453.xml><?xml version="1.0" encoding="utf-8"?>
<formControlPr xmlns="http://schemas.microsoft.com/office/spreadsheetml/2009/9/main" objectType="Radio" lockText="1"/>
</file>

<file path=xl/ctrlProps/ctrlProp454.xml><?xml version="1.0" encoding="utf-8"?>
<formControlPr xmlns="http://schemas.microsoft.com/office/spreadsheetml/2009/9/main" objectType="Radio" lockText="1"/>
</file>

<file path=xl/ctrlProps/ctrlProp455.xml><?xml version="1.0" encoding="utf-8"?>
<formControlPr xmlns="http://schemas.microsoft.com/office/spreadsheetml/2009/9/main" objectType="Radio" lockText="1"/>
</file>

<file path=xl/ctrlProps/ctrlProp456.xml><?xml version="1.0" encoding="utf-8"?>
<formControlPr xmlns="http://schemas.microsoft.com/office/spreadsheetml/2009/9/main" objectType="Radio" checked="Checked" lockText="1"/>
</file>

<file path=xl/ctrlProps/ctrlProp457.xml><?xml version="1.0" encoding="utf-8"?>
<formControlPr xmlns="http://schemas.microsoft.com/office/spreadsheetml/2009/9/main" objectType="GBox" noThreeD="1"/>
</file>

<file path=xl/ctrlProps/ctrlProp458.xml><?xml version="1.0" encoding="utf-8"?>
<formControlPr xmlns="http://schemas.microsoft.com/office/spreadsheetml/2009/9/main" objectType="Radio" firstButton="1" fmlaLink="$B$165" lockText="1"/>
</file>

<file path=xl/ctrlProps/ctrlProp459.xml><?xml version="1.0" encoding="utf-8"?>
<formControlPr xmlns="http://schemas.microsoft.com/office/spreadsheetml/2009/9/main" objectType="Radio" lockText="1"/>
</file>

<file path=xl/ctrlProps/ctrlProp460.xml><?xml version="1.0" encoding="utf-8"?>
<formControlPr xmlns="http://schemas.microsoft.com/office/spreadsheetml/2009/9/main" objectType="Radio" lockText="1"/>
</file>

<file path=xl/ctrlProps/ctrlProp461.xml><?xml version="1.0" encoding="utf-8"?>
<formControlPr xmlns="http://schemas.microsoft.com/office/spreadsheetml/2009/9/main" objectType="Radio" checked="Checked" lockText="1"/>
</file>

<file path=xl/ctrlProps/ctrlProp462.xml><?xml version="1.0" encoding="utf-8"?>
<formControlPr xmlns="http://schemas.microsoft.com/office/spreadsheetml/2009/9/main" objectType="Radio" lockText="1"/>
</file>

<file path=xl/ctrlProps/ctrlProp463.xml><?xml version="1.0" encoding="utf-8"?>
<formControlPr xmlns="http://schemas.microsoft.com/office/spreadsheetml/2009/9/main" objectType="GBox" noThreeD="1"/>
</file>

<file path=xl/ctrlProps/ctrlProp464.xml><?xml version="1.0" encoding="utf-8"?>
<formControlPr xmlns="http://schemas.microsoft.com/office/spreadsheetml/2009/9/main" objectType="Radio" firstButton="1" fmlaLink="$B$166" lockText="1"/>
</file>

<file path=xl/ctrlProps/ctrlProp465.xml><?xml version="1.0" encoding="utf-8"?>
<formControlPr xmlns="http://schemas.microsoft.com/office/spreadsheetml/2009/9/main" objectType="Radio" lockText="1"/>
</file>

<file path=xl/ctrlProps/ctrlProp466.xml><?xml version="1.0" encoding="utf-8"?>
<formControlPr xmlns="http://schemas.microsoft.com/office/spreadsheetml/2009/9/main" objectType="Radio" checked="Checked" lockText="1"/>
</file>

<file path=xl/ctrlProps/ctrlProp467.xml><?xml version="1.0" encoding="utf-8"?>
<formControlPr xmlns="http://schemas.microsoft.com/office/spreadsheetml/2009/9/main" objectType="Radio" lockText="1"/>
</file>

<file path=xl/ctrlProps/ctrlProp468.xml><?xml version="1.0" encoding="utf-8"?>
<formControlPr xmlns="http://schemas.microsoft.com/office/spreadsheetml/2009/9/main" objectType="Radio" lockText="1"/>
</file>

<file path=xl/ctrlProps/ctrlProp469.xml><?xml version="1.0" encoding="utf-8"?>
<formControlPr xmlns="http://schemas.microsoft.com/office/spreadsheetml/2009/9/main" objectType="GBox" noThreeD="1"/>
</file>

<file path=xl/ctrlProps/ctrlProp470.xml><?xml version="1.0" encoding="utf-8"?>
<formControlPr xmlns="http://schemas.microsoft.com/office/spreadsheetml/2009/9/main" objectType="Radio" checked="Checked" firstButton="1" fmlaLink="$B$168" lockText="1"/>
</file>

<file path=xl/ctrlProps/ctrlProp471.xml><?xml version="1.0" encoding="utf-8"?>
<formControlPr xmlns="http://schemas.microsoft.com/office/spreadsheetml/2009/9/main" objectType="Radio" lockText="1"/>
</file>

<file path=xl/ctrlProps/ctrlProp472.xml><?xml version="1.0" encoding="utf-8"?>
<formControlPr xmlns="http://schemas.microsoft.com/office/spreadsheetml/2009/9/main" objectType="Radio" lockText="1"/>
</file>

<file path=xl/ctrlProps/ctrlProp473.xml><?xml version="1.0" encoding="utf-8"?>
<formControlPr xmlns="http://schemas.microsoft.com/office/spreadsheetml/2009/9/main" objectType="Radio" lockText="1"/>
</file>

<file path=xl/ctrlProps/ctrlProp474.xml><?xml version="1.0" encoding="utf-8"?>
<formControlPr xmlns="http://schemas.microsoft.com/office/spreadsheetml/2009/9/main" objectType="Radio" lockText="1"/>
</file>

<file path=xl/ctrlProps/ctrlProp475.xml><?xml version="1.0" encoding="utf-8"?>
<formControlPr xmlns="http://schemas.microsoft.com/office/spreadsheetml/2009/9/main" objectType="GBox" noThreeD="1"/>
</file>

<file path=xl/ctrlProps/ctrlProp476.xml><?xml version="1.0" encoding="utf-8"?>
<formControlPr xmlns="http://schemas.microsoft.com/office/spreadsheetml/2009/9/main" objectType="Radio" firstButton="1" fmlaLink="$B$169" lockText="1"/>
</file>

<file path=xl/ctrlProps/ctrlProp477.xml><?xml version="1.0" encoding="utf-8"?>
<formControlPr xmlns="http://schemas.microsoft.com/office/spreadsheetml/2009/9/main" objectType="Radio" checked="Checked" lockText="1"/>
</file>

<file path=xl/ctrlProps/ctrlProp478.xml><?xml version="1.0" encoding="utf-8"?>
<formControlPr xmlns="http://schemas.microsoft.com/office/spreadsheetml/2009/9/main" objectType="Radio" lockText="1"/>
</file>

<file path=xl/ctrlProps/ctrlProp479.xml><?xml version="1.0" encoding="utf-8"?>
<formControlPr xmlns="http://schemas.microsoft.com/office/spreadsheetml/2009/9/main" objectType="Radio" lockText="1"/>
</file>

<file path=xl/ctrlProps/ctrlProp480.xml><?xml version="1.0" encoding="utf-8"?>
<formControlPr xmlns="http://schemas.microsoft.com/office/spreadsheetml/2009/9/main" objectType="Radio" lockText="1"/>
</file>

<file path=xl/ctrlProps/ctrlProp481.xml><?xml version="1.0" encoding="utf-8"?>
<formControlPr xmlns="http://schemas.microsoft.com/office/spreadsheetml/2009/9/main" objectType="GBox" noThreeD="1"/>
</file>

<file path=xl/ctrlProps/ctrlProp482.xml><?xml version="1.0" encoding="utf-8"?>
<formControlPr xmlns="http://schemas.microsoft.com/office/spreadsheetml/2009/9/main" objectType="Radio" firstButton="1" fmlaLink="$B$172" lockText="1"/>
</file>

<file path=xl/ctrlProps/ctrlProp483.xml><?xml version="1.0" encoding="utf-8"?>
<formControlPr xmlns="http://schemas.microsoft.com/office/spreadsheetml/2009/9/main" objectType="Radio" lockText="1"/>
</file>

<file path=xl/ctrlProps/ctrlProp484.xml><?xml version="1.0" encoding="utf-8"?>
<formControlPr xmlns="http://schemas.microsoft.com/office/spreadsheetml/2009/9/main" objectType="Radio" lockText="1"/>
</file>

<file path=xl/ctrlProps/ctrlProp485.xml><?xml version="1.0" encoding="utf-8"?>
<formControlPr xmlns="http://schemas.microsoft.com/office/spreadsheetml/2009/9/main" objectType="Radio" lockText="1"/>
</file>

<file path=xl/ctrlProps/ctrlProp486.xml><?xml version="1.0" encoding="utf-8"?>
<formControlPr xmlns="http://schemas.microsoft.com/office/spreadsheetml/2009/9/main" objectType="Radio" checked="Checked" lockText="1"/>
</file>

<file path=xl/ctrlProps/ctrlProp487.xml><?xml version="1.0" encoding="utf-8"?>
<formControlPr xmlns="http://schemas.microsoft.com/office/spreadsheetml/2009/9/main" objectType="GBox" noThreeD="1"/>
</file>

<file path=xl/ctrlProps/ctrlProp488.xml><?xml version="1.0" encoding="utf-8"?>
<formControlPr xmlns="http://schemas.microsoft.com/office/spreadsheetml/2009/9/main" objectType="Radio" firstButton="1" fmlaLink="$B$175" lockText="1"/>
</file>

<file path=xl/ctrlProps/ctrlProp489.xml><?xml version="1.0" encoding="utf-8"?>
<formControlPr xmlns="http://schemas.microsoft.com/office/spreadsheetml/2009/9/main" objectType="Radio" checked="Checked" lockText="1"/>
</file>

<file path=xl/ctrlProps/ctrlProp490.xml><?xml version="1.0" encoding="utf-8"?>
<formControlPr xmlns="http://schemas.microsoft.com/office/spreadsheetml/2009/9/main" objectType="Radio" lockText="1"/>
</file>

<file path=xl/ctrlProps/ctrlProp491.xml><?xml version="1.0" encoding="utf-8"?>
<formControlPr xmlns="http://schemas.microsoft.com/office/spreadsheetml/2009/9/main" objectType="Radio" lockText="1"/>
</file>

<file path=xl/ctrlProps/ctrlProp492.xml><?xml version="1.0" encoding="utf-8"?>
<formControlPr xmlns="http://schemas.microsoft.com/office/spreadsheetml/2009/9/main" objectType="Radio" lockText="1"/>
</file>

<file path=xl/ctrlProps/ctrlProp493.xml><?xml version="1.0" encoding="utf-8"?>
<formControlPr xmlns="http://schemas.microsoft.com/office/spreadsheetml/2009/9/main" objectType="GBox" noThreeD="1"/>
</file>

<file path=xl/ctrlProps/ctrlProp494.xml><?xml version="1.0" encoding="utf-8"?>
<formControlPr xmlns="http://schemas.microsoft.com/office/spreadsheetml/2009/9/main" objectType="Radio" checked="Checked" firstButton="1" fmlaLink="$B$176" lockText="1"/>
</file>

<file path=xl/ctrlProps/ctrlProp495.xml><?xml version="1.0" encoding="utf-8"?>
<formControlPr xmlns="http://schemas.microsoft.com/office/spreadsheetml/2009/9/main" objectType="Radio" lockText="1"/>
</file>

<file path=xl/ctrlProps/ctrlProp496.xml><?xml version="1.0" encoding="utf-8"?>
<formControlPr xmlns="http://schemas.microsoft.com/office/spreadsheetml/2009/9/main" objectType="Radio" lockText="1"/>
</file>

<file path=xl/ctrlProps/ctrlProp497.xml><?xml version="1.0" encoding="utf-8"?>
<formControlPr xmlns="http://schemas.microsoft.com/office/spreadsheetml/2009/9/main" objectType="Radio" lockText="1"/>
</file>

<file path=xl/ctrlProps/ctrlProp498.xml><?xml version="1.0" encoding="utf-8"?>
<formControlPr xmlns="http://schemas.microsoft.com/office/spreadsheetml/2009/9/main" objectType="Radio" lockText="1"/>
</file>

<file path=xl/ctrlProps/ctrlProp499.xml><?xml version="1.0" encoding="utf-8"?>
<formControlPr xmlns="http://schemas.microsoft.com/office/spreadsheetml/2009/9/main" objectType="GBox" noThreeD="1"/>
</file>

<file path=xl/ctrlProps/ctrlProp500.xml><?xml version="1.0" encoding="utf-8"?>
<formControlPr xmlns="http://schemas.microsoft.com/office/spreadsheetml/2009/9/main" objectType="Radio" firstButton="1" fmlaLink="$B$177" lockText="1"/>
</file>

<file path=xl/ctrlProps/ctrlProp501.xml><?xml version="1.0" encoding="utf-8"?>
<formControlPr xmlns="http://schemas.microsoft.com/office/spreadsheetml/2009/9/main" objectType="Radio" checked="Checked" lockText="1"/>
</file>

<file path=xl/ctrlProps/ctrlProp502.xml><?xml version="1.0" encoding="utf-8"?>
<formControlPr xmlns="http://schemas.microsoft.com/office/spreadsheetml/2009/9/main" objectType="Radio" lockText="1"/>
</file>

<file path=xl/ctrlProps/ctrlProp503.xml><?xml version="1.0" encoding="utf-8"?>
<formControlPr xmlns="http://schemas.microsoft.com/office/spreadsheetml/2009/9/main" objectType="Radio" lockText="1"/>
</file>

<file path=xl/ctrlProps/ctrlProp504.xml><?xml version="1.0" encoding="utf-8"?>
<formControlPr xmlns="http://schemas.microsoft.com/office/spreadsheetml/2009/9/main" objectType="Radio" lockText="1"/>
</file>

<file path=xl/ctrlProps/ctrlProp505.xml><?xml version="1.0" encoding="utf-8"?>
<formControlPr xmlns="http://schemas.microsoft.com/office/spreadsheetml/2009/9/main" objectType="GBox" noThreeD="1"/>
</file>

<file path=xl/ctrlProps/ctrlProp506.xml><?xml version="1.0" encoding="utf-8"?>
<formControlPr xmlns="http://schemas.microsoft.com/office/spreadsheetml/2009/9/main" objectType="Radio" firstButton="1" fmlaLink="$B$181" lockText="1"/>
</file>

<file path=xl/ctrlProps/ctrlProp507.xml><?xml version="1.0" encoding="utf-8"?>
<formControlPr xmlns="http://schemas.microsoft.com/office/spreadsheetml/2009/9/main" objectType="Radio" lockText="1"/>
</file>

<file path=xl/ctrlProps/ctrlProp508.xml><?xml version="1.0" encoding="utf-8"?>
<formControlPr xmlns="http://schemas.microsoft.com/office/spreadsheetml/2009/9/main" objectType="Radio" lockText="1"/>
</file>

<file path=xl/ctrlProps/ctrlProp509.xml><?xml version="1.0" encoding="utf-8"?>
<formControlPr xmlns="http://schemas.microsoft.com/office/spreadsheetml/2009/9/main" objectType="Radio" checked="Checked" lockText="1"/>
</file>

<file path=xl/ctrlProps/ctrlProp510.xml><?xml version="1.0" encoding="utf-8"?>
<formControlPr xmlns="http://schemas.microsoft.com/office/spreadsheetml/2009/9/main" objectType="Radio" lockText="1"/>
</file>

<file path=xl/ctrlProps/ctrlProp511.xml><?xml version="1.0" encoding="utf-8"?>
<formControlPr xmlns="http://schemas.microsoft.com/office/spreadsheetml/2009/9/main" objectType="GBox" noThreeD="1"/>
</file>

<file path=xl/ctrlProps/ctrlProp512.xml><?xml version="1.0" encoding="utf-8"?>
<formControlPr xmlns="http://schemas.microsoft.com/office/spreadsheetml/2009/9/main" objectType="Radio" firstButton="1" fmlaLink="$B$182" lockText="1"/>
</file>

<file path=xl/ctrlProps/ctrlProp513.xml><?xml version="1.0" encoding="utf-8"?>
<formControlPr xmlns="http://schemas.microsoft.com/office/spreadsheetml/2009/9/main" objectType="Radio" lockText="1"/>
</file>

<file path=xl/ctrlProps/ctrlProp514.xml><?xml version="1.0" encoding="utf-8"?>
<formControlPr xmlns="http://schemas.microsoft.com/office/spreadsheetml/2009/9/main" objectType="Radio" checked="Checked" lockText="1"/>
</file>

<file path=xl/ctrlProps/ctrlProp515.xml><?xml version="1.0" encoding="utf-8"?>
<formControlPr xmlns="http://schemas.microsoft.com/office/spreadsheetml/2009/9/main" objectType="Radio" lockText="1"/>
</file>

<file path=xl/ctrlProps/ctrlProp516.xml><?xml version="1.0" encoding="utf-8"?>
<formControlPr xmlns="http://schemas.microsoft.com/office/spreadsheetml/2009/9/main" objectType="Radio" lockText="1"/>
</file>

<file path=xl/ctrlProps/ctrlProp517.xml><?xml version="1.0" encoding="utf-8"?>
<formControlPr xmlns="http://schemas.microsoft.com/office/spreadsheetml/2009/9/main" objectType="GBox" noThreeD="1"/>
</file>

<file path=xl/ctrlProps/ctrlProp518.xml><?xml version="1.0" encoding="utf-8"?>
<formControlPr xmlns="http://schemas.microsoft.com/office/spreadsheetml/2009/9/main" objectType="Radio" firstButton="1" fmlaLink="$B$183" lockText="1"/>
</file>

<file path=xl/ctrlProps/ctrlProp519.xml><?xml version="1.0" encoding="utf-8"?>
<formControlPr xmlns="http://schemas.microsoft.com/office/spreadsheetml/2009/9/main" objectType="Radio" checked="Checked" lockText="1"/>
</file>

<file path=xl/ctrlProps/ctrlProp520.xml><?xml version="1.0" encoding="utf-8"?>
<formControlPr xmlns="http://schemas.microsoft.com/office/spreadsheetml/2009/9/main" objectType="Radio" lockText="1"/>
</file>

<file path=xl/ctrlProps/ctrlProp521.xml><?xml version="1.0" encoding="utf-8"?>
<formControlPr xmlns="http://schemas.microsoft.com/office/spreadsheetml/2009/9/main" objectType="Radio" lockText="1"/>
</file>

<file path=xl/ctrlProps/ctrlProp522.xml><?xml version="1.0" encoding="utf-8"?>
<formControlPr xmlns="http://schemas.microsoft.com/office/spreadsheetml/2009/9/main" objectType="Radio" lockText="1"/>
</file>

<file path=xl/ctrlProps/ctrlProp523.xml><?xml version="1.0" encoding="utf-8"?>
<formControlPr xmlns="http://schemas.microsoft.com/office/spreadsheetml/2009/9/main" objectType="GBox" noThreeD="1"/>
</file>

<file path=xl/ctrlProps/ctrlProp524.xml><?xml version="1.0" encoding="utf-8"?>
<formControlPr xmlns="http://schemas.microsoft.com/office/spreadsheetml/2009/9/main" objectType="Radio" checked="Checked" firstButton="1" fmlaLink="$B$184" lockText="1"/>
</file>

<file path=xl/ctrlProps/ctrlProp525.xml><?xml version="1.0" encoding="utf-8"?>
<formControlPr xmlns="http://schemas.microsoft.com/office/spreadsheetml/2009/9/main" objectType="Radio" lockText="1"/>
</file>

<file path=xl/ctrlProps/ctrlProp526.xml><?xml version="1.0" encoding="utf-8"?>
<formControlPr xmlns="http://schemas.microsoft.com/office/spreadsheetml/2009/9/main" objectType="Radio" lockText="1"/>
</file>

<file path=xl/ctrlProps/ctrlProp527.xml><?xml version="1.0" encoding="utf-8"?>
<formControlPr xmlns="http://schemas.microsoft.com/office/spreadsheetml/2009/9/main" objectType="Radio" lockText="1"/>
</file>

<file path=xl/ctrlProps/ctrlProp528.xml><?xml version="1.0" encoding="utf-8"?>
<formControlPr xmlns="http://schemas.microsoft.com/office/spreadsheetml/2009/9/main" objectType="Radio" lockText="1"/>
</file>

<file path=xl/ctrlProps/ctrlProp529.xml><?xml version="1.0" encoding="utf-8"?>
<formControlPr xmlns="http://schemas.microsoft.com/office/spreadsheetml/2009/9/main" objectType="GBox" noThreeD="1"/>
</file>

<file path=xl/ctrlProps/ctrlProp530.xml><?xml version="1.0" encoding="utf-8"?>
<formControlPr xmlns="http://schemas.microsoft.com/office/spreadsheetml/2009/9/main" objectType="Radio" firstButton="1" fmlaLink="$B$187" lockText="1"/>
</file>

<file path=xl/ctrlProps/ctrlProp531.xml><?xml version="1.0" encoding="utf-8"?>
<formControlPr xmlns="http://schemas.microsoft.com/office/spreadsheetml/2009/9/main" objectType="Radio" lockText="1"/>
</file>

<file path=xl/ctrlProps/ctrlProp532.xml><?xml version="1.0" encoding="utf-8"?>
<formControlPr xmlns="http://schemas.microsoft.com/office/spreadsheetml/2009/9/main" objectType="Radio" lockText="1"/>
</file>

<file path=xl/ctrlProps/ctrlProp533.xml><?xml version="1.0" encoding="utf-8"?>
<formControlPr xmlns="http://schemas.microsoft.com/office/spreadsheetml/2009/9/main" objectType="Radio" lockText="1"/>
</file>

<file path=xl/ctrlProps/ctrlProp534.xml><?xml version="1.0" encoding="utf-8"?>
<formControlPr xmlns="http://schemas.microsoft.com/office/spreadsheetml/2009/9/main" objectType="Radio" checked="Checked" lockText="1"/>
</file>

<file path=xl/ctrlProps/ctrlProp535.xml><?xml version="1.0" encoding="utf-8"?>
<formControlPr xmlns="http://schemas.microsoft.com/office/spreadsheetml/2009/9/main" objectType="GBox" noThreeD="1"/>
</file>

<file path=xl/ctrlProps/ctrlProp536.xml><?xml version="1.0" encoding="utf-8"?>
<formControlPr xmlns="http://schemas.microsoft.com/office/spreadsheetml/2009/9/main" objectType="Radio" firstButton="1" fmlaLink="$B$188" lockText="1"/>
</file>

<file path=xl/ctrlProps/ctrlProp537.xml><?xml version="1.0" encoding="utf-8"?>
<formControlPr xmlns="http://schemas.microsoft.com/office/spreadsheetml/2009/9/main" objectType="Radio" lockText="1"/>
</file>

<file path=xl/ctrlProps/ctrlProp538.xml><?xml version="1.0" encoding="utf-8"?>
<formControlPr xmlns="http://schemas.microsoft.com/office/spreadsheetml/2009/9/main" objectType="Radio" checked="Checked" lockText="1"/>
</file>

<file path=xl/ctrlProps/ctrlProp539.xml><?xml version="1.0" encoding="utf-8"?>
<formControlPr xmlns="http://schemas.microsoft.com/office/spreadsheetml/2009/9/main" objectType="Radio" lockText="1"/>
</file>

<file path=xl/ctrlProps/ctrlProp540.xml><?xml version="1.0" encoding="utf-8"?>
<formControlPr xmlns="http://schemas.microsoft.com/office/spreadsheetml/2009/9/main" objectType="Radio" lockText="1"/>
</file>

<file path=xl/ctrlProps/ctrlProp541.xml><?xml version="1.0" encoding="utf-8"?>
<formControlPr xmlns="http://schemas.microsoft.com/office/spreadsheetml/2009/9/main" objectType="GBox" noThreeD="1"/>
</file>

<file path=xl/ctrlProps/ctrlProp542.xml><?xml version="1.0" encoding="utf-8"?>
<formControlPr xmlns="http://schemas.microsoft.com/office/spreadsheetml/2009/9/main" objectType="Radio" firstButton="1" fmlaLink="$B$189" lockText="1"/>
</file>

<file path=xl/ctrlProps/ctrlProp543.xml><?xml version="1.0" encoding="utf-8"?>
<formControlPr xmlns="http://schemas.microsoft.com/office/spreadsheetml/2009/9/main" objectType="Radio" checked="Checked" lockText="1"/>
</file>

<file path=xl/ctrlProps/ctrlProp544.xml><?xml version="1.0" encoding="utf-8"?>
<formControlPr xmlns="http://schemas.microsoft.com/office/spreadsheetml/2009/9/main" objectType="Radio" lockText="1"/>
</file>

<file path=xl/ctrlProps/ctrlProp545.xml><?xml version="1.0" encoding="utf-8"?>
<formControlPr xmlns="http://schemas.microsoft.com/office/spreadsheetml/2009/9/main" objectType="Radio" lockText="1"/>
</file>

<file path=xl/ctrlProps/ctrlProp546.xml><?xml version="1.0" encoding="utf-8"?>
<formControlPr xmlns="http://schemas.microsoft.com/office/spreadsheetml/2009/9/main" objectType="Radio" lockText="1"/>
</file>

<file path=xl/ctrlProps/ctrlProp547.xml><?xml version="1.0" encoding="utf-8"?>
<formControlPr xmlns="http://schemas.microsoft.com/office/spreadsheetml/2009/9/main" objectType="GBox" noThreeD="1"/>
</file>

<file path=xl/ctrlProps/ctrlProp548.xml><?xml version="1.0" encoding="utf-8"?>
<formControlPr xmlns="http://schemas.microsoft.com/office/spreadsheetml/2009/9/main" objectType="Radio" firstButton="1" fmlaLink="$B$190" lockText="1"/>
</file>

<file path=xl/ctrlProps/ctrlProp549.xml><?xml version="1.0" encoding="utf-8"?>
<formControlPr xmlns="http://schemas.microsoft.com/office/spreadsheetml/2009/9/main" objectType="Radio" lockText="1"/>
</file>

<file path=xl/ctrlProps/ctrlProp550.xml><?xml version="1.0" encoding="utf-8"?>
<formControlPr xmlns="http://schemas.microsoft.com/office/spreadsheetml/2009/9/main" objectType="Radio" checked="Checked" lockText="1"/>
</file>

<file path=xl/ctrlProps/ctrlProp551.xml><?xml version="1.0" encoding="utf-8"?>
<formControlPr xmlns="http://schemas.microsoft.com/office/spreadsheetml/2009/9/main" objectType="Radio" lockText="1"/>
</file>

<file path=xl/ctrlProps/ctrlProp552.xml><?xml version="1.0" encoding="utf-8"?>
<formControlPr xmlns="http://schemas.microsoft.com/office/spreadsheetml/2009/9/main" objectType="Radio" lockText="1"/>
</file>

<file path=xl/ctrlProps/ctrlProp553.xml><?xml version="1.0" encoding="utf-8"?>
<formControlPr xmlns="http://schemas.microsoft.com/office/spreadsheetml/2009/9/main" objectType="GBox" noThreeD="1"/>
</file>

<file path=xl/ctrlProps/ctrlProp554.xml><?xml version="1.0" encoding="utf-8"?>
<formControlPr xmlns="http://schemas.microsoft.com/office/spreadsheetml/2009/9/main" objectType="Radio" firstButton="1" fmlaLink="$B$191" lockText="1"/>
</file>

<file path=xl/ctrlProps/ctrlProp555.xml><?xml version="1.0" encoding="utf-8"?>
<formControlPr xmlns="http://schemas.microsoft.com/office/spreadsheetml/2009/9/main" objectType="Radio" checked="Checked" lockText="1"/>
</file>

<file path=xl/ctrlProps/ctrlProp556.xml><?xml version="1.0" encoding="utf-8"?>
<formControlPr xmlns="http://schemas.microsoft.com/office/spreadsheetml/2009/9/main" objectType="Radio" lockText="1"/>
</file>

<file path=xl/ctrlProps/ctrlProp557.xml><?xml version="1.0" encoding="utf-8"?>
<formControlPr xmlns="http://schemas.microsoft.com/office/spreadsheetml/2009/9/main" objectType="Radio" lockText="1"/>
</file>

<file path=xl/ctrlProps/ctrlProp558.xml><?xml version="1.0" encoding="utf-8"?>
<formControlPr xmlns="http://schemas.microsoft.com/office/spreadsheetml/2009/9/main" objectType="Radio" lockText="1"/>
</file>

<file path=xl/ctrlProps/ctrlProp559.xml><?xml version="1.0" encoding="utf-8"?>
<formControlPr xmlns="http://schemas.microsoft.com/office/spreadsheetml/2009/9/main" objectType="GBox" noThreeD="1"/>
</file>

<file path=xl/ctrlProps/ctrlProp560.xml><?xml version="1.0" encoding="utf-8"?>
<formControlPr xmlns="http://schemas.microsoft.com/office/spreadsheetml/2009/9/main" objectType="Radio" firstButton="1" fmlaLink="$B$194" lockText="1"/>
</file>

<file path=xl/ctrlProps/ctrlProp561.xml><?xml version="1.0" encoding="utf-8"?>
<formControlPr xmlns="http://schemas.microsoft.com/office/spreadsheetml/2009/9/main" objectType="Radio" lockText="1"/>
</file>

<file path=xl/ctrlProps/ctrlProp562.xml><?xml version="1.0" encoding="utf-8"?>
<formControlPr xmlns="http://schemas.microsoft.com/office/spreadsheetml/2009/9/main" objectType="Radio" checked="Checked" lockText="1"/>
</file>

<file path=xl/ctrlProps/ctrlProp563.xml><?xml version="1.0" encoding="utf-8"?>
<formControlPr xmlns="http://schemas.microsoft.com/office/spreadsheetml/2009/9/main" objectType="Radio" lockText="1"/>
</file>

<file path=xl/ctrlProps/ctrlProp564.xml><?xml version="1.0" encoding="utf-8"?>
<formControlPr xmlns="http://schemas.microsoft.com/office/spreadsheetml/2009/9/main" objectType="Radio" lockText="1"/>
</file>

<file path=xl/ctrlProps/ctrlProp565.xml><?xml version="1.0" encoding="utf-8"?>
<formControlPr xmlns="http://schemas.microsoft.com/office/spreadsheetml/2009/9/main" objectType="GBox" noThreeD="1"/>
</file>

<file path=xl/ctrlProps/ctrlProp566.xml><?xml version="1.0" encoding="utf-8"?>
<formControlPr xmlns="http://schemas.microsoft.com/office/spreadsheetml/2009/9/main" objectType="Radio" firstButton="1" fmlaLink="$B$195" lockText="1"/>
</file>

<file path=xl/ctrlProps/ctrlProp567.xml><?xml version="1.0" encoding="utf-8"?>
<formControlPr xmlns="http://schemas.microsoft.com/office/spreadsheetml/2009/9/main" objectType="Radio" lockText="1"/>
</file>

<file path=xl/ctrlProps/ctrlProp568.xml><?xml version="1.0" encoding="utf-8"?>
<formControlPr xmlns="http://schemas.microsoft.com/office/spreadsheetml/2009/9/main" objectType="Radio" lockText="1"/>
</file>

<file path=xl/ctrlProps/ctrlProp569.xml><?xml version="1.0" encoding="utf-8"?>
<formControlPr xmlns="http://schemas.microsoft.com/office/spreadsheetml/2009/9/main" objectType="Radio" lockText="1"/>
</file>

<file path=xl/ctrlProps/ctrlProp570.xml><?xml version="1.0" encoding="utf-8"?>
<formControlPr xmlns="http://schemas.microsoft.com/office/spreadsheetml/2009/9/main" objectType="Radio" checked="Checked" lockText="1"/>
</file>

<file path=xl/ctrlProps/ctrlProp571.xml><?xml version="1.0" encoding="utf-8"?>
<formControlPr xmlns="http://schemas.microsoft.com/office/spreadsheetml/2009/9/main" objectType="GBox" noThreeD="1"/>
</file>

<file path=xl/ctrlProps/ctrlProp572.xml><?xml version="1.0" encoding="utf-8"?>
<formControlPr xmlns="http://schemas.microsoft.com/office/spreadsheetml/2009/9/main" objectType="Radio" firstButton="1" fmlaLink="$B$196" lockText="1"/>
</file>

<file path=xl/ctrlProps/ctrlProp573.xml><?xml version="1.0" encoding="utf-8"?>
<formControlPr xmlns="http://schemas.microsoft.com/office/spreadsheetml/2009/9/main" objectType="Radio" lockText="1"/>
</file>

<file path=xl/ctrlProps/ctrlProp574.xml><?xml version="1.0" encoding="utf-8"?>
<formControlPr xmlns="http://schemas.microsoft.com/office/spreadsheetml/2009/9/main" objectType="Radio" lockText="1"/>
</file>

<file path=xl/ctrlProps/ctrlProp575.xml><?xml version="1.0" encoding="utf-8"?>
<formControlPr xmlns="http://schemas.microsoft.com/office/spreadsheetml/2009/9/main" objectType="Radio" checked="Checked" lockText="1"/>
</file>

<file path=xl/ctrlProps/ctrlProp576.xml><?xml version="1.0" encoding="utf-8"?>
<formControlPr xmlns="http://schemas.microsoft.com/office/spreadsheetml/2009/9/main" objectType="Radio" lockText="1"/>
</file>

<file path=xl/ctrlProps/ctrlProp577.xml><?xml version="1.0" encoding="utf-8"?>
<formControlPr xmlns="http://schemas.microsoft.com/office/spreadsheetml/2009/9/main" objectType="GBox" noThreeD="1"/>
</file>

<file path=xl/ctrlProps/ctrlProp578.xml><?xml version="1.0" encoding="utf-8"?>
<formControlPr xmlns="http://schemas.microsoft.com/office/spreadsheetml/2009/9/main" objectType="Radio" firstButton="1" fmlaLink="$B$197" lockText="1"/>
</file>

<file path=xl/ctrlProps/ctrlProp579.xml><?xml version="1.0" encoding="utf-8"?>
<formControlPr xmlns="http://schemas.microsoft.com/office/spreadsheetml/2009/9/main" objectType="Radio" lockText="1"/>
</file>

<file path=xl/ctrlProps/ctrlProp580.xml><?xml version="1.0" encoding="utf-8"?>
<formControlPr xmlns="http://schemas.microsoft.com/office/spreadsheetml/2009/9/main" objectType="Radio" lockText="1"/>
</file>

<file path=xl/ctrlProps/ctrlProp581.xml><?xml version="1.0" encoding="utf-8"?>
<formControlPr xmlns="http://schemas.microsoft.com/office/spreadsheetml/2009/9/main" objectType="Radio" lockText="1"/>
</file>

<file path=xl/ctrlProps/ctrlProp582.xml><?xml version="1.0" encoding="utf-8"?>
<formControlPr xmlns="http://schemas.microsoft.com/office/spreadsheetml/2009/9/main" objectType="Radio" checked="Checked" lockText="1"/>
</file>

<file path=xl/ctrlProps/ctrlProp583.xml><?xml version="1.0" encoding="utf-8"?>
<formControlPr xmlns="http://schemas.microsoft.com/office/spreadsheetml/2009/9/main" objectType="GBox" noThreeD="1"/>
</file>

<file path=xl/ctrlProps/ctrlProp584.xml><?xml version="1.0" encoding="utf-8"?>
<formControlPr xmlns="http://schemas.microsoft.com/office/spreadsheetml/2009/9/main" objectType="Radio" firstButton="1" fmlaLink="$B$198" lockText="1"/>
</file>

<file path=xl/ctrlProps/ctrlProp585.xml><?xml version="1.0" encoding="utf-8"?>
<formControlPr xmlns="http://schemas.microsoft.com/office/spreadsheetml/2009/9/main" objectType="Radio" lockText="1"/>
</file>

<file path=xl/ctrlProps/ctrlProp586.xml><?xml version="1.0" encoding="utf-8"?>
<formControlPr xmlns="http://schemas.microsoft.com/office/spreadsheetml/2009/9/main" objectType="Radio" lockText="1"/>
</file>

<file path=xl/ctrlProps/ctrlProp587.xml><?xml version="1.0" encoding="utf-8"?>
<formControlPr xmlns="http://schemas.microsoft.com/office/spreadsheetml/2009/9/main" objectType="Radio" checked="Checked" lockText="1"/>
</file>

<file path=xl/ctrlProps/ctrlProp588.xml><?xml version="1.0" encoding="utf-8"?>
<formControlPr xmlns="http://schemas.microsoft.com/office/spreadsheetml/2009/9/main" objectType="Radio" lockText="1"/>
</file>

<file path=xl/ctrlProps/ctrlProp589.xml><?xml version="1.0" encoding="utf-8"?>
<formControlPr xmlns="http://schemas.microsoft.com/office/spreadsheetml/2009/9/main" objectType="GBox" noThreeD="1"/>
</file>

<file path=xl/ctrlProps/ctrlProp590.xml><?xml version="1.0" encoding="utf-8"?>
<formControlPr xmlns="http://schemas.microsoft.com/office/spreadsheetml/2009/9/main" objectType="Radio" firstButton="1" fmlaLink="$B$199" lockText="1"/>
</file>

<file path=xl/ctrlProps/ctrlProp591.xml><?xml version="1.0" encoding="utf-8"?>
<formControlPr xmlns="http://schemas.microsoft.com/office/spreadsheetml/2009/9/main" objectType="Radio" lockText="1"/>
</file>

<file path=xl/ctrlProps/ctrlProp592.xml><?xml version="1.0" encoding="utf-8"?>
<formControlPr xmlns="http://schemas.microsoft.com/office/spreadsheetml/2009/9/main" objectType="Radio" lockText="1"/>
</file>

<file path=xl/ctrlProps/ctrlProp593.xml><?xml version="1.0" encoding="utf-8"?>
<formControlPr xmlns="http://schemas.microsoft.com/office/spreadsheetml/2009/9/main" objectType="Radio" lockText="1"/>
</file>

<file path=xl/ctrlProps/ctrlProp594.xml><?xml version="1.0" encoding="utf-8"?>
<formControlPr xmlns="http://schemas.microsoft.com/office/spreadsheetml/2009/9/main" objectType="Radio" checked="Checked" lockText="1"/>
</file>

<file path=xl/ctrlProps/ctrlProp595.xml><?xml version="1.0" encoding="utf-8"?>
<formControlPr xmlns="http://schemas.microsoft.com/office/spreadsheetml/2009/9/main" objectType="Drop" dropLines="2" dropStyle="combo" dx="16" fmlaLink="' '!$B$4" fmlaRange="' '!$Z$6:$Z$7" noThreeD="1" sel="2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Logo!D6"/><Relationship Id="rId3" Type="http://schemas.openxmlformats.org/officeDocument/2006/relationships/hyperlink" Target="#IdeenMgmt!A1"/><Relationship Id="rId7" Type="http://schemas.openxmlformats.org/officeDocument/2006/relationships/hyperlink" Target="http://www.2imanagement.ch/?id=57&amp;helpdesk&amp;topic=117" TargetMode="External"/><Relationship Id="rId2" Type="http://schemas.openxmlformats.org/officeDocument/2006/relationships/hyperlink" Target="#Massnahmen!A1"/><Relationship Id="rId1" Type="http://schemas.openxmlformats.org/officeDocument/2006/relationships/hyperlink" Target="#Analyse!A1"/><Relationship Id="rId6" Type="http://schemas.openxmlformats.org/officeDocument/2006/relationships/hyperlink" Target="#'2Strategie'!A1"/><Relationship Id="rId5" Type="http://schemas.openxmlformats.org/officeDocument/2006/relationships/hyperlink" Target="#Umsetzung!A1"/><Relationship Id="rId4" Type="http://schemas.openxmlformats.org/officeDocument/2006/relationships/hyperlink" Target="#'2BP'!A1"/><Relationship Id="rId9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Fehler!A1"/><Relationship Id="rId13" Type="http://schemas.openxmlformats.org/officeDocument/2006/relationships/hyperlink" Target="#Fishbone!A1"/><Relationship Id="rId3" Type="http://schemas.openxmlformats.org/officeDocument/2006/relationships/hyperlink" Target="#Stakeholder!A1"/><Relationship Id="rId7" Type="http://schemas.openxmlformats.org/officeDocument/2006/relationships/hyperlink" Target="#Potenzial!A1"/><Relationship Id="rId12" Type="http://schemas.openxmlformats.org/officeDocument/2006/relationships/hyperlink" Target="http://www.2imanagement.ch/?id=57&amp;helpdesk&amp;topic=117" TargetMode="External"/><Relationship Id="rId17" Type="http://schemas.openxmlformats.org/officeDocument/2006/relationships/image" Target="../media/image1.emf"/><Relationship Id="rId2" Type="http://schemas.openxmlformats.org/officeDocument/2006/relationships/image" Target="../media/image3.png"/><Relationship Id="rId16" Type="http://schemas.openxmlformats.org/officeDocument/2006/relationships/hyperlink" Target="#Consumer_Trend!A1"/><Relationship Id="rId1" Type="http://schemas.openxmlformats.org/officeDocument/2006/relationships/hyperlink" Target="#'Menu Innovation'!A1"/><Relationship Id="rId6" Type="http://schemas.openxmlformats.org/officeDocument/2006/relationships/hyperlink" Target="#Canvas!A1"/><Relationship Id="rId11" Type="http://schemas.openxmlformats.org/officeDocument/2006/relationships/hyperlink" Target="#Benchmark!A1"/><Relationship Id="rId5" Type="http://schemas.openxmlformats.org/officeDocument/2006/relationships/hyperlink" Target="#Reklamationen!A1"/><Relationship Id="rId15" Type="http://schemas.openxmlformats.org/officeDocument/2006/relationships/hyperlink" Target="http://publicintelligence.net/global-trends-2030/" TargetMode="External"/><Relationship Id="rId10" Type="http://schemas.openxmlformats.org/officeDocument/2006/relationships/hyperlink" Target="#Prozesse!A1"/><Relationship Id="rId4" Type="http://schemas.openxmlformats.org/officeDocument/2006/relationships/hyperlink" Target="#Trends!A1"/><Relationship Id="rId9" Type="http://schemas.openxmlformats.org/officeDocument/2006/relationships/hyperlink" Target="#Produkte!A1"/><Relationship Id="rId14" Type="http://schemas.openxmlformats.org/officeDocument/2006/relationships/hyperlink" Target="#'Swot-Analyse'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https://ibrain.atizo.com/" TargetMode="External"/><Relationship Id="rId13" Type="http://schemas.openxmlformats.org/officeDocument/2006/relationships/hyperlink" Target="http://www.coolbusinessideas.com" TargetMode="External"/><Relationship Id="rId3" Type="http://schemas.openxmlformats.org/officeDocument/2006/relationships/hyperlink" Target="http://en.wikipedia.org/wiki/Creativity_techniques" TargetMode="External"/><Relationship Id="rId7" Type="http://schemas.openxmlformats.org/officeDocument/2006/relationships/hyperlink" Target="#KPI!A1"/><Relationship Id="rId12" Type="http://schemas.openxmlformats.org/officeDocument/2006/relationships/image" Target="../media/image1.emf"/><Relationship Id="rId2" Type="http://schemas.openxmlformats.org/officeDocument/2006/relationships/image" Target="../media/image3.png"/><Relationship Id="rId1" Type="http://schemas.openxmlformats.org/officeDocument/2006/relationships/hyperlink" Target="#'Menu Innovation'!A1"/><Relationship Id="rId6" Type="http://schemas.openxmlformats.org/officeDocument/2006/relationships/hyperlink" Target="#MatrixIdee!A1"/><Relationship Id="rId11" Type="http://schemas.openxmlformats.org/officeDocument/2006/relationships/hyperlink" Target="#Kosten!A1"/><Relationship Id="rId5" Type="http://schemas.openxmlformats.org/officeDocument/2006/relationships/hyperlink" Target="http://www.springwise.com/" TargetMode="External"/><Relationship Id="rId10" Type="http://schemas.openxmlformats.org/officeDocument/2006/relationships/hyperlink" Target="http://www.2imanagement.ch/?id=57&amp;helpdesk&amp;topic=117" TargetMode="External"/><Relationship Id="rId4" Type="http://schemas.openxmlformats.org/officeDocument/2006/relationships/hyperlink" Target="#Nutzen!A1"/><Relationship Id="rId9" Type="http://schemas.openxmlformats.org/officeDocument/2006/relationships/hyperlink" Target="#KostenNutzen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2Cockpit'!A1"/><Relationship Id="rId3" Type="http://schemas.openxmlformats.org/officeDocument/2006/relationships/hyperlink" Target="http://www.2imanagement.ch/?id=57&amp;helpdesk&amp;topic=117" TargetMode="External"/><Relationship Id="rId7" Type="http://schemas.openxmlformats.org/officeDocument/2006/relationships/hyperlink" Target="#'2BSC'!A1"/><Relationship Id="rId12" Type="http://schemas.openxmlformats.org/officeDocument/2006/relationships/image" Target="../media/image1.emf"/><Relationship Id="rId2" Type="http://schemas.openxmlformats.org/officeDocument/2006/relationships/image" Target="../media/image3.png"/><Relationship Id="rId1" Type="http://schemas.openxmlformats.org/officeDocument/2006/relationships/hyperlink" Target="#'Menu Innovation'!A1"/><Relationship Id="rId6" Type="http://schemas.openxmlformats.org/officeDocument/2006/relationships/hyperlink" Target="#'2Projektmgmt'!A1"/><Relationship Id="rId11" Type="http://schemas.openxmlformats.org/officeDocument/2006/relationships/hyperlink" Target="#Kommunikation!A1"/><Relationship Id="rId5" Type="http://schemas.openxmlformats.org/officeDocument/2006/relationships/hyperlink" Target="#Cockpit!A1"/><Relationship Id="rId10" Type="http://schemas.openxmlformats.org/officeDocument/2006/relationships/hyperlink" Target="#Pareto!A1"/><Relationship Id="rId4" Type="http://schemas.openxmlformats.org/officeDocument/2006/relationships/hyperlink" Target="#Portfolio!A1"/><Relationship Id="rId9" Type="http://schemas.openxmlformats.org/officeDocument/2006/relationships/hyperlink" Target="#Risikomgmt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hyperlink" Target="#Analyse!A1"/><Relationship Id="rId1" Type="http://schemas.openxmlformats.org/officeDocument/2006/relationships/hyperlink" Target="http://www.2imanagement.ch/?id=57&amp;helpdesk&amp;topic=117" TargetMode="External"/><Relationship Id="rId4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Analyse!C5"/><Relationship Id="rId7" Type="http://schemas.openxmlformats.org/officeDocument/2006/relationships/image" Target="../media/image1.emf"/><Relationship Id="rId2" Type="http://schemas.openxmlformats.org/officeDocument/2006/relationships/hyperlink" Target="http://www.2imanagement.ch/?id=57&amp;helpdesk&amp;topic=117" TargetMode="External"/><Relationship Id="rId1" Type="http://schemas.openxmlformats.org/officeDocument/2006/relationships/chart" Target="../charts/chart2.xml"/><Relationship Id="rId6" Type="http://schemas.openxmlformats.org/officeDocument/2006/relationships/hyperlink" Target="#Prozesse!C5"/><Relationship Id="rId5" Type="http://schemas.openxmlformats.org/officeDocument/2006/relationships/image" Target="../media/image4.gif"/><Relationship Id="rId4" Type="http://schemas.openxmlformats.org/officeDocument/2006/relationships/hyperlink" Target="#Prozesse!A57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Analyse!C5"/><Relationship Id="rId7" Type="http://schemas.openxmlformats.org/officeDocument/2006/relationships/image" Target="../media/image1.emf"/><Relationship Id="rId2" Type="http://schemas.openxmlformats.org/officeDocument/2006/relationships/hyperlink" Target="http://www.2imanagement.ch/?id=57&amp;helpdesk&amp;topic=117" TargetMode="External"/><Relationship Id="rId1" Type="http://schemas.openxmlformats.org/officeDocument/2006/relationships/chart" Target="../charts/chart3.xml"/><Relationship Id="rId6" Type="http://schemas.openxmlformats.org/officeDocument/2006/relationships/hyperlink" Target="#Fehler!C5"/><Relationship Id="rId5" Type="http://schemas.openxmlformats.org/officeDocument/2006/relationships/image" Target="../media/image4.gif"/><Relationship Id="rId4" Type="http://schemas.openxmlformats.org/officeDocument/2006/relationships/hyperlink" Target="#Fehler!A57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2imanagement.ch/?id=57&amp;helpdesk&amp;topic=117" TargetMode="External"/><Relationship Id="rId2" Type="http://schemas.openxmlformats.org/officeDocument/2006/relationships/hyperlink" Target="#Analyse!A1"/><Relationship Id="rId1" Type="http://schemas.openxmlformats.org/officeDocument/2006/relationships/image" Target="../media/image5.png"/><Relationship Id="rId4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http://www.2imanagement.ch/?id=57&amp;helpdesk&amp;topic=117" TargetMode="External"/><Relationship Id="rId7" Type="http://schemas.openxmlformats.org/officeDocument/2006/relationships/image" Target="../media/image1.emf"/><Relationship Id="rId2" Type="http://schemas.openxmlformats.org/officeDocument/2006/relationships/image" Target="../media/image4.gif"/><Relationship Id="rId1" Type="http://schemas.openxmlformats.org/officeDocument/2006/relationships/hyperlink" Target="#graph_stakeholder"/><Relationship Id="rId6" Type="http://schemas.openxmlformats.org/officeDocument/2006/relationships/chart" Target="../charts/chart4.xml"/><Relationship Id="rId5" Type="http://schemas.openxmlformats.org/officeDocument/2006/relationships/hyperlink" Target="#Analyse!A1"/><Relationship Id="rId4" Type="http://schemas.openxmlformats.org/officeDocument/2006/relationships/hyperlink" Target="#Stakeholder!C5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Analyse!C5"/><Relationship Id="rId7" Type="http://schemas.openxmlformats.org/officeDocument/2006/relationships/image" Target="../media/image1.emf"/><Relationship Id="rId2" Type="http://schemas.openxmlformats.org/officeDocument/2006/relationships/hyperlink" Target="http://www.2imanagement.ch/?id=57&amp;helpdesk&amp;topic=117" TargetMode="External"/><Relationship Id="rId1" Type="http://schemas.openxmlformats.org/officeDocument/2006/relationships/chart" Target="../charts/chart5.xml"/><Relationship Id="rId6" Type="http://schemas.openxmlformats.org/officeDocument/2006/relationships/hyperlink" Target="#Reklamationen!C5"/><Relationship Id="rId5" Type="http://schemas.openxmlformats.org/officeDocument/2006/relationships/image" Target="../media/image4.gif"/><Relationship Id="rId4" Type="http://schemas.openxmlformats.org/officeDocument/2006/relationships/hyperlink" Target="#Reklamationen!A57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2imanagement.ch/?id=57&amp;helpdesk&amp;topic=117" TargetMode="External"/><Relationship Id="rId2" Type="http://schemas.openxmlformats.org/officeDocument/2006/relationships/chart" Target="../charts/chart6.xml"/><Relationship Id="rId1" Type="http://schemas.openxmlformats.org/officeDocument/2006/relationships/image" Target="../media/image6.emf"/><Relationship Id="rId5" Type="http://schemas.openxmlformats.org/officeDocument/2006/relationships/image" Target="../media/image1.emf"/><Relationship Id="rId4" Type="http://schemas.openxmlformats.org/officeDocument/2006/relationships/hyperlink" Target="#Analyse!C5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top"/><Relationship Id="rId3" Type="http://schemas.openxmlformats.org/officeDocument/2006/relationships/hyperlink" Target="#Trends!C54"/><Relationship Id="rId7" Type="http://schemas.openxmlformats.org/officeDocument/2006/relationships/hyperlink" Target="#Trends!C26"/><Relationship Id="rId2" Type="http://schemas.openxmlformats.org/officeDocument/2006/relationships/hyperlink" Target="#Trends!C40"/><Relationship Id="rId1" Type="http://schemas.openxmlformats.org/officeDocument/2006/relationships/chart" Target="../charts/chart7.xml"/><Relationship Id="rId6" Type="http://schemas.openxmlformats.org/officeDocument/2006/relationships/hyperlink" Target="#Trends!C96"/><Relationship Id="rId11" Type="http://schemas.openxmlformats.org/officeDocument/2006/relationships/image" Target="../media/image1.emf"/><Relationship Id="rId5" Type="http://schemas.openxmlformats.org/officeDocument/2006/relationships/hyperlink" Target="#Trends!C82"/><Relationship Id="rId10" Type="http://schemas.openxmlformats.org/officeDocument/2006/relationships/hyperlink" Target="#Analyse!C5"/><Relationship Id="rId4" Type="http://schemas.openxmlformats.org/officeDocument/2006/relationships/hyperlink" Target="#Trends!C68"/><Relationship Id="rId9" Type="http://schemas.openxmlformats.org/officeDocument/2006/relationships/hyperlink" Target="http://www.2imanagement.ch/?id=57&amp;helpdesk&amp;topic=117" TargetMode="Externa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Analyse!C5"/><Relationship Id="rId2" Type="http://schemas.openxmlformats.org/officeDocument/2006/relationships/hyperlink" Target="http://www.2imanagement.ch/?id=57&amp;helpdesk&amp;topic=117" TargetMode="External"/><Relationship Id="rId1" Type="http://schemas.openxmlformats.org/officeDocument/2006/relationships/hyperlink" Target="http://www.trendwatching.com/trends/consumertrendcanvas/" TargetMode="External"/><Relationship Id="rId4" Type="http://schemas.openxmlformats.org/officeDocument/2006/relationships/image" Target="../media/image1.emf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2imanagement.ch/?id=57&amp;helpdesk&amp;topic=117" TargetMode="External"/><Relationship Id="rId2" Type="http://schemas.openxmlformats.org/officeDocument/2006/relationships/chart" Target="../charts/chart8.xml"/><Relationship Id="rId1" Type="http://schemas.openxmlformats.org/officeDocument/2006/relationships/image" Target="../media/image8.emf"/><Relationship Id="rId5" Type="http://schemas.openxmlformats.org/officeDocument/2006/relationships/image" Target="../media/image1.emf"/><Relationship Id="rId4" Type="http://schemas.openxmlformats.org/officeDocument/2006/relationships/hyperlink" Target="#Analyse!C5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chart" Target="../charts/chart9.xml"/><Relationship Id="rId7" Type="http://schemas.openxmlformats.org/officeDocument/2006/relationships/hyperlink" Target="#Analyse!C5"/><Relationship Id="rId2" Type="http://schemas.openxmlformats.org/officeDocument/2006/relationships/hyperlink" Target="#top_swot"/><Relationship Id="rId1" Type="http://schemas.openxmlformats.org/officeDocument/2006/relationships/hyperlink" Target="http://www.2imanagement.ch/?id=57&amp;helpdesk&amp;topic=117" TargetMode="External"/><Relationship Id="rId6" Type="http://schemas.openxmlformats.org/officeDocument/2006/relationships/image" Target="../media/image11.emf"/><Relationship Id="rId5" Type="http://schemas.openxmlformats.org/officeDocument/2006/relationships/chart" Target="../charts/chart10.xml"/><Relationship Id="rId4" Type="http://schemas.openxmlformats.org/officeDocument/2006/relationships/image" Target="../media/image10.emf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hyperlink" Target="#Chances!top_chances"/><Relationship Id="rId3" Type="http://schemas.openxmlformats.org/officeDocument/2006/relationships/hyperlink" Target="http://www.businessmodelgeneration.com/canvas" TargetMode="External"/><Relationship Id="rId7" Type="http://schemas.openxmlformats.org/officeDocument/2006/relationships/hyperlink" Target="#top_forces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hyperlink" Target="http://www.2imanagement.ch/?id=57&amp;helpdesk&amp;topic=117" TargetMode="External"/><Relationship Id="rId5" Type="http://schemas.openxmlformats.org/officeDocument/2006/relationships/image" Target="../media/image17.png"/><Relationship Id="rId10" Type="http://schemas.openxmlformats.org/officeDocument/2006/relationships/image" Target="../media/image1.emf"/><Relationship Id="rId4" Type="http://schemas.openxmlformats.org/officeDocument/2006/relationships/image" Target="../media/image16.png"/><Relationship Id="rId9" Type="http://schemas.openxmlformats.org/officeDocument/2006/relationships/hyperlink" Target="#Analyse!C5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.png"/><Relationship Id="rId13" Type="http://schemas.openxmlformats.org/officeDocument/2006/relationships/chart" Target="../charts/chart11.xml"/><Relationship Id="rId18" Type="http://schemas.openxmlformats.org/officeDocument/2006/relationships/chart" Target="../charts/chart14.xml"/><Relationship Id="rId26" Type="http://schemas.openxmlformats.org/officeDocument/2006/relationships/image" Target="../media/image1.emf"/><Relationship Id="rId3" Type="http://schemas.openxmlformats.org/officeDocument/2006/relationships/image" Target="../media/image19.png"/><Relationship Id="rId21" Type="http://schemas.openxmlformats.org/officeDocument/2006/relationships/chart" Target="../charts/chart17.xml"/><Relationship Id="rId7" Type="http://schemas.openxmlformats.org/officeDocument/2006/relationships/image" Target="../media/image23.png"/><Relationship Id="rId12" Type="http://schemas.openxmlformats.org/officeDocument/2006/relationships/hyperlink" Target="#Canvas!C6"/><Relationship Id="rId17" Type="http://schemas.openxmlformats.org/officeDocument/2006/relationships/chart" Target="../charts/chart13.xml"/><Relationship Id="rId25" Type="http://schemas.openxmlformats.org/officeDocument/2006/relationships/chart" Target="../charts/chart21.xml"/><Relationship Id="rId2" Type="http://schemas.openxmlformats.org/officeDocument/2006/relationships/image" Target="../media/image18.png"/><Relationship Id="rId16" Type="http://schemas.openxmlformats.org/officeDocument/2006/relationships/chart" Target="../charts/chart12.xml"/><Relationship Id="rId20" Type="http://schemas.openxmlformats.org/officeDocument/2006/relationships/chart" Target="../charts/chart16.xml"/><Relationship Id="rId1" Type="http://schemas.openxmlformats.org/officeDocument/2006/relationships/hyperlink" Target="http://www.2imanagement.ch/?id=57&amp;helpdesk&amp;topic=117" TargetMode="External"/><Relationship Id="rId6" Type="http://schemas.openxmlformats.org/officeDocument/2006/relationships/image" Target="../media/image22.png"/><Relationship Id="rId11" Type="http://schemas.openxmlformats.org/officeDocument/2006/relationships/hyperlink" Target="#top_forces"/><Relationship Id="rId24" Type="http://schemas.openxmlformats.org/officeDocument/2006/relationships/chart" Target="../charts/chart20.xml"/><Relationship Id="rId5" Type="http://schemas.openxmlformats.org/officeDocument/2006/relationships/image" Target="../media/image21.png"/><Relationship Id="rId15" Type="http://schemas.openxmlformats.org/officeDocument/2006/relationships/image" Target="../media/image4.gif"/><Relationship Id="rId23" Type="http://schemas.openxmlformats.org/officeDocument/2006/relationships/chart" Target="../charts/chart19.xml"/><Relationship Id="rId10" Type="http://schemas.openxmlformats.org/officeDocument/2006/relationships/image" Target="../media/image26.png"/><Relationship Id="rId19" Type="http://schemas.openxmlformats.org/officeDocument/2006/relationships/chart" Target="../charts/chart15.xml"/><Relationship Id="rId4" Type="http://schemas.openxmlformats.org/officeDocument/2006/relationships/image" Target="../media/image20.png"/><Relationship Id="rId9" Type="http://schemas.openxmlformats.org/officeDocument/2006/relationships/image" Target="../media/image25.png"/><Relationship Id="rId14" Type="http://schemas.openxmlformats.org/officeDocument/2006/relationships/hyperlink" Target="#graph_forces"/><Relationship Id="rId22" Type="http://schemas.openxmlformats.org/officeDocument/2006/relationships/chart" Target="../charts/chart18.xml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.png"/><Relationship Id="rId13" Type="http://schemas.openxmlformats.org/officeDocument/2006/relationships/chart" Target="../charts/chart22.xml"/><Relationship Id="rId18" Type="http://schemas.openxmlformats.org/officeDocument/2006/relationships/chart" Target="../charts/chart25.xml"/><Relationship Id="rId26" Type="http://schemas.openxmlformats.org/officeDocument/2006/relationships/image" Target="../media/image1.emf"/><Relationship Id="rId3" Type="http://schemas.openxmlformats.org/officeDocument/2006/relationships/image" Target="../media/image19.png"/><Relationship Id="rId21" Type="http://schemas.openxmlformats.org/officeDocument/2006/relationships/chart" Target="../charts/chart28.xml"/><Relationship Id="rId7" Type="http://schemas.openxmlformats.org/officeDocument/2006/relationships/image" Target="../media/image23.png"/><Relationship Id="rId12" Type="http://schemas.openxmlformats.org/officeDocument/2006/relationships/hyperlink" Target="#Canvas!C25"/><Relationship Id="rId17" Type="http://schemas.openxmlformats.org/officeDocument/2006/relationships/chart" Target="../charts/chart24.xml"/><Relationship Id="rId25" Type="http://schemas.openxmlformats.org/officeDocument/2006/relationships/chart" Target="../charts/chart32.xml"/><Relationship Id="rId2" Type="http://schemas.openxmlformats.org/officeDocument/2006/relationships/image" Target="../media/image18.png"/><Relationship Id="rId16" Type="http://schemas.openxmlformats.org/officeDocument/2006/relationships/chart" Target="../charts/chart23.xml"/><Relationship Id="rId20" Type="http://schemas.openxmlformats.org/officeDocument/2006/relationships/chart" Target="../charts/chart27.xml"/><Relationship Id="rId1" Type="http://schemas.openxmlformats.org/officeDocument/2006/relationships/hyperlink" Target="http://www.2imanagement.ch/?id=57&amp;helpdesk&amp;topic=117" TargetMode="External"/><Relationship Id="rId6" Type="http://schemas.openxmlformats.org/officeDocument/2006/relationships/image" Target="../media/image22.png"/><Relationship Id="rId11" Type="http://schemas.openxmlformats.org/officeDocument/2006/relationships/hyperlink" Target="#Chances!top_chances"/><Relationship Id="rId24" Type="http://schemas.openxmlformats.org/officeDocument/2006/relationships/chart" Target="../charts/chart31.xml"/><Relationship Id="rId5" Type="http://schemas.openxmlformats.org/officeDocument/2006/relationships/image" Target="../media/image21.png"/><Relationship Id="rId15" Type="http://schemas.openxmlformats.org/officeDocument/2006/relationships/image" Target="../media/image4.gif"/><Relationship Id="rId23" Type="http://schemas.openxmlformats.org/officeDocument/2006/relationships/chart" Target="../charts/chart30.xml"/><Relationship Id="rId10" Type="http://schemas.openxmlformats.org/officeDocument/2006/relationships/image" Target="../media/image26.png"/><Relationship Id="rId19" Type="http://schemas.openxmlformats.org/officeDocument/2006/relationships/chart" Target="../charts/chart26.xml"/><Relationship Id="rId4" Type="http://schemas.openxmlformats.org/officeDocument/2006/relationships/image" Target="../media/image20.png"/><Relationship Id="rId9" Type="http://schemas.openxmlformats.org/officeDocument/2006/relationships/image" Target="../media/image25.png"/><Relationship Id="rId14" Type="http://schemas.openxmlformats.org/officeDocument/2006/relationships/hyperlink" Target="#Chances!graph_chances"/><Relationship Id="rId22" Type="http://schemas.openxmlformats.org/officeDocument/2006/relationships/chart" Target="../charts/chart29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#Strategie_1"/><Relationship Id="rId2" Type="http://schemas.openxmlformats.org/officeDocument/2006/relationships/image" Target="../media/image3.png"/><Relationship Id="rId1" Type="http://schemas.openxmlformats.org/officeDocument/2006/relationships/hyperlink" Target="#'Menu Innovation'!A1"/><Relationship Id="rId6" Type="http://schemas.openxmlformats.org/officeDocument/2006/relationships/image" Target="../media/image1.emf"/><Relationship Id="rId5" Type="http://schemas.openxmlformats.org/officeDocument/2006/relationships/hyperlink" Target="#Cockpit!C7"/><Relationship Id="rId4" Type="http://schemas.openxmlformats.org/officeDocument/2006/relationships/hyperlink" Target="http://www.2imanagement.ch/?id=57&amp;helpdesk&amp;topic=117" TargetMode="Externa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gif"/><Relationship Id="rId7" Type="http://schemas.openxmlformats.org/officeDocument/2006/relationships/image" Target="../media/image1.emf"/><Relationship Id="rId2" Type="http://schemas.openxmlformats.org/officeDocument/2006/relationships/hyperlink" Target="#Graph_Kunden"/><Relationship Id="rId1" Type="http://schemas.openxmlformats.org/officeDocument/2006/relationships/hyperlink" Target="http://www.2imanagement.ch/?id=57&amp;helpdesk&amp;topic=117" TargetMode="External"/><Relationship Id="rId6" Type="http://schemas.openxmlformats.org/officeDocument/2006/relationships/chart" Target="../charts/chart33.xml"/><Relationship Id="rId5" Type="http://schemas.openxmlformats.org/officeDocument/2006/relationships/hyperlink" Target="#IdeenMgmt!A1"/><Relationship Id="rId4" Type="http://schemas.openxmlformats.org/officeDocument/2006/relationships/hyperlink" Target="#KostenNutzen!C5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4.xml"/><Relationship Id="rId2" Type="http://schemas.openxmlformats.org/officeDocument/2006/relationships/hyperlink" Target="#MatrixIdee!A2"/><Relationship Id="rId1" Type="http://schemas.openxmlformats.org/officeDocument/2006/relationships/hyperlink" Target="http://www.2imanagement.ch/?id=57&amp;helpdesk&amp;topic=117" TargetMode="External"/><Relationship Id="rId5" Type="http://schemas.openxmlformats.org/officeDocument/2006/relationships/image" Target="../media/image1.emf"/><Relationship Id="rId4" Type="http://schemas.openxmlformats.org/officeDocument/2006/relationships/hyperlink" Target="#IdeenMgmt!C5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hyperlink" Target="#IdeenMgmt!C5"/><Relationship Id="rId1" Type="http://schemas.openxmlformats.org/officeDocument/2006/relationships/hyperlink" Target="http://www.2imanagement.ch/?id=57&amp;helpdesk&amp;topic=117" TargetMode="External"/></Relationships>
</file>

<file path=xl/drawings/_rels/drawing2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#IdeenMgmt!C5"/><Relationship Id="rId7" Type="http://schemas.openxmlformats.org/officeDocument/2006/relationships/chart" Target="../charts/chart36.xml"/><Relationship Id="rId2" Type="http://schemas.openxmlformats.org/officeDocument/2006/relationships/hyperlink" Target="http://www.2imanagement.ch/?id=57&amp;helpdesk&amp;topic=117" TargetMode="External"/><Relationship Id="rId1" Type="http://schemas.openxmlformats.org/officeDocument/2006/relationships/chart" Target="../charts/chart35.xml"/><Relationship Id="rId6" Type="http://schemas.openxmlformats.org/officeDocument/2006/relationships/hyperlink" Target="#Nutzen!C5"/><Relationship Id="rId5" Type="http://schemas.openxmlformats.org/officeDocument/2006/relationships/image" Target="../media/image4.gif"/><Relationship Id="rId4" Type="http://schemas.openxmlformats.org/officeDocument/2006/relationships/hyperlink" Target="#Nutzen!A75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hyperlink" Target="#IdeenMgmt!C5"/><Relationship Id="rId2" Type="http://schemas.openxmlformats.org/officeDocument/2006/relationships/hyperlink" Target="http://www.2imanagement.ch/?id=57&amp;helpdesk&amp;topic=117" TargetMode="External"/><Relationship Id="rId1" Type="http://schemas.openxmlformats.org/officeDocument/2006/relationships/chart" Target="../charts/chart37.xml"/><Relationship Id="rId4" Type="http://schemas.openxmlformats.org/officeDocument/2006/relationships/image" Target="../media/image1.emf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hyperlink" Target="#Massnahmen!C7"/><Relationship Id="rId2" Type="http://schemas.openxmlformats.org/officeDocument/2006/relationships/hyperlink" Target="http://www.2imanagement.ch/?id=57&amp;helpdesk&amp;topic=117" TargetMode="External"/><Relationship Id="rId1" Type="http://schemas.openxmlformats.org/officeDocument/2006/relationships/hyperlink" Target="#Cockpit!J7"/><Relationship Id="rId5" Type="http://schemas.openxmlformats.org/officeDocument/2006/relationships/image" Target="../media/image1.emf"/><Relationship Id="rId4" Type="http://schemas.openxmlformats.org/officeDocument/2006/relationships/hyperlink" Target="#Umsetzung!C5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hyperlink" Target="#Graph_Risk"/><Relationship Id="rId7" Type="http://schemas.openxmlformats.org/officeDocument/2006/relationships/image" Target="../media/image1.emf"/><Relationship Id="rId2" Type="http://schemas.openxmlformats.org/officeDocument/2006/relationships/hyperlink" Target="#Portfolio!C5"/><Relationship Id="rId1" Type="http://schemas.openxmlformats.org/officeDocument/2006/relationships/hyperlink" Target="http://www.2imanagement.ch/?id=57&amp;helpdesk&amp;topic=117" TargetMode="External"/><Relationship Id="rId6" Type="http://schemas.openxmlformats.org/officeDocument/2006/relationships/chart" Target="../charts/chart38.xml"/><Relationship Id="rId5" Type="http://schemas.openxmlformats.org/officeDocument/2006/relationships/hyperlink" Target="#Umsetzung!A1"/><Relationship Id="rId4" Type="http://schemas.openxmlformats.org/officeDocument/2006/relationships/image" Target="../media/image4.gif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hyperlink" Target="#Graph_Risk"/><Relationship Id="rId7" Type="http://schemas.openxmlformats.org/officeDocument/2006/relationships/image" Target="../media/image1.emf"/><Relationship Id="rId2" Type="http://schemas.openxmlformats.org/officeDocument/2006/relationships/hyperlink" Target="#Risikomgmt!C5"/><Relationship Id="rId1" Type="http://schemas.openxmlformats.org/officeDocument/2006/relationships/hyperlink" Target="http://www.2imanagement.ch/?id=57&amp;helpdesk&amp;topic=117" TargetMode="External"/><Relationship Id="rId6" Type="http://schemas.openxmlformats.org/officeDocument/2006/relationships/chart" Target="../charts/chart39.xml"/><Relationship Id="rId5" Type="http://schemas.openxmlformats.org/officeDocument/2006/relationships/hyperlink" Target="#Umsetzung!A1"/><Relationship Id="rId4" Type="http://schemas.openxmlformats.org/officeDocument/2006/relationships/image" Target="../media/image4.gif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hyperlink" Target="#Umsetzung!A1"/><Relationship Id="rId2" Type="http://schemas.openxmlformats.org/officeDocument/2006/relationships/hyperlink" Target="http://www.2imanagement.ch/?id=57&amp;helpdesk&amp;topic=117" TargetMode="External"/><Relationship Id="rId1" Type="http://schemas.openxmlformats.org/officeDocument/2006/relationships/chart" Target="../charts/chart40.xml"/><Relationship Id="rId4" Type="http://schemas.openxmlformats.org/officeDocument/2006/relationships/image" Target="../media/image1.emf"/></Relationships>
</file>

<file path=xl/drawings/_rels/drawing2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3.xml"/><Relationship Id="rId13" Type="http://schemas.openxmlformats.org/officeDocument/2006/relationships/hyperlink" Target="#Kommunikation!C88"/><Relationship Id="rId3" Type="http://schemas.openxmlformats.org/officeDocument/2006/relationships/hyperlink" Target="#Kommunikation!C13"/><Relationship Id="rId7" Type="http://schemas.openxmlformats.org/officeDocument/2006/relationships/hyperlink" Target="#Kommunikation!C46"/><Relationship Id="rId12" Type="http://schemas.openxmlformats.org/officeDocument/2006/relationships/chart" Target="../charts/chart45.xml"/><Relationship Id="rId2" Type="http://schemas.openxmlformats.org/officeDocument/2006/relationships/hyperlink" Target="#top_Porter"/><Relationship Id="rId16" Type="http://schemas.openxmlformats.org/officeDocument/2006/relationships/image" Target="../media/image1.emf"/><Relationship Id="rId1" Type="http://schemas.openxmlformats.org/officeDocument/2006/relationships/hyperlink" Target="http://www.2imanagement.ch/?id=57&amp;helpdesk&amp;topic=117" TargetMode="External"/><Relationship Id="rId6" Type="http://schemas.openxmlformats.org/officeDocument/2006/relationships/chart" Target="../charts/chart42.xml"/><Relationship Id="rId11" Type="http://schemas.openxmlformats.org/officeDocument/2006/relationships/hyperlink" Target="#Kommunikation!C74"/><Relationship Id="rId5" Type="http://schemas.openxmlformats.org/officeDocument/2006/relationships/hyperlink" Target="#Kommunikation!C32"/><Relationship Id="rId15" Type="http://schemas.openxmlformats.org/officeDocument/2006/relationships/hyperlink" Target="#Umsetzung!A1"/><Relationship Id="rId10" Type="http://schemas.openxmlformats.org/officeDocument/2006/relationships/chart" Target="../charts/chart44.xml"/><Relationship Id="rId4" Type="http://schemas.openxmlformats.org/officeDocument/2006/relationships/chart" Target="../charts/chart41.xml"/><Relationship Id="rId9" Type="http://schemas.openxmlformats.org/officeDocument/2006/relationships/hyperlink" Target="#Kommunikation!C60"/><Relationship Id="rId14" Type="http://schemas.openxmlformats.org/officeDocument/2006/relationships/chart" Target="../charts/chart46.xml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image" Target="../media/image28.jpg"/><Relationship Id="rId3" Type="http://schemas.openxmlformats.org/officeDocument/2006/relationships/image" Target="../media/image27.png"/><Relationship Id="rId7" Type="http://schemas.openxmlformats.org/officeDocument/2006/relationships/image" Target="../media/image3.png"/><Relationship Id="rId2" Type="http://schemas.openxmlformats.org/officeDocument/2006/relationships/hyperlink" Target=":/" TargetMode="External"/><Relationship Id="rId1" Type="http://schemas.openxmlformats.org/officeDocument/2006/relationships/hyperlink" Target="01_Cockpit.exe" TargetMode="External"/><Relationship Id="rId6" Type="http://schemas.openxmlformats.org/officeDocument/2006/relationships/hyperlink" Target="#'Menu Innovation'!A1"/><Relationship Id="rId5" Type="http://schemas.openxmlformats.org/officeDocument/2006/relationships/hyperlink" Target="http://2imanagement.ch/18985.html" TargetMode="External"/><Relationship Id="rId4" Type="http://schemas.openxmlformats.org/officeDocument/2006/relationships/hyperlink" Target="#Umsetzung!C5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7" Type="http://schemas.openxmlformats.org/officeDocument/2006/relationships/image" Target="../media/image3.png"/><Relationship Id="rId2" Type="http://schemas.openxmlformats.org/officeDocument/2006/relationships/hyperlink" Target=":/" TargetMode="External"/><Relationship Id="rId1" Type="http://schemas.openxmlformats.org/officeDocument/2006/relationships/hyperlink" Target="02_StrategicManagement.exe" TargetMode="External"/><Relationship Id="rId6" Type="http://schemas.openxmlformats.org/officeDocument/2006/relationships/hyperlink" Target="#'Menu Innovation'!A1"/><Relationship Id="rId5" Type="http://schemas.openxmlformats.org/officeDocument/2006/relationships/image" Target="../media/image29.png"/><Relationship Id="rId4" Type="http://schemas.openxmlformats.org/officeDocument/2006/relationships/hyperlink" Target="http://2imanagement.ch/18922.html" TargetMode="External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7" Type="http://schemas.openxmlformats.org/officeDocument/2006/relationships/image" Target="../media/image3.png"/><Relationship Id="rId2" Type="http://schemas.openxmlformats.org/officeDocument/2006/relationships/hyperlink" Target=":/" TargetMode="External"/><Relationship Id="rId1" Type="http://schemas.openxmlformats.org/officeDocument/2006/relationships/hyperlink" Target="04_BusinessPlan.exe" TargetMode="External"/><Relationship Id="rId6" Type="http://schemas.openxmlformats.org/officeDocument/2006/relationships/hyperlink" Target="#'Menu Innovation'!A1"/><Relationship Id="rId5" Type="http://schemas.openxmlformats.org/officeDocument/2006/relationships/image" Target="../media/image30.png"/><Relationship Id="rId4" Type="http://schemas.openxmlformats.org/officeDocument/2006/relationships/hyperlink" Target="http://2imanagement.ch/19301.html" TargetMode="External"/></Relationships>
</file>

<file path=xl/drawings/_rels/drawing3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27.png"/><Relationship Id="rId7" Type="http://schemas.openxmlformats.org/officeDocument/2006/relationships/hyperlink" Target="#'Menu Innovation'!A1"/><Relationship Id="rId2" Type="http://schemas.openxmlformats.org/officeDocument/2006/relationships/hyperlink" Target=":/" TargetMode="External"/><Relationship Id="rId1" Type="http://schemas.openxmlformats.org/officeDocument/2006/relationships/hyperlink" Target="01_Cockpit.exe#'BSC'!E9" TargetMode="External"/><Relationship Id="rId6" Type="http://schemas.openxmlformats.org/officeDocument/2006/relationships/image" Target="../media/image31.png"/><Relationship Id="rId5" Type="http://schemas.openxmlformats.org/officeDocument/2006/relationships/hyperlink" Target="http://2imanagement.ch/18985.html" TargetMode="External"/><Relationship Id="rId4" Type="http://schemas.openxmlformats.org/officeDocument/2006/relationships/hyperlink" Target="#Umsetzung!C5"/></Relationships>
</file>

<file path=xl/drawings/_rels/drawing3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27.png"/><Relationship Id="rId7" Type="http://schemas.openxmlformats.org/officeDocument/2006/relationships/hyperlink" Target="#'Menu Innovation'!A1"/><Relationship Id="rId2" Type="http://schemas.openxmlformats.org/officeDocument/2006/relationships/hyperlink" Target=":/" TargetMode="External"/><Relationship Id="rId1" Type="http://schemas.openxmlformats.org/officeDocument/2006/relationships/hyperlink" Target="03_ProjectManagement.exe" TargetMode="External"/><Relationship Id="rId6" Type="http://schemas.openxmlformats.org/officeDocument/2006/relationships/image" Target="../media/image32.png"/><Relationship Id="rId5" Type="http://schemas.openxmlformats.org/officeDocument/2006/relationships/hyperlink" Target="http://2imanagement.ch/18901.html" TargetMode="External"/><Relationship Id="rId4" Type="http://schemas.openxmlformats.org/officeDocument/2006/relationships/hyperlink" Target="#Umsetzung!C5"/></Relationships>
</file>

<file path=xl/drawings/_rels/drawing35.xml.rels><?xml version="1.0" encoding="UTF-8" standalone="yes"?>
<Relationships xmlns="http://schemas.openxmlformats.org/package/2006/relationships"><Relationship Id="rId26" Type="http://schemas.openxmlformats.org/officeDocument/2006/relationships/hyperlink" Target="#_o26"/><Relationship Id="rId21" Type="http://schemas.openxmlformats.org/officeDocument/2006/relationships/hyperlink" Target="#_o21"/><Relationship Id="rId42" Type="http://schemas.openxmlformats.org/officeDocument/2006/relationships/hyperlink" Target="#_o43"/><Relationship Id="rId47" Type="http://schemas.openxmlformats.org/officeDocument/2006/relationships/hyperlink" Target="#_o48"/><Relationship Id="rId63" Type="http://schemas.openxmlformats.org/officeDocument/2006/relationships/hyperlink" Target="#_o64"/><Relationship Id="rId68" Type="http://schemas.openxmlformats.org/officeDocument/2006/relationships/hyperlink" Target="#_o69"/><Relationship Id="rId16" Type="http://schemas.openxmlformats.org/officeDocument/2006/relationships/hyperlink" Target="#_o16"/><Relationship Id="rId11" Type="http://schemas.openxmlformats.org/officeDocument/2006/relationships/hyperlink" Target="#_o11"/><Relationship Id="rId32" Type="http://schemas.openxmlformats.org/officeDocument/2006/relationships/hyperlink" Target="#_o32"/><Relationship Id="rId37" Type="http://schemas.openxmlformats.org/officeDocument/2006/relationships/hyperlink" Target="#_o37"/><Relationship Id="rId53" Type="http://schemas.openxmlformats.org/officeDocument/2006/relationships/hyperlink" Target="#_o54"/><Relationship Id="rId58" Type="http://schemas.openxmlformats.org/officeDocument/2006/relationships/hyperlink" Target="#_o59"/><Relationship Id="rId74" Type="http://schemas.openxmlformats.org/officeDocument/2006/relationships/hyperlink" Target="#_o75"/><Relationship Id="rId79" Type="http://schemas.openxmlformats.org/officeDocument/2006/relationships/hyperlink" Target="#_o80"/><Relationship Id="rId5" Type="http://schemas.openxmlformats.org/officeDocument/2006/relationships/hyperlink" Target="#_o5"/><Relationship Id="rId61" Type="http://schemas.openxmlformats.org/officeDocument/2006/relationships/hyperlink" Target="#_o62"/><Relationship Id="rId82" Type="http://schemas.openxmlformats.org/officeDocument/2006/relationships/image" Target="../media/image1.emf"/><Relationship Id="rId19" Type="http://schemas.openxmlformats.org/officeDocument/2006/relationships/hyperlink" Target="#_o19"/><Relationship Id="rId14" Type="http://schemas.openxmlformats.org/officeDocument/2006/relationships/hyperlink" Target="#_o14"/><Relationship Id="rId22" Type="http://schemas.openxmlformats.org/officeDocument/2006/relationships/hyperlink" Target="#_o22"/><Relationship Id="rId27" Type="http://schemas.openxmlformats.org/officeDocument/2006/relationships/hyperlink" Target="#_o27"/><Relationship Id="rId30" Type="http://schemas.openxmlformats.org/officeDocument/2006/relationships/hyperlink" Target="#_o30"/><Relationship Id="rId35" Type="http://schemas.openxmlformats.org/officeDocument/2006/relationships/hyperlink" Target="#_o35"/><Relationship Id="rId43" Type="http://schemas.openxmlformats.org/officeDocument/2006/relationships/hyperlink" Target="#_o44"/><Relationship Id="rId48" Type="http://schemas.openxmlformats.org/officeDocument/2006/relationships/hyperlink" Target="#_o49"/><Relationship Id="rId56" Type="http://schemas.openxmlformats.org/officeDocument/2006/relationships/hyperlink" Target="#_o57"/><Relationship Id="rId64" Type="http://schemas.openxmlformats.org/officeDocument/2006/relationships/hyperlink" Target="#_o65"/><Relationship Id="rId69" Type="http://schemas.openxmlformats.org/officeDocument/2006/relationships/hyperlink" Target="#_o70"/><Relationship Id="rId77" Type="http://schemas.openxmlformats.org/officeDocument/2006/relationships/hyperlink" Target="#_o78"/><Relationship Id="rId8" Type="http://schemas.openxmlformats.org/officeDocument/2006/relationships/hyperlink" Target="#_o8"/><Relationship Id="rId51" Type="http://schemas.openxmlformats.org/officeDocument/2006/relationships/hyperlink" Target="#_o52"/><Relationship Id="rId72" Type="http://schemas.openxmlformats.org/officeDocument/2006/relationships/hyperlink" Target="#_o73"/><Relationship Id="rId80" Type="http://schemas.openxmlformats.org/officeDocument/2006/relationships/hyperlink" Target="#_o41"/><Relationship Id="rId3" Type="http://schemas.openxmlformats.org/officeDocument/2006/relationships/hyperlink" Target="#_o3"/><Relationship Id="rId12" Type="http://schemas.openxmlformats.org/officeDocument/2006/relationships/hyperlink" Target="#_o12"/><Relationship Id="rId17" Type="http://schemas.openxmlformats.org/officeDocument/2006/relationships/hyperlink" Target="#_o17"/><Relationship Id="rId25" Type="http://schemas.openxmlformats.org/officeDocument/2006/relationships/hyperlink" Target="#_o25"/><Relationship Id="rId33" Type="http://schemas.openxmlformats.org/officeDocument/2006/relationships/hyperlink" Target="#_o33"/><Relationship Id="rId38" Type="http://schemas.openxmlformats.org/officeDocument/2006/relationships/hyperlink" Target="#_o38"/><Relationship Id="rId46" Type="http://schemas.openxmlformats.org/officeDocument/2006/relationships/hyperlink" Target="#_o47"/><Relationship Id="rId59" Type="http://schemas.openxmlformats.org/officeDocument/2006/relationships/hyperlink" Target="#_o60"/><Relationship Id="rId67" Type="http://schemas.openxmlformats.org/officeDocument/2006/relationships/hyperlink" Target="#_o68"/><Relationship Id="rId20" Type="http://schemas.openxmlformats.org/officeDocument/2006/relationships/hyperlink" Target="#_o20"/><Relationship Id="rId41" Type="http://schemas.openxmlformats.org/officeDocument/2006/relationships/hyperlink" Target="#_o42"/><Relationship Id="rId54" Type="http://schemas.openxmlformats.org/officeDocument/2006/relationships/hyperlink" Target="#_o55"/><Relationship Id="rId62" Type="http://schemas.openxmlformats.org/officeDocument/2006/relationships/hyperlink" Target="#_o63"/><Relationship Id="rId70" Type="http://schemas.openxmlformats.org/officeDocument/2006/relationships/hyperlink" Target="#_o71"/><Relationship Id="rId75" Type="http://schemas.openxmlformats.org/officeDocument/2006/relationships/hyperlink" Target="#_o76"/><Relationship Id="rId1" Type="http://schemas.openxmlformats.org/officeDocument/2006/relationships/hyperlink" Target="#_o1"/><Relationship Id="rId6" Type="http://schemas.openxmlformats.org/officeDocument/2006/relationships/hyperlink" Target="#_o6"/><Relationship Id="rId15" Type="http://schemas.openxmlformats.org/officeDocument/2006/relationships/hyperlink" Target="#_o15"/><Relationship Id="rId23" Type="http://schemas.openxmlformats.org/officeDocument/2006/relationships/hyperlink" Target="#_o23"/><Relationship Id="rId28" Type="http://schemas.openxmlformats.org/officeDocument/2006/relationships/hyperlink" Target="#_o28"/><Relationship Id="rId36" Type="http://schemas.openxmlformats.org/officeDocument/2006/relationships/hyperlink" Target="#_o36"/><Relationship Id="rId49" Type="http://schemas.openxmlformats.org/officeDocument/2006/relationships/hyperlink" Target="#_o50"/><Relationship Id="rId57" Type="http://schemas.openxmlformats.org/officeDocument/2006/relationships/hyperlink" Target="#_o58"/><Relationship Id="rId10" Type="http://schemas.openxmlformats.org/officeDocument/2006/relationships/hyperlink" Target="#_o10"/><Relationship Id="rId31" Type="http://schemas.openxmlformats.org/officeDocument/2006/relationships/hyperlink" Target="#_o31"/><Relationship Id="rId44" Type="http://schemas.openxmlformats.org/officeDocument/2006/relationships/hyperlink" Target="#_o45"/><Relationship Id="rId52" Type="http://schemas.openxmlformats.org/officeDocument/2006/relationships/hyperlink" Target="#_o53"/><Relationship Id="rId60" Type="http://schemas.openxmlformats.org/officeDocument/2006/relationships/hyperlink" Target="#_o61"/><Relationship Id="rId65" Type="http://schemas.openxmlformats.org/officeDocument/2006/relationships/hyperlink" Target="#_o66"/><Relationship Id="rId73" Type="http://schemas.openxmlformats.org/officeDocument/2006/relationships/hyperlink" Target="#_o74"/><Relationship Id="rId78" Type="http://schemas.openxmlformats.org/officeDocument/2006/relationships/hyperlink" Target="#_o79"/><Relationship Id="rId81" Type="http://schemas.openxmlformats.org/officeDocument/2006/relationships/hyperlink" Target="http://www.2imanagement.ch/?id=57&amp;helpdesk&amp;topic=117" TargetMode="External"/><Relationship Id="rId4" Type="http://schemas.openxmlformats.org/officeDocument/2006/relationships/hyperlink" Target="#_o4"/><Relationship Id="rId9" Type="http://schemas.openxmlformats.org/officeDocument/2006/relationships/hyperlink" Target="#_o9"/><Relationship Id="rId13" Type="http://schemas.openxmlformats.org/officeDocument/2006/relationships/hyperlink" Target="#_o13"/><Relationship Id="rId18" Type="http://schemas.openxmlformats.org/officeDocument/2006/relationships/hyperlink" Target="#_o18"/><Relationship Id="rId39" Type="http://schemas.openxmlformats.org/officeDocument/2006/relationships/hyperlink" Target="#_o39"/><Relationship Id="rId34" Type="http://schemas.openxmlformats.org/officeDocument/2006/relationships/hyperlink" Target="#_o34"/><Relationship Id="rId50" Type="http://schemas.openxmlformats.org/officeDocument/2006/relationships/hyperlink" Target="#_o51"/><Relationship Id="rId55" Type="http://schemas.openxmlformats.org/officeDocument/2006/relationships/hyperlink" Target="#_o56"/><Relationship Id="rId76" Type="http://schemas.openxmlformats.org/officeDocument/2006/relationships/hyperlink" Target="#_o77"/><Relationship Id="rId7" Type="http://schemas.openxmlformats.org/officeDocument/2006/relationships/hyperlink" Target="#_o7"/><Relationship Id="rId71" Type="http://schemas.openxmlformats.org/officeDocument/2006/relationships/hyperlink" Target="#_o72"/><Relationship Id="rId2" Type="http://schemas.openxmlformats.org/officeDocument/2006/relationships/hyperlink" Target="#_o2"/><Relationship Id="rId29" Type="http://schemas.openxmlformats.org/officeDocument/2006/relationships/hyperlink" Target="#_o29"/><Relationship Id="rId24" Type="http://schemas.openxmlformats.org/officeDocument/2006/relationships/hyperlink" Target="#_o24"/><Relationship Id="rId40" Type="http://schemas.openxmlformats.org/officeDocument/2006/relationships/hyperlink" Target="#_o40"/><Relationship Id="rId45" Type="http://schemas.openxmlformats.org/officeDocument/2006/relationships/hyperlink" Target="#_o46"/><Relationship Id="rId66" Type="http://schemas.openxmlformats.org/officeDocument/2006/relationships/hyperlink" Target="#_o67"/></Relationships>
</file>

<file path=xl/drawings/_rels/drawing36.xml.rels><?xml version="1.0" encoding="UTF-8" standalone="yes"?>
<Relationships xmlns="http://schemas.openxmlformats.org/package/2006/relationships"><Relationship Id="rId13" Type="http://schemas.openxmlformats.org/officeDocument/2006/relationships/hyperlink" Target="#__s13"/><Relationship Id="rId18" Type="http://schemas.openxmlformats.org/officeDocument/2006/relationships/hyperlink" Target="#__s18"/><Relationship Id="rId26" Type="http://schemas.openxmlformats.org/officeDocument/2006/relationships/hyperlink" Target="#__s26"/><Relationship Id="rId39" Type="http://schemas.openxmlformats.org/officeDocument/2006/relationships/hyperlink" Target="#__s39"/><Relationship Id="rId21" Type="http://schemas.openxmlformats.org/officeDocument/2006/relationships/hyperlink" Target="#__s21"/><Relationship Id="rId34" Type="http://schemas.openxmlformats.org/officeDocument/2006/relationships/hyperlink" Target="#__s34"/><Relationship Id="rId42" Type="http://schemas.openxmlformats.org/officeDocument/2006/relationships/image" Target="../media/image1.emf"/><Relationship Id="rId7" Type="http://schemas.openxmlformats.org/officeDocument/2006/relationships/hyperlink" Target="#__s7"/><Relationship Id="rId2" Type="http://schemas.openxmlformats.org/officeDocument/2006/relationships/hyperlink" Target="#__s2"/><Relationship Id="rId16" Type="http://schemas.openxmlformats.org/officeDocument/2006/relationships/hyperlink" Target="#__s16"/><Relationship Id="rId20" Type="http://schemas.openxmlformats.org/officeDocument/2006/relationships/hyperlink" Target="#__s20"/><Relationship Id="rId29" Type="http://schemas.openxmlformats.org/officeDocument/2006/relationships/hyperlink" Target="#__s29"/><Relationship Id="rId41" Type="http://schemas.openxmlformats.org/officeDocument/2006/relationships/hyperlink" Target="http://www.2imanagement.ch/?id=57&amp;helpdesk&amp;topic=117" TargetMode="External"/><Relationship Id="rId1" Type="http://schemas.openxmlformats.org/officeDocument/2006/relationships/hyperlink" Target="#__s1"/><Relationship Id="rId6" Type="http://schemas.openxmlformats.org/officeDocument/2006/relationships/hyperlink" Target="#__s6"/><Relationship Id="rId11" Type="http://schemas.openxmlformats.org/officeDocument/2006/relationships/hyperlink" Target="#__s11"/><Relationship Id="rId24" Type="http://schemas.openxmlformats.org/officeDocument/2006/relationships/hyperlink" Target="#__s24"/><Relationship Id="rId32" Type="http://schemas.openxmlformats.org/officeDocument/2006/relationships/hyperlink" Target="#__s32"/><Relationship Id="rId37" Type="http://schemas.openxmlformats.org/officeDocument/2006/relationships/hyperlink" Target="#__s37"/><Relationship Id="rId40" Type="http://schemas.openxmlformats.org/officeDocument/2006/relationships/hyperlink" Target="#__s40"/><Relationship Id="rId5" Type="http://schemas.openxmlformats.org/officeDocument/2006/relationships/hyperlink" Target="#__s5"/><Relationship Id="rId15" Type="http://schemas.openxmlformats.org/officeDocument/2006/relationships/hyperlink" Target="#__s15"/><Relationship Id="rId23" Type="http://schemas.openxmlformats.org/officeDocument/2006/relationships/hyperlink" Target="#__s23"/><Relationship Id="rId28" Type="http://schemas.openxmlformats.org/officeDocument/2006/relationships/hyperlink" Target="#__s28"/><Relationship Id="rId36" Type="http://schemas.openxmlformats.org/officeDocument/2006/relationships/hyperlink" Target="#__s36"/><Relationship Id="rId10" Type="http://schemas.openxmlformats.org/officeDocument/2006/relationships/hyperlink" Target="#__s10"/><Relationship Id="rId19" Type="http://schemas.openxmlformats.org/officeDocument/2006/relationships/hyperlink" Target="#__s19"/><Relationship Id="rId31" Type="http://schemas.openxmlformats.org/officeDocument/2006/relationships/hyperlink" Target="#__s31"/><Relationship Id="rId4" Type="http://schemas.openxmlformats.org/officeDocument/2006/relationships/hyperlink" Target="#__s4"/><Relationship Id="rId9" Type="http://schemas.openxmlformats.org/officeDocument/2006/relationships/hyperlink" Target="#__s9"/><Relationship Id="rId14" Type="http://schemas.openxmlformats.org/officeDocument/2006/relationships/hyperlink" Target="#__s14"/><Relationship Id="rId22" Type="http://schemas.openxmlformats.org/officeDocument/2006/relationships/hyperlink" Target="#__s22"/><Relationship Id="rId27" Type="http://schemas.openxmlformats.org/officeDocument/2006/relationships/hyperlink" Target="#__s27"/><Relationship Id="rId30" Type="http://schemas.openxmlformats.org/officeDocument/2006/relationships/hyperlink" Target="#__s30"/><Relationship Id="rId35" Type="http://schemas.openxmlformats.org/officeDocument/2006/relationships/hyperlink" Target="#__s35"/><Relationship Id="rId8" Type="http://schemas.openxmlformats.org/officeDocument/2006/relationships/hyperlink" Target="#__s8"/><Relationship Id="rId3" Type="http://schemas.openxmlformats.org/officeDocument/2006/relationships/hyperlink" Target="#__s3"/><Relationship Id="rId12" Type="http://schemas.openxmlformats.org/officeDocument/2006/relationships/hyperlink" Target="#__s12"/><Relationship Id="rId17" Type="http://schemas.openxmlformats.org/officeDocument/2006/relationships/hyperlink" Target="#__s17"/><Relationship Id="rId25" Type="http://schemas.openxmlformats.org/officeDocument/2006/relationships/hyperlink" Target="#__s25"/><Relationship Id="rId33" Type="http://schemas.openxmlformats.org/officeDocument/2006/relationships/hyperlink" Target="#__s33"/><Relationship Id="rId38" Type="http://schemas.openxmlformats.org/officeDocument/2006/relationships/hyperlink" Target="#__s38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jpeg"/><Relationship Id="rId2" Type="http://schemas.openxmlformats.org/officeDocument/2006/relationships/image" Target="../media/image3.png"/><Relationship Id="rId1" Type="http://schemas.openxmlformats.org/officeDocument/2006/relationships/hyperlink" Target="#'Menu Innovation'!A1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7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9.emf"/></Relationships>
</file>

<file path=xl/drawings/_rels/vmlDrawing16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3.emf"/><Relationship Id="rId1" Type="http://schemas.openxmlformats.org/officeDocument/2006/relationships/image" Target="../media/image1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28576</xdr:colOff>
      <xdr:row>2</xdr:row>
      <xdr:rowOff>95250</xdr:rowOff>
    </xdr:from>
    <xdr:to>
      <xdr:col>5</xdr:col>
      <xdr:colOff>735601</xdr:colOff>
      <xdr:row>32</xdr:row>
      <xdr:rowOff>175125</xdr:rowOff>
    </xdr:to>
    <xdr:grpSp>
      <xdr:nvGrpSpPr>
        <xdr:cNvPr id="2" name="Gruppier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516256" y="948690"/>
          <a:ext cx="2459625" cy="5429115"/>
          <a:chOff x="714376" y="923925"/>
          <a:chExt cx="2412000" cy="5652000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>
            <a:off x="714376" y="923925"/>
            <a:ext cx="2412000" cy="5652000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  <xdr:sp macro="" textlink="' '!A7">
        <xdr:nvSpPr>
          <xdr:cNvPr id="4" name="Textfeld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/>
        </xdr:nvSpPr>
        <xdr:spPr>
          <a:xfrm>
            <a:off x="970821" y="981075"/>
            <a:ext cx="1899111" cy="374141"/>
          </a:xfrm>
          <a:prstGeom prst="rect">
            <a:avLst/>
          </a:prstGeom>
          <a:noFill/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wrap="square" lIns="0" tIns="0" rIns="0" bIns="0" rtlCol="0" anchor="ctr"/>
          <a:lstStyle/>
          <a:p>
            <a:pPr marL="0" indent="0" algn="ctr" defTabSz="914400" rtl="0" eaLnBrk="1" latinLnBrk="0" hangingPunct="1"/>
            <a:fld id="{11CD850B-7E86-44F3-BDA4-AD2340DF5162}" type="TxLink">
              <a:rPr lang="en-US" sz="1800" b="0" i="0" u="none" strike="noStrike" kern="1200">
                <a:solidFill>
                  <a:schemeClr val="bg1">
                    <a:lumMod val="50000"/>
                  </a:schemeClr>
                </a:solidFill>
                <a:latin typeface="Calibri"/>
                <a:ea typeface=""/>
                <a:cs typeface=""/>
              </a:rPr>
              <a:pPr marL="0" indent="0" algn="ctr" defTabSz="914400" rtl="0" eaLnBrk="1" latinLnBrk="0" hangingPunct="1"/>
              <a:t>Phase d'exploration</a:t>
            </a:fld>
            <a:endParaRPr lang="de-CH" sz="1800" kern="1200">
              <a:solidFill>
                <a:schemeClr val="bg1">
                  <a:lumMod val="50000"/>
                </a:schemeClr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 editAs="oneCell">
    <xdr:from>
      <xdr:col>6</xdr:col>
      <xdr:colOff>104775</xdr:colOff>
      <xdr:row>2</xdr:row>
      <xdr:rowOff>95250</xdr:rowOff>
    </xdr:from>
    <xdr:to>
      <xdr:col>9</xdr:col>
      <xdr:colOff>230775</xdr:colOff>
      <xdr:row>32</xdr:row>
      <xdr:rowOff>175125</xdr:rowOff>
    </xdr:to>
    <xdr:grpSp>
      <xdr:nvGrpSpPr>
        <xdr:cNvPr id="5" name="Gruppier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pSpPr/>
      </xdr:nvGrpSpPr>
      <xdr:grpSpPr>
        <a:xfrm>
          <a:off x="3129915" y="948690"/>
          <a:ext cx="2480580" cy="5429115"/>
          <a:chOff x="3219451" y="923925"/>
          <a:chExt cx="2412000" cy="5652000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>
            <a:off x="3219451" y="923925"/>
            <a:ext cx="2412000" cy="5652000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  <xdr:sp macro="" textlink="' '!A8">
        <xdr:nvSpPr>
          <xdr:cNvPr id="7" name="Textfeld 6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 txBox="1"/>
        </xdr:nvSpPr>
        <xdr:spPr>
          <a:xfrm>
            <a:off x="3475896" y="981075"/>
            <a:ext cx="1899111" cy="374141"/>
          </a:xfrm>
          <a:prstGeom prst="rect">
            <a:avLst/>
          </a:prstGeom>
          <a:noFill/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wrap="square" lIns="0" tIns="0" rIns="0" bIns="0" rtlCol="0" anchor="ctr"/>
          <a:lstStyle/>
          <a:p>
            <a:pPr marL="0" indent="0" algn="ctr" defTabSz="914400" rtl="0" eaLnBrk="1" latinLnBrk="0" hangingPunct="1"/>
            <a:fld id="{BA385015-5E26-4CA0-8E25-071C74CC0212}" type="TxLink">
              <a:rPr lang="en-US" sz="1800" b="0" i="0" u="none" strike="noStrike" kern="1200">
                <a:solidFill>
                  <a:schemeClr val="bg1">
                    <a:lumMod val="50000"/>
                  </a:schemeClr>
                </a:solidFill>
                <a:latin typeface="Calibri"/>
                <a:ea typeface=""/>
                <a:cs typeface="Arial"/>
              </a:rPr>
              <a:pPr marL="0" indent="0" algn="ctr" defTabSz="914400" rtl="0" eaLnBrk="1" latinLnBrk="0" hangingPunct="1"/>
              <a:t>Phase créative</a:t>
            </a:fld>
            <a:endParaRPr lang="de-CH" sz="1800" kern="1200">
              <a:solidFill>
                <a:schemeClr val="bg1">
                  <a:lumMod val="50000"/>
                </a:schemeClr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 editAs="oneCell">
    <xdr:from>
      <xdr:col>9</xdr:col>
      <xdr:colOff>361949</xdr:colOff>
      <xdr:row>2</xdr:row>
      <xdr:rowOff>95250</xdr:rowOff>
    </xdr:from>
    <xdr:to>
      <xdr:col>13</xdr:col>
      <xdr:colOff>4424</xdr:colOff>
      <xdr:row>32</xdr:row>
      <xdr:rowOff>175125</xdr:rowOff>
    </xdr:to>
    <xdr:grpSp>
      <xdr:nvGrpSpPr>
        <xdr:cNvPr id="8" name="Gruppier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pSpPr/>
      </xdr:nvGrpSpPr>
      <xdr:grpSpPr>
        <a:xfrm>
          <a:off x="5741669" y="948690"/>
          <a:ext cx="2789535" cy="5429115"/>
          <a:chOff x="5724525" y="923925"/>
          <a:chExt cx="2412000" cy="5652000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/>
        </xdr:nvSpPr>
        <xdr:spPr>
          <a:xfrm>
            <a:off x="5724525" y="923925"/>
            <a:ext cx="2412000" cy="5652000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  <xdr:sp macro="" textlink="' '!A9">
        <xdr:nvSpPr>
          <xdr:cNvPr id="10" name="Textfeld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SpPr txBox="1"/>
        </xdr:nvSpPr>
        <xdr:spPr>
          <a:xfrm>
            <a:off x="5980970" y="981075"/>
            <a:ext cx="1899111" cy="374141"/>
          </a:xfrm>
          <a:prstGeom prst="rect">
            <a:avLst/>
          </a:prstGeom>
          <a:noFill/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wrap="square" lIns="0" tIns="0" rIns="0" bIns="0" rtlCol="0" anchor="ctr"/>
          <a:lstStyle/>
          <a:p>
            <a:pPr marL="0" indent="0" algn="ctr" defTabSz="914400" rtl="0" eaLnBrk="1" latinLnBrk="0" hangingPunct="1"/>
            <a:fld id="{5E1A2FEA-3C53-4AA7-B5A2-8CAD843D2616}" type="TxLink">
              <a:rPr lang="en-US" sz="1800" b="0" i="0" u="none" strike="noStrike" kern="1200">
                <a:solidFill>
                  <a:schemeClr val="bg1">
                    <a:lumMod val="50000"/>
                  </a:schemeClr>
                </a:solidFill>
                <a:latin typeface="Calibri"/>
                <a:ea typeface=""/>
                <a:cs typeface=""/>
              </a:rPr>
              <a:pPr marL="0" indent="0" algn="ctr" defTabSz="914400" rtl="0" eaLnBrk="1" latinLnBrk="0" hangingPunct="1"/>
              <a:t>Phase de l'innovation</a:t>
            </a:fld>
            <a:endParaRPr lang="de-CH" sz="1800" kern="1200">
              <a:solidFill>
                <a:schemeClr val="bg1">
                  <a:lumMod val="50000"/>
                </a:schemeClr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 editAs="absolute">
    <xdr:from>
      <xdr:col>1</xdr:col>
      <xdr:colOff>28575</xdr:colOff>
      <xdr:row>5</xdr:row>
      <xdr:rowOff>71913</xdr:rowOff>
    </xdr:from>
    <xdr:to>
      <xdr:col>12</xdr:col>
      <xdr:colOff>694875</xdr:colOff>
      <xdr:row>32</xdr:row>
      <xdr:rowOff>33790</xdr:rowOff>
    </xdr:to>
    <xdr:grpSp>
      <xdr:nvGrpSpPr>
        <xdr:cNvPr id="19" name="Gruppieren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GrpSpPr/>
      </xdr:nvGrpSpPr>
      <xdr:grpSpPr>
        <a:xfrm>
          <a:off x="36195" y="1473993"/>
          <a:ext cx="8392980" cy="4762477"/>
          <a:chOff x="-1" y="940593"/>
          <a:chExt cx="8134351" cy="4962502"/>
        </a:xfrm>
      </xdr:grpSpPr>
      <xdr:sp macro="" textlink="' '!A15">
        <xdr:nvSpPr>
          <xdr:cNvPr id="20" name="Textfeld 19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SpPr txBox="1"/>
        </xdr:nvSpPr>
        <xdr:spPr>
          <a:xfrm>
            <a:off x="5158284" y="1009650"/>
            <a:ext cx="1566444" cy="61965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ctr">
            <a:noAutofit/>
          </a:bodyPr>
          <a:lstStyle/>
          <a:p>
            <a:pPr marL="0" indent="0" algn="r"/>
            <a:fld id="{D0B2EEA3-E57D-4140-BD79-974BA7ADD69A}" type="TxLink">
              <a:rPr lang="en-US" sz="1400" b="0" i="0" u="none" strike="noStrike">
                <a:solidFill>
                  <a:schemeClr val="tx2"/>
                </a:solidFill>
                <a:effectLst/>
                <a:latin typeface="+mn-lt"/>
                <a:ea typeface="+mn-ea"/>
                <a:cs typeface="+mn-cs"/>
              </a:rPr>
              <a:pPr marL="0" indent="0" algn="r"/>
              <a:t>Réalisation &amp; Controlling</a:t>
            </a:fld>
            <a:endParaRPr lang="de-CH" sz="1400" b="0" i="0" u="none" strike="noStrike">
              <a:solidFill>
                <a:schemeClr val="tx2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1" name="Form 20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/>
        </xdr:nvSpPr>
        <xdr:spPr>
          <a:xfrm>
            <a:off x="843481" y="940593"/>
            <a:ext cx="7290869" cy="4786312"/>
          </a:xfrm>
          <a:prstGeom prst="swooshArrow">
            <a:avLst>
              <a:gd name="adj1" fmla="val 25000"/>
              <a:gd name="adj2" fmla="val 25000"/>
            </a:avLst>
          </a:prstGeom>
        </xdr:spPr>
        <xdr:style>
          <a:lnRef idx="0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tint val="40000"/>
              <a:hueOff val="0"/>
              <a:satOff val="0"/>
              <a:lumOff val="0"/>
              <a:alphaOff val="0"/>
            </a:schemeClr>
          </a:fillRef>
          <a:effectRef idx="2">
            <a:schemeClr val="accent1">
              <a:tint val="4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2" name="Ellipse 21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SpPr>
            <a:spLocks/>
          </xdr:cNvSpPr>
        </xdr:nvSpPr>
        <xdr:spPr>
          <a:xfrm>
            <a:off x="1561631" y="4499695"/>
            <a:ext cx="179171" cy="180000"/>
          </a:xfrm>
          <a:prstGeom prst="ellipse">
            <a:avLst/>
          </a:prstGeom>
          <a:gradFill>
            <a:gsLst>
              <a:gs pos="0">
                <a:schemeClr val="accent2">
                  <a:lumMod val="75000"/>
                </a:schemeClr>
              </a:gs>
              <a:gs pos="80000">
                <a:schemeClr val="accent2">
                  <a:lumMod val="60000"/>
                  <a:lumOff val="40000"/>
                </a:schemeClr>
              </a:gs>
              <a:gs pos="100000">
                <a:schemeClr val="accent2">
                  <a:lumMod val="40000"/>
                  <a:lumOff val="60000"/>
                </a:schemeClr>
              </a:gs>
            </a:gsLst>
          </a:gradFill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1">
              <a:hueOff val="0"/>
              <a:satOff val="0"/>
              <a:lumOff val="0"/>
              <a:alphaOff val="0"/>
            </a:schemeClr>
          </a:fillRef>
          <a:effectRef idx="2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23" name="Ellipse 22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SpPr>
            <a:spLocks/>
          </xdr:cNvSpPr>
        </xdr:nvSpPr>
        <xdr:spPr>
          <a:xfrm>
            <a:off x="2469343" y="3583594"/>
            <a:ext cx="286673" cy="288000"/>
          </a:xfrm>
          <a:prstGeom prst="ellipse">
            <a:avLst/>
          </a:prstGeom>
          <a:gradFill>
            <a:gsLst>
              <a:gs pos="0">
                <a:schemeClr val="accent4">
                  <a:lumMod val="75000"/>
                </a:schemeClr>
              </a:gs>
              <a:gs pos="80000">
                <a:schemeClr val="accent4">
                  <a:lumMod val="60000"/>
                  <a:lumOff val="40000"/>
                </a:schemeClr>
              </a:gs>
              <a:gs pos="100000">
                <a:schemeClr val="accent4">
                  <a:lumMod val="40000"/>
                  <a:lumOff val="60000"/>
                </a:schemeClr>
              </a:gs>
            </a:gsLst>
          </a:gradFill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1">
              <a:hueOff val="0"/>
              <a:satOff val="0"/>
              <a:lumOff val="0"/>
              <a:alphaOff val="0"/>
            </a:schemeClr>
          </a:fillRef>
          <a:effectRef idx="2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24" name="Ellipse 23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SpPr>
            <a:spLocks/>
          </xdr:cNvSpPr>
        </xdr:nvSpPr>
        <xdr:spPr>
          <a:xfrm>
            <a:off x="3635883" y="2853204"/>
            <a:ext cx="358341" cy="360000"/>
          </a:xfrm>
          <a:prstGeom prst="ellipse">
            <a:avLst/>
          </a:prstGeom>
          <a:gradFill>
            <a:gsLst>
              <a:gs pos="0">
                <a:schemeClr val="accent3">
                  <a:lumMod val="75000"/>
                </a:schemeClr>
              </a:gs>
              <a:gs pos="80000">
                <a:schemeClr val="accent3">
                  <a:lumMod val="60000"/>
                  <a:lumOff val="40000"/>
                </a:schemeClr>
              </a:gs>
              <a:gs pos="100000">
                <a:schemeClr val="accent3">
                  <a:lumMod val="40000"/>
                  <a:lumOff val="60000"/>
                </a:schemeClr>
              </a:gs>
            </a:gsLst>
          </a:gradFill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1">
              <a:hueOff val="0"/>
              <a:satOff val="0"/>
              <a:lumOff val="0"/>
              <a:alphaOff val="0"/>
            </a:schemeClr>
          </a:fillRef>
          <a:effectRef idx="2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25" name="Ellipse 24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SpPr>
            <a:spLocks/>
          </xdr:cNvSpPr>
        </xdr:nvSpPr>
        <xdr:spPr>
          <a:xfrm>
            <a:off x="4991985" y="2282675"/>
            <a:ext cx="465844" cy="468000"/>
          </a:xfrm>
          <a:prstGeom prst="ellipse">
            <a:avLst/>
          </a:prstGeom>
          <a:gradFill>
            <a:gsLst>
              <a:gs pos="0">
                <a:schemeClr val="accent1">
                  <a:lumMod val="75000"/>
                </a:schemeClr>
              </a:gs>
              <a:gs pos="80000">
                <a:schemeClr val="accent1">
                  <a:lumMod val="60000"/>
                  <a:lumOff val="40000"/>
                </a:schemeClr>
              </a:gs>
              <a:gs pos="100000">
                <a:schemeClr val="accent1">
                  <a:lumMod val="40000"/>
                  <a:lumOff val="60000"/>
                </a:schemeClr>
              </a:gs>
            </a:gsLst>
          </a:gradFill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1">
              <a:hueOff val="0"/>
              <a:satOff val="0"/>
              <a:lumOff val="0"/>
              <a:alphaOff val="0"/>
            </a:schemeClr>
          </a:fillRef>
          <a:effectRef idx="2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26" name="Ellipse 2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SpPr>
            <a:spLocks/>
          </xdr:cNvSpPr>
        </xdr:nvSpPr>
        <xdr:spPr>
          <a:xfrm>
            <a:off x="6388186" y="1901684"/>
            <a:ext cx="609180" cy="612000"/>
          </a:xfrm>
          <a:prstGeom prst="ellipse">
            <a:avLst/>
          </a:prstGeom>
          <a:gradFill>
            <a:gsLst>
              <a:gs pos="0">
                <a:schemeClr val="tx2">
                  <a:lumMod val="75000"/>
                </a:schemeClr>
              </a:gs>
              <a:gs pos="80000">
                <a:schemeClr val="tx2">
                  <a:lumMod val="60000"/>
                  <a:lumOff val="40000"/>
                </a:schemeClr>
              </a:gs>
              <a:gs pos="100000">
                <a:schemeClr val="tx2">
                  <a:lumMod val="40000"/>
                  <a:lumOff val="60000"/>
                </a:schemeClr>
              </a:gs>
            </a:gsLst>
          </a:gradFill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1">
              <a:hueOff val="0"/>
              <a:satOff val="0"/>
              <a:lumOff val="0"/>
              <a:alphaOff val="0"/>
            </a:schemeClr>
          </a:fillRef>
          <a:effectRef idx="2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27" name="Ellipse 26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100-00001B000000}"/>
              </a:ext>
            </a:extLst>
          </xdr:cNvPr>
          <xdr:cNvSpPr>
            <a:spLocks/>
          </xdr:cNvSpPr>
        </xdr:nvSpPr>
        <xdr:spPr>
          <a:xfrm>
            <a:off x="755470" y="5795095"/>
            <a:ext cx="108000" cy="108000"/>
          </a:xfrm>
          <a:prstGeom prst="ellipse">
            <a:avLst/>
          </a:prstGeom>
          <a:gradFill>
            <a:gsLst>
              <a:gs pos="0">
                <a:schemeClr val="accent1">
                  <a:lumMod val="50000"/>
                </a:schemeClr>
              </a:gs>
              <a:gs pos="80000">
                <a:schemeClr val="accent1">
                  <a:lumMod val="75000"/>
                </a:schemeClr>
              </a:gs>
              <a:gs pos="100000">
                <a:schemeClr val="accent1">
                  <a:lumMod val="60000"/>
                  <a:lumOff val="40000"/>
                </a:schemeClr>
              </a:gs>
            </a:gsLst>
          </a:gradFill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1">
              <a:hueOff val="0"/>
              <a:satOff val="0"/>
              <a:lumOff val="0"/>
              <a:alphaOff val="0"/>
            </a:schemeClr>
          </a:fillRef>
          <a:effectRef idx="2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' '!A14">
        <xdr:nvSpPr>
          <xdr:cNvPr id="28" name="Textfeld 27">
            <a:extLst>
              <a:ext uri="{FF2B5EF4-FFF2-40B4-BE49-F238E27FC236}">
                <a16:creationId xmlns:a16="http://schemas.microsoft.com/office/drawing/2014/main" id="{00000000-0008-0000-0100-00001C000000}"/>
              </a:ext>
            </a:extLst>
          </xdr:cNvPr>
          <xdr:cNvSpPr txBox="1"/>
        </xdr:nvSpPr>
        <xdr:spPr>
          <a:xfrm>
            <a:off x="3451707" y="1644777"/>
            <a:ext cx="1566444" cy="21916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ctr">
            <a:noAutofit/>
          </a:bodyPr>
          <a:lstStyle/>
          <a:p>
            <a:pPr marL="0" indent="0" algn="r"/>
            <a:fld id="{E6863630-545D-42B1-AFE0-6743BF80B2FA}" type="TxLink">
              <a:rPr lang="en-US" sz="1400" b="0" i="0" u="none" strike="noStrike">
                <a:solidFill>
                  <a:schemeClr val="tx2"/>
                </a:solidFill>
                <a:effectLst/>
                <a:latin typeface="+mn-lt"/>
                <a:ea typeface="+mn-ea"/>
                <a:cs typeface="+mn-cs"/>
              </a:rPr>
              <a:pPr marL="0" indent="0" algn="r"/>
              <a:t>Business Plan</a:t>
            </a:fld>
            <a:endParaRPr lang="de-CH" sz="1400" b="0" i="0" u="none" strike="noStrike">
              <a:solidFill>
                <a:schemeClr val="tx2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' '!A12">
        <xdr:nvSpPr>
          <xdr:cNvPr id="29" name="Textfeld 28">
            <a:extLst>
              <a:ext uri="{FF2B5EF4-FFF2-40B4-BE49-F238E27FC236}">
                <a16:creationId xmlns:a16="http://schemas.microsoft.com/office/drawing/2014/main" id="{00000000-0008-0000-0100-00001D000000}"/>
              </a:ext>
            </a:extLst>
          </xdr:cNvPr>
          <xdr:cNvSpPr txBox="1"/>
        </xdr:nvSpPr>
        <xdr:spPr>
          <a:xfrm>
            <a:off x="2027993" y="2302002"/>
            <a:ext cx="1566444" cy="21916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ctr">
            <a:noAutofit/>
          </a:bodyPr>
          <a:lstStyle/>
          <a:p>
            <a:pPr marL="0" indent="0" algn="r"/>
            <a:fld id="{7E1F4E0A-24CC-412E-8E04-5A7DDF95CC59}" type="TxLink">
              <a:rPr lang="en-US" sz="1400" b="0" i="0" u="none" strike="noStrike">
                <a:solidFill>
                  <a:schemeClr val="tx2"/>
                </a:solidFill>
                <a:effectLst/>
                <a:latin typeface="+mn-lt"/>
                <a:ea typeface="+mn-ea"/>
                <a:cs typeface="+mn-cs"/>
              </a:rPr>
              <a:pPr marL="0" indent="0" algn="r"/>
              <a:t>Gestion des idées</a:t>
            </a:fld>
            <a:endParaRPr lang="de-CH" sz="1400" b="0" i="0" u="none" strike="noStrike">
              <a:solidFill>
                <a:schemeClr val="tx2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' '!A11">
        <xdr:nvSpPr>
          <xdr:cNvPr id="30" name="Textfeld 29">
            <a:extLst>
              <a:ext uri="{FF2B5EF4-FFF2-40B4-BE49-F238E27FC236}">
                <a16:creationId xmlns:a16="http://schemas.microsoft.com/office/drawing/2014/main" id="{00000000-0008-0000-0100-00001E000000}"/>
              </a:ext>
            </a:extLst>
          </xdr:cNvPr>
          <xdr:cNvSpPr txBox="1"/>
        </xdr:nvSpPr>
        <xdr:spPr>
          <a:xfrm>
            <a:off x="803509" y="3073527"/>
            <a:ext cx="1680556" cy="21916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ctr">
            <a:noAutofit/>
          </a:bodyPr>
          <a:lstStyle/>
          <a:p>
            <a:pPr marL="0" indent="0" algn="r"/>
            <a:fld id="{0A9C70DB-A216-40BF-A2D3-807210AE457A}" type="TxLink">
              <a:rPr lang="en-US" sz="1400" b="0" i="0" u="none" strike="noStrike">
                <a:solidFill>
                  <a:schemeClr val="tx2"/>
                </a:solidFill>
                <a:effectLst/>
                <a:latin typeface="+mn-lt"/>
                <a:ea typeface="+mn-ea"/>
                <a:cs typeface="+mn-cs"/>
              </a:rPr>
              <a:pPr marL="0" indent="0" algn="r"/>
              <a:t>Stratégies d'innovation</a:t>
            </a:fld>
            <a:endParaRPr lang="de-CH" sz="1400" b="0" i="0" u="none" strike="noStrike">
              <a:solidFill>
                <a:schemeClr val="tx2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' '!A10">
        <xdr:nvSpPr>
          <xdr:cNvPr id="31" name="Textfeld 30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SpPr txBox="1"/>
        </xdr:nvSpPr>
        <xdr:spPr>
          <a:xfrm>
            <a:off x="481408" y="4121276"/>
            <a:ext cx="1047754" cy="21916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ctr">
            <a:noAutofit/>
          </a:bodyPr>
          <a:lstStyle/>
          <a:p>
            <a:pPr marL="0" indent="0" algn="r"/>
            <a:fld id="{20511262-1932-4246-AC03-AF738011CB9C}" type="TxLink">
              <a:rPr lang="en-US" sz="1400" b="0" i="0" u="none" strike="noStrike">
                <a:solidFill>
                  <a:schemeClr val="tx2"/>
                </a:solidFill>
                <a:effectLst/>
                <a:latin typeface="+mn-lt"/>
                <a:ea typeface="+mn-ea"/>
                <a:cs typeface="+mn-cs"/>
              </a:rPr>
              <a:pPr marL="0" indent="0" algn="r"/>
              <a:t>Analyse</a:t>
            </a:fld>
            <a:endParaRPr lang="de-CH" sz="1400" b="0" i="0" u="none" strike="noStrike">
              <a:solidFill>
                <a:schemeClr val="tx2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' '!A6">
        <xdr:nvSpPr>
          <xdr:cNvPr id="32" name="Textfeld 31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SpPr txBox="1"/>
        </xdr:nvSpPr>
        <xdr:spPr>
          <a:xfrm>
            <a:off x="-1" y="5054555"/>
            <a:ext cx="906288" cy="68365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ctr">
            <a:noAutofit/>
          </a:bodyPr>
          <a:lstStyle/>
          <a:p>
            <a:pPr marL="0" indent="0" algn="r"/>
            <a:fld id="{26A03FB9-D1AE-422D-8C96-7021F100B942}" type="TxLink">
              <a:rPr lang="en-US" sz="1400" b="0" i="0" u="none" strike="noStrike">
                <a:solidFill>
                  <a:schemeClr val="tx2"/>
                </a:solidFill>
                <a:effectLst/>
                <a:latin typeface="+mn-lt"/>
                <a:ea typeface="+mn-ea"/>
                <a:cs typeface="+mn-cs"/>
              </a:rPr>
              <a:pPr marL="0" indent="0" algn="r"/>
              <a:t>Vision stratégies</a:t>
            </a:fld>
            <a:endParaRPr lang="de-CH" sz="1400" b="0" i="0" u="none" strike="noStrike">
              <a:solidFill>
                <a:schemeClr val="tx2"/>
              </a:solidFill>
              <a:effectLst/>
              <a:latin typeface="+mn-lt"/>
              <a:ea typeface="+mn-ea"/>
              <a:cs typeface="+mn-cs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655320</xdr:colOff>
          <xdr:row>1</xdr:row>
          <xdr:rowOff>60960</xdr:rowOff>
        </xdr:from>
        <xdr:to>
          <xdr:col>12</xdr:col>
          <xdr:colOff>762000</xdr:colOff>
          <xdr:row>1</xdr:row>
          <xdr:rowOff>228600</xdr:rowOff>
        </xdr:to>
        <xdr:sp macro="" textlink="">
          <xdr:nvSpPr>
            <xdr:cNvPr id="116738" name="Drop Down 2" hidden="1">
              <a:extLst>
                <a:ext uri="{63B3BB69-23CF-44E3-9099-C40C66FF867C}">
                  <a14:compatExt spid="_x0000_s116738"/>
                </a:ext>
                <a:ext uri="{FF2B5EF4-FFF2-40B4-BE49-F238E27FC236}">
                  <a16:creationId xmlns:a16="http://schemas.microsoft.com/office/drawing/2014/main" id="{00000000-0008-0000-0100-000002C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11</xdr:col>
      <xdr:colOff>428625</xdr:colOff>
      <xdr:row>1</xdr:row>
      <xdr:rowOff>57150</xdr:rowOff>
    </xdr:from>
    <xdr:to>
      <xdr:col>11</xdr:col>
      <xdr:colOff>601425</xdr:colOff>
      <xdr:row>1</xdr:row>
      <xdr:rowOff>229950</xdr:rowOff>
    </xdr:to>
    <xdr:grpSp>
      <xdr:nvGrpSpPr>
        <xdr:cNvPr id="36" name="Gruppieren 3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GrpSpPr/>
      </xdr:nvGrpSpPr>
      <xdr:grpSpPr>
        <a:xfrm>
          <a:off x="7378065" y="621030"/>
          <a:ext cx="172800" cy="172800"/>
          <a:chOff x="8105775" y="571500"/>
          <a:chExt cx="172800" cy="172800"/>
        </a:xfrm>
      </xdr:grpSpPr>
      <xdr:sp macro="" textlink="">
        <xdr:nvSpPr>
          <xdr:cNvPr id="37" name="Rechteck 36"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8" name="Textfeld 37">
            <a:extLst>
              <a:ext uri="{FF2B5EF4-FFF2-40B4-BE49-F238E27FC236}">
                <a16:creationId xmlns:a16="http://schemas.microsoft.com/office/drawing/2014/main" id="{00000000-0008-0000-0100-000026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4</xdr:col>
      <xdr:colOff>371476</xdr:colOff>
      <xdr:row>27</xdr:row>
      <xdr:rowOff>146208</xdr:rowOff>
    </xdr:from>
    <xdr:to>
      <xdr:col>12</xdr:col>
      <xdr:colOff>628650</xdr:colOff>
      <xdr:row>32</xdr:row>
      <xdr:rowOff>144998</xdr:rowOff>
    </xdr:to>
    <xdr:sp macro="" textlink="' '!A16">
      <xdr:nvSpPr>
        <xdr:cNvPr id="11" name="Textfeld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1781176" y="5737383"/>
          <a:ext cx="6353174" cy="8084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72B332BF-FC1E-4ECD-8C0E-A1226FEB18B6}" type="TxLink">
            <a:rPr lang="en-US" sz="4400" b="0" i="0" u="none" strike="noStrike">
              <a:ln>
                <a:noFill/>
              </a:ln>
              <a:solidFill>
                <a:schemeClr val="bg1">
                  <a:lumMod val="75000"/>
                </a:schemeClr>
              </a:solidFill>
              <a:latin typeface="Calibri"/>
            </a:rPr>
            <a:pPr algn="ctr"/>
            <a:t>CULTURE  D'INNOVATION</a:t>
          </a:fld>
          <a:endParaRPr lang="de-CH" sz="4400">
            <a:ln>
              <a:noFill/>
            </a:ln>
            <a:solidFill>
              <a:schemeClr val="bg1">
                <a:lumMod val="7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106680</xdr:colOff>
          <xdr:row>0</xdr:row>
          <xdr:rowOff>7620</xdr:rowOff>
        </xdr:from>
        <xdr:to>
          <xdr:col>13</xdr:col>
          <xdr:colOff>3810</xdr:colOff>
          <xdr:row>0</xdr:row>
          <xdr:rowOff>541020</xdr:rowOff>
        </xdr:to>
        <xdr:pic>
          <xdr:nvPicPr>
            <xdr:cNvPr id="34" name="Grafik 45">
              <a:hlinkClick xmlns:r="http://schemas.openxmlformats.org/officeDocument/2006/relationships" r:id="rId8" tooltip="Logo"/>
              <a:extLst>
                <a:ext uri="{FF2B5EF4-FFF2-40B4-BE49-F238E27FC236}">
                  <a16:creationId xmlns:a16="http://schemas.microsoft.com/office/drawing/2014/main" id="{00000000-0008-0000-0100-00002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16745"/>
                </a:ext>
              </a:extLst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6271260" y="762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6" name="Gruppieren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pSpPr/>
      </xdr:nvGrpSpPr>
      <xdr:grpSpPr>
        <a:xfrm>
          <a:off x="76200" y="104775"/>
          <a:ext cx="324000" cy="325465"/>
          <a:chOff x="12729063" y="1298331"/>
          <a:chExt cx="324000" cy="323267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8" name="Grafik 7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>
    <xdr:from>
      <xdr:col>0</xdr:col>
      <xdr:colOff>466724</xdr:colOff>
      <xdr:row>1</xdr:row>
      <xdr:rowOff>264913</xdr:rowOff>
    </xdr:from>
    <xdr:to>
      <xdr:col>11</xdr:col>
      <xdr:colOff>0</xdr:colOff>
      <xdr:row>24</xdr:row>
      <xdr:rowOff>177997</xdr:rowOff>
    </xdr:to>
    <xdr:sp macro="" textlink="">
      <xdr:nvSpPr>
        <xdr:cNvPr id="11" name="Form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466724" y="798313"/>
          <a:ext cx="7038976" cy="4399359"/>
        </a:xfrm>
        <a:prstGeom prst="swooshArrow">
          <a:avLst>
            <a:gd name="adj1" fmla="val 25000"/>
            <a:gd name="adj2" fmla="val 25000"/>
          </a:avLst>
        </a:prstGeom>
      </xdr:spPr>
      <xdr:style>
        <a:lnRef idx="0">
          <a:schemeClr val="dk1">
            <a:hueOff val="0"/>
            <a:satOff val="0"/>
            <a:lumOff val="0"/>
            <a:alphaOff val="0"/>
          </a:schemeClr>
        </a:lnRef>
        <a:fillRef idx="1">
          <a:schemeClr val="accent2">
            <a:tint val="40000"/>
            <a:hueOff val="0"/>
            <a:satOff val="0"/>
            <a:lumOff val="0"/>
            <a:alphaOff val="0"/>
          </a:schemeClr>
        </a:fillRef>
        <a:effectRef idx="2">
          <a:schemeClr val="accent2">
            <a:tint val="40000"/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</xdr:sp>
    <xdr:clientData/>
  </xdr:twoCellAnchor>
  <xdr:oneCellAnchor>
    <xdr:from>
      <xdr:col>1</xdr:col>
      <xdr:colOff>114300</xdr:colOff>
      <xdr:row>12</xdr:row>
      <xdr:rowOff>66675</xdr:rowOff>
    </xdr:from>
    <xdr:ext cx="1478184" cy="253659"/>
    <xdr:sp macro="" textlink="' '!A343">
      <xdr:nvSpPr>
        <xdr:cNvPr id="23" name="Freihandform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581025" y="2800350"/>
          <a:ext cx="1478184" cy="253659"/>
        </a:xfrm>
        <a:custGeom>
          <a:avLst/>
          <a:gdLst>
            <a:gd name="connsiteX0" fmla="*/ 0 w 1478184"/>
            <a:gd name="connsiteY0" fmla="*/ 0 h 2010507"/>
            <a:gd name="connsiteX1" fmla="*/ 1478184 w 1478184"/>
            <a:gd name="connsiteY1" fmla="*/ 0 h 2010507"/>
            <a:gd name="connsiteX2" fmla="*/ 1478184 w 1478184"/>
            <a:gd name="connsiteY2" fmla="*/ 2010507 h 2010507"/>
            <a:gd name="connsiteX3" fmla="*/ 0 w 1478184"/>
            <a:gd name="connsiteY3" fmla="*/ 2010507 h 2010507"/>
            <a:gd name="connsiteX4" fmla="*/ 0 w 1478184"/>
            <a:gd name="connsiteY4" fmla="*/ 0 h 20105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78184" h="2010507">
              <a:moveTo>
                <a:pt x="0" y="0"/>
              </a:moveTo>
              <a:lnTo>
                <a:pt x="1478184" y="0"/>
              </a:lnTo>
              <a:lnTo>
                <a:pt x="1478184" y="2010507"/>
              </a:lnTo>
              <a:lnTo>
                <a:pt x="0" y="2010507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0" tIns="0" rIns="0" bIns="0" numCol="1" spcCol="1270" anchor="t" anchorCtr="0">
          <a:spAutoFit/>
        </a:bodyPr>
        <a:lstStyle/>
        <a:p>
          <a:pPr marL="0" lvl="0" indent="0" algn="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08B7D746-2E9B-449C-9449-9E7C00480CA9}" type="TxLink">
            <a:rPr lang="en-US" sz="1800" kern="12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pPr marL="0" lvl="0" indent="0" algn="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Interne</a:t>
          </a:fld>
          <a:endParaRPr lang="de-CH" sz="1800" kern="1200">
            <a:solidFill>
              <a:schemeClr val="accent2">
                <a:lumMod val="7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4</xdr:col>
      <xdr:colOff>190500</xdr:colOff>
      <xdr:row>7</xdr:row>
      <xdr:rowOff>47625</xdr:rowOff>
    </xdr:from>
    <xdr:ext cx="1478184" cy="253659"/>
    <xdr:sp macro="" textlink="' '!A344">
      <xdr:nvSpPr>
        <xdr:cNvPr id="24" name="Freihandform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2362200" y="1828800"/>
          <a:ext cx="1478184" cy="253659"/>
        </a:xfrm>
        <a:custGeom>
          <a:avLst/>
          <a:gdLst>
            <a:gd name="connsiteX0" fmla="*/ 0 w 1478184"/>
            <a:gd name="connsiteY0" fmla="*/ 0 h 2010507"/>
            <a:gd name="connsiteX1" fmla="*/ 1478184 w 1478184"/>
            <a:gd name="connsiteY1" fmla="*/ 0 h 2010507"/>
            <a:gd name="connsiteX2" fmla="*/ 1478184 w 1478184"/>
            <a:gd name="connsiteY2" fmla="*/ 2010507 h 2010507"/>
            <a:gd name="connsiteX3" fmla="*/ 0 w 1478184"/>
            <a:gd name="connsiteY3" fmla="*/ 2010507 h 2010507"/>
            <a:gd name="connsiteX4" fmla="*/ 0 w 1478184"/>
            <a:gd name="connsiteY4" fmla="*/ 0 h 20105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78184" h="2010507">
              <a:moveTo>
                <a:pt x="0" y="0"/>
              </a:moveTo>
              <a:lnTo>
                <a:pt x="1478184" y="0"/>
              </a:lnTo>
              <a:lnTo>
                <a:pt x="1478184" y="2010507"/>
              </a:lnTo>
              <a:lnTo>
                <a:pt x="0" y="2010507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0" tIns="0" rIns="0" bIns="0" numCol="1" spcCol="1270" anchor="t" anchorCtr="0">
          <a:spAutoFit/>
        </a:bodyPr>
        <a:lstStyle/>
        <a:p>
          <a:pPr marL="0" lvl="0" indent="0" algn="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7D729670-D92F-408D-8524-41D5241051C2}" type="TxLink">
            <a:rPr lang="en-US" sz="1800" kern="12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pPr marL="0" lvl="0" indent="0" algn="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Externe</a:t>
          </a:fld>
          <a:endParaRPr lang="de-CH" sz="1800" kern="1200">
            <a:solidFill>
              <a:schemeClr val="accent2">
                <a:lumMod val="7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628650</xdr:colOff>
      <xdr:row>3</xdr:row>
      <xdr:rowOff>180975</xdr:rowOff>
    </xdr:from>
    <xdr:ext cx="1478184" cy="253659"/>
    <xdr:sp macro="" textlink="' '!A345">
      <xdr:nvSpPr>
        <xdr:cNvPr id="25" name="Freihandform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>
          <a:off x="4324350" y="1200150"/>
          <a:ext cx="1478184" cy="253659"/>
        </a:xfrm>
        <a:custGeom>
          <a:avLst/>
          <a:gdLst>
            <a:gd name="connsiteX0" fmla="*/ 0 w 1478184"/>
            <a:gd name="connsiteY0" fmla="*/ 0 h 2010507"/>
            <a:gd name="connsiteX1" fmla="*/ 1478184 w 1478184"/>
            <a:gd name="connsiteY1" fmla="*/ 0 h 2010507"/>
            <a:gd name="connsiteX2" fmla="*/ 1478184 w 1478184"/>
            <a:gd name="connsiteY2" fmla="*/ 2010507 h 2010507"/>
            <a:gd name="connsiteX3" fmla="*/ 0 w 1478184"/>
            <a:gd name="connsiteY3" fmla="*/ 2010507 h 2010507"/>
            <a:gd name="connsiteX4" fmla="*/ 0 w 1478184"/>
            <a:gd name="connsiteY4" fmla="*/ 0 h 20105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78184" h="2010507">
              <a:moveTo>
                <a:pt x="0" y="0"/>
              </a:moveTo>
              <a:lnTo>
                <a:pt x="1478184" y="0"/>
              </a:lnTo>
              <a:lnTo>
                <a:pt x="1478184" y="2010507"/>
              </a:lnTo>
              <a:lnTo>
                <a:pt x="0" y="2010507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0" tIns="0" rIns="0" bIns="0" numCol="1" spcCol="1270" anchor="t" anchorCtr="0">
          <a:spAutoFit/>
        </a:bodyPr>
        <a:lstStyle/>
        <a:p>
          <a:pPr marL="0" lvl="0" indent="0" algn="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E96389A4-7A8C-4347-98A8-97B57C48B024}" type="TxLink">
            <a:rPr lang="en-US" sz="1800" kern="120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rPr>
            <a:pPr marL="0" lvl="0" indent="0" algn="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Potentiel</a:t>
          </a:fld>
          <a:endParaRPr lang="de-CH" sz="1800" kern="1200">
            <a:solidFill>
              <a:schemeClr val="accent2">
                <a:lumMod val="7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3</xdr:col>
      <xdr:colOff>428625</xdr:colOff>
      <xdr:row>15</xdr:row>
      <xdr:rowOff>52788</xdr:rowOff>
    </xdr:from>
    <xdr:to>
      <xdr:col>3</xdr:col>
      <xdr:colOff>710184</xdr:colOff>
      <xdr:row>16</xdr:row>
      <xdr:rowOff>143847</xdr:rowOff>
    </xdr:to>
    <xdr:sp macro="" textlink="">
      <xdr:nvSpPr>
        <xdr:cNvPr id="26" name="Ellipse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1838325" y="3357963"/>
          <a:ext cx="281559" cy="281559"/>
        </a:xfrm>
        <a:prstGeom prst="ellipse">
          <a:avLst/>
        </a:prstGeom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2">
            <a:shade val="80000"/>
            <a:hueOff val="-8968"/>
            <a:satOff val="-1006"/>
            <a:lumOff val="6420"/>
            <a:alphaOff val="0"/>
          </a:schemeClr>
        </a:fillRef>
        <a:effectRef idx="2">
          <a:schemeClr val="accent2">
            <a:shade val="80000"/>
            <a:hueOff val="-8968"/>
            <a:satOff val="-1006"/>
            <a:lumOff val="6420"/>
            <a:alphaOff val="0"/>
          </a:schemeClr>
        </a:effectRef>
        <a:fontRef idx="minor">
          <a:schemeClr val="lt1"/>
        </a:fontRef>
      </xdr:style>
    </xdr:sp>
    <xdr:clientData/>
  </xdr:twoCellAnchor>
  <xdr:twoCellAnchor>
    <xdr:from>
      <xdr:col>5</xdr:col>
      <xdr:colOff>546188</xdr:colOff>
      <xdr:row>10</xdr:row>
      <xdr:rowOff>41688</xdr:rowOff>
    </xdr:from>
    <xdr:to>
      <xdr:col>6</xdr:col>
      <xdr:colOff>157253</xdr:colOff>
      <xdr:row>12</xdr:row>
      <xdr:rowOff>33753</xdr:rowOff>
    </xdr:to>
    <xdr:sp macro="" textlink="">
      <xdr:nvSpPr>
        <xdr:cNvPr id="27" name="Ellipse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3479888" y="2394363"/>
          <a:ext cx="373065" cy="373065"/>
        </a:xfrm>
        <a:prstGeom prst="ellipse">
          <a:avLst/>
        </a:prstGeom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2">
            <a:shade val="80000"/>
            <a:hueOff val="-26904"/>
            <a:satOff val="-3018"/>
            <a:lumOff val="19260"/>
            <a:alphaOff val="0"/>
          </a:schemeClr>
        </a:fillRef>
        <a:effectRef idx="2">
          <a:schemeClr val="accent2">
            <a:shade val="80000"/>
            <a:hueOff val="-26904"/>
            <a:satOff val="-3018"/>
            <a:lumOff val="19260"/>
            <a:alphaOff val="0"/>
          </a:schemeClr>
        </a:effectRef>
        <a:fontRef idx="minor">
          <a:schemeClr val="lt1"/>
        </a:fontRef>
      </xdr:style>
    </xdr:sp>
    <xdr:clientData/>
  </xdr:twoCellAnchor>
  <xdr:twoCellAnchor>
    <xdr:from>
      <xdr:col>8</xdr:col>
      <xdr:colOff>98646</xdr:colOff>
      <xdr:row>7</xdr:row>
      <xdr:rowOff>9525</xdr:rowOff>
    </xdr:from>
    <xdr:to>
      <xdr:col>8</xdr:col>
      <xdr:colOff>598413</xdr:colOff>
      <xdr:row>9</xdr:row>
      <xdr:rowOff>128292</xdr:rowOff>
    </xdr:to>
    <xdr:sp macro="" textlink="">
      <xdr:nvSpPr>
        <xdr:cNvPr id="28" name="Ellips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5318346" y="1790700"/>
          <a:ext cx="499767" cy="499767"/>
        </a:xfrm>
        <a:prstGeom prst="ellipse">
          <a:avLst/>
        </a:prstGeom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2">
            <a:shade val="80000"/>
            <a:hueOff val="-35872"/>
            <a:satOff val="-4024"/>
            <a:lumOff val="25680"/>
            <a:alphaOff val="0"/>
          </a:schemeClr>
        </a:fillRef>
        <a:effectRef idx="2">
          <a:schemeClr val="accent2">
            <a:shade val="80000"/>
            <a:hueOff val="-35872"/>
            <a:satOff val="-4024"/>
            <a:lumOff val="25680"/>
            <a:alphaOff val="0"/>
          </a:schemeClr>
        </a:effectRef>
        <a:fontRef idx="minor">
          <a:schemeClr val="lt1"/>
        </a:fontRef>
      </xdr:style>
    </xdr:sp>
    <xdr:clientData/>
  </xdr:twoCellAnchor>
  <xdr:twoCellAnchor>
    <xdr:from>
      <xdr:col>5</xdr:col>
      <xdr:colOff>660379</xdr:colOff>
      <xdr:row>14</xdr:row>
      <xdr:rowOff>53773</xdr:rowOff>
    </xdr:from>
    <xdr:to>
      <xdr:col>8</xdr:col>
      <xdr:colOff>10679</xdr:colOff>
      <xdr:row>15</xdr:row>
      <xdr:rowOff>140126</xdr:rowOff>
    </xdr:to>
    <xdr:grpSp>
      <xdr:nvGrpSpPr>
        <xdr:cNvPr id="13" name="Gruppieren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GrpSpPr/>
      </xdr:nvGrpSpPr>
      <xdr:grpSpPr>
        <a:xfrm>
          <a:off x="3677899" y="3109393"/>
          <a:ext cx="1704880" cy="269233"/>
          <a:chOff x="3727429" y="3435148"/>
          <a:chExt cx="1636300" cy="276853"/>
        </a:xfrm>
      </xdr:grpSpPr>
      <xdr:sp macro="" textlink="">
        <xdr:nvSpPr>
          <xdr:cNvPr id="30" name="Ellipse 29">
            <a:extLst>
              <a:ext uri="{FF2B5EF4-FFF2-40B4-BE49-F238E27FC236}">
                <a16:creationId xmlns:a16="http://schemas.microsoft.com/office/drawing/2014/main" id="{00000000-0008-0000-0200-00001E000000}"/>
              </a:ext>
            </a:extLst>
          </xdr:cNvPr>
          <xdr:cNvSpPr>
            <a:spLocks noChangeAspect="1"/>
          </xdr:cNvSpPr>
        </xdr:nvSpPr>
        <xdr:spPr>
          <a:xfrm>
            <a:off x="3727429" y="3474049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2">
              <a:shade val="80000"/>
              <a:hueOff val="-26904"/>
              <a:satOff val="-3018"/>
              <a:lumOff val="19260"/>
              <a:alphaOff val="0"/>
            </a:schemeClr>
          </a:fillRef>
          <a:effectRef idx="2">
            <a:schemeClr val="accent2">
              <a:shade val="80000"/>
              <a:hueOff val="-26904"/>
              <a:satOff val="-3018"/>
              <a:lumOff val="19260"/>
              <a:alphaOff val="0"/>
            </a:schemeClr>
          </a:effectRef>
          <a:fontRef idx="minor">
            <a:schemeClr val="lt1"/>
          </a:fontRef>
        </xdr:style>
      </xdr:sp>
      <xdr:sp macro="" textlink="' '!A17">
        <xdr:nvSpPr>
          <xdr:cNvPr id="31" name="Freihandform 30">
            <a:extLst>
              <a:ext uri="{FF2B5EF4-FFF2-40B4-BE49-F238E27FC236}">
                <a16:creationId xmlns:a16="http://schemas.microsoft.com/office/drawing/2014/main" id="{00000000-0008-0000-0200-00001F000000}"/>
              </a:ext>
            </a:extLst>
          </xdr:cNvPr>
          <xdr:cNvSpPr/>
        </xdr:nvSpPr>
        <xdr:spPr>
          <a:xfrm>
            <a:off x="3988880" y="3435148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7B19ACB7-1ECE-4F31-83F8-465C9EB50B62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Parties prenantes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8</xdr:col>
      <xdr:colOff>269854</xdr:colOff>
      <xdr:row>12</xdr:row>
      <xdr:rowOff>29961</xdr:rowOff>
    </xdr:from>
    <xdr:to>
      <xdr:col>10</xdr:col>
      <xdr:colOff>382154</xdr:colOff>
      <xdr:row>13</xdr:row>
      <xdr:rowOff>116314</xdr:rowOff>
    </xdr:to>
    <xdr:grpSp>
      <xdr:nvGrpSpPr>
        <xdr:cNvPr id="9" name="Gruppieren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pSpPr/>
      </xdr:nvGrpSpPr>
      <xdr:grpSpPr>
        <a:xfrm>
          <a:off x="5641954" y="2719821"/>
          <a:ext cx="1682020" cy="269233"/>
          <a:chOff x="5565754" y="2763636"/>
          <a:chExt cx="1636300" cy="276853"/>
        </a:xfrm>
      </xdr:grpSpPr>
      <xdr:sp macro="" textlink="">
        <xdr:nvSpPr>
          <xdr:cNvPr id="34" name="Ellipse 33">
            <a:extLst>
              <a:ext uri="{FF2B5EF4-FFF2-40B4-BE49-F238E27FC236}">
                <a16:creationId xmlns:a16="http://schemas.microsoft.com/office/drawing/2014/main" id="{00000000-0008-0000-0200-000022000000}"/>
              </a:ext>
            </a:extLst>
          </xdr:cNvPr>
          <xdr:cNvSpPr>
            <a:spLocks noChangeAspect="1"/>
          </xdr:cNvSpPr>
        </xdr:nvSpPr>
        <xdr:spPr>
          <a:xfrm>
            <a:off x="5565754" y="2802537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2">
              <a:shade val="80000"/>
              <a:hueOff val="-35872"/>
              <a:satOff val="-4024"/>
              <a:lumOff val="25680"/>
              <a:alphaOff val="0"/>
            </a:schemeClr>
          </a:fillRef>
          <a:effectRef idx="2">
            <a:schemeClr val="accent2">
              <a:shade val="80000"/>
              <a:hueOff val="-35872"/>
              <a:satOff val="-4024"/>
              <a:lumOff val="25680"/>
              <a:alphaOff val="0"/>
            </a:schemeClr>
          </a:effectRef>
          <a:fontRef idx="minor">
            <a:schemeClr val="lt1"/>
          </a:fontRef>
        </xdr:style>
      </xdr:sp>
      <xdr:sp macro="" textlink="' '!A24">
        <xdr:nvSpPr>
          <xdr:cNvPr id="35" name="Freihandform 34">
            <a:extLst>
              <a:ext uri="{FF2B5EF4-FFF2-40B4-BE49-F238E27FC236}">
                <a16:creationId xmlns:a16="http://schemas.microsoft.com/office/drawing/2014/main" id="{00000000-0008-0000-0200-000023000000}"/>
              </a:ext>
            </a:extLst>
          </xdr:cNvPr>
          <xdr:cNvSpPr/>
        </xdr:nvSpPr>
        <xdr:spPr>
          <a:xfrm>
            <a:off x="5827205" y="2763636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B8C02C0B-72E5-4392-B6E1-BBF38D6DC689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Trends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5</xdr:col>
      <xdr:colOff>660379</xdr:colOff>
      <xdr:row>15</xdr:row>
      <xdr:rowOff>174423</xdr:rowOff>
    </xdr:from>
    <xdr:to>
      <xdr:col>8</xdr:col>
      <xdr:colOff>10679</xdr:colOff>
      <xdr:row>17</xdr:row>
      <xdr:rowOff>70276</xdr:rowOff>
    </xdr:to>
    <xdr:grpSp>
      <xdr:nvGrpSpPr>
        <xdr:cNvPr id="12" name="Gruppieren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GrpSpPr/>
      </xdr:nvGrpSpPr>
      <xdr:grpSpPr>
        <a:xfrm>
          <a:off x="3677899" y="3412923"/>
          <a:ext cx="1704880" cy="261613"/>
          <a:chOff x="3936979" y="4111423"/>
          <a:chExt cx="1636300" cy="276853"/>
        </a:xfrm>
      </xdr:grpSpPr>
      <xdr:sp macro="" textlink="">
        <xdr:nvSpPr>
          <xdr:cNvPr id="37" name="Ellipse 36">
            <a:extLst>
              <a:ext uri="{FF2B5EF4-FFF2-40B4-BE49-F238E27FC236}">
                <a16:creationId xmlns:a16="http://schemas.microsoft.com/office/drawing/2014/main" id="{00000000-0008-0000-0200-000025000000}"/>
              </a:ext>
            </a:extLst>
          </xdr:cNvPr>
          <xdr:cNvSpPr>
            <a:spLocks noChangeAspect="1"/>
          </xdr:cNvSpPr>
        </xdr:nvSpPr>
        <xdr:spPr>
          <a:xfrm>
            <a:off x="3936979" y="4150324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2">
              <a:shade val="80000"/>
              <a:hueOff val="-26904"/>
              <a:satOff val="-3018"/>
              <a:lumOff val="19260"/>
              <a:alphaOff val="0"/>
            </a:schemeClr>
          </a:fillRef>
          <a:effectRef idx="2">
            <a:schemeClr val="accent2">
              <a:shade val="80000"/>
              <a:hueOff val="-26904"/>
              <a:satOff val="-3018"/>
              <a:lumOff val="19260"/>
              <a:alphaOff val="0"/>
            </a:schemeClr>
          </a:effectRef>
          <a:fontRef idx="minor">
            <a:schemeClr val="lt1"/>
          </a:fontRef>
        </xdr:style>
      </xdr:sp>
      <xdr:sp macro="" textlink="' '!A22">
        <xdr:nvSpPr>
          <xdr:cNvPr id="38" name="Freihandform 37">
            <a:extLst>
              <a:ext uri="{FF2B5EF4-FFF2-40B4-BE49-F238E27FC236}">
                <a16:creationId xmlns:a16="http://schemas.microsoft.com/office/drawing/2014/main" id="{00000000-0008-0000-0200-000026000000}"/>
              </a:ext>
            </a:extLst>
          </xdr:cNvPr>
          <xdr:cNvSpPr/>
        </xdr:nvSpPr>
        <xdr:spPr>
          <a:xfrm>
            <a:off x="4198430" y="4111423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E0E3C3D1-4C05-4D32-9DA6-7D9E170045FA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Réclamations clients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8</xdr:col>
      <xdr:colOff>269854</xdr:colOff>
      <xdr:row>18</xdr:row>
      <xdr:rowOff>11705</xdr:rowOff>
    </xdr:from>
    <xdr:to>
      <xdr:col>10</xdr:col>
      <xdr:colOff>561975</xdr:colOff>
      <xdr:row>19</xdr:row>
      <xdr:rowOff>91708</xdr:rowOff>
    </xdr:to>
    <xdr:grpSp>
      <xdr:nvGrpSpPr>
        <xdr:cNvPr id="10" name="Gruppieren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pSpPr/>
      </xdr:nvGrpSpPr>
      <xdr:grpSpPr>
        <a:xfrm>
          <a:off x="5641954" y="3798845"/>
          <a:ext cx="1861841" cy="262883"/>
          <a:chOff x="5565754" y="3088279"/>
          <a:chExt cx="1816121" cy="270503"/>
        </a:xfrm>
      </xdr:grpSpPr>
      <xdr:sp macro="" textlink="">
        <xdr:nvSpPr>
          <xdr:cNvPr id="40" name="Ellipse 39">
            <a:extLst>
              <a:ext uri="{FF2B5EF4-FFF2-40B4-BE49-F238E27FC236}">
                <a16:creationId xmlns:a16="http://schemas.microsoft.com/office/drawing/2014/main" id="{00000000-0008-0000-0200-000028000000}"/>
              </a:ext>
            </a:extLst>
          </xdr:cNvPr>
          <xdr:cNvSpPr>
            <a:spLocks noChangeAspect="1"/>
          </xdr:cNvSpPr>
        </xdr:nvSpPr>
        <xdr:spPr>
          <a:xfrm>
            <a:off x="5565754" y="3126288"/>
            <a:ext cx="184191" cy="175871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2">
              <a:shade val="80000"/>
              <a:hueOff val="-35872"/>
              <a:satOff val="-4024"/>
              <a:lumOff val="25680"/>
              <a:alphaOff val="0"/>
            </a:schemeClr>
          </a:fillRef>
          <a:effectRef idx="2">
            <a:schemeClr val="accent2">
              <a:shade val="80000"/>
              <a:hueOff val="-35872"/>
              <a:satOff val="-4024"/>
              <a:lumOff val="2568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41" name="Freihandform 40">
            <a:extLst>
              <a:ext uri="{FF2B5EF4-FFF2-40B4-BE49-F238E27FC236}">
                <a16:creationId xmlns:a16="http://schemas.microsoft.com/office/drawing/2014/main" id="{00000000-0008-0000-0200-000029000000}"/>
              </a:ext>
            </a:extLst>
          </xdr:cNvPr>
          <xdr:cNvSpPr/>
        </xdr:nvSpPr>
        <xdr:spPr>
          <a:xfrm>
            <a:off x="5833293" y="3088279"/>
            <a:ext cx="1548582" cy="27050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de-CH" sz="1200" kern="1200">
                <a:solidFill>
                  <a:schemeClr val="tx1"/>
                </a:solidFill>
              </a:rPr>
              <a:t>Business</a:t>
            </a:r>
            <a:r>
              <a:rPr lang="de-CH" sz="1200" kern="1200" baseline="0">
                <a:solidFill>
                  <a:schemeClr val="tx1"/>
                </a:solidFill>
              </a:rPr>
              <a:t> Model Canvas</a:t>
            </a:r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8</xdr:col>
      <xdr:colOff>269854</xdr:colOff>
      <xdr:row>16</xdr:row>
      <xdr:rowOff>68458</xdr:rowOff>
    </xdr:from>
    <xdr:to>
      <xdr:col>10</xdr:col>
      <xdr:colOff>382154</xdr:colOff>
      <xdr:row>17</xdr:row>
      <xdr:rowOff>154811</xdr:rowOff>
    </xdr:to>
    <xdr:grpSp>
      <xdr:nvGrpSpPr>
        <xdr:cNvPr id="42" name="Gruppieren 4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GrpSpPr/>
      </xdr:nvGrpSpPr>
      <xdr:grpSpPr>
        <a:xfrm>
          <a:off x="5641954" y="3489838"/>
          <a:ext cx="1682020" cy="269233"/>
          <a:chOff x="5556229" y="2777923"/>
          <a:chExt cx="1636300" cy="276853"/>
        </a:xfrm>
      </xdr:grpSpPr>
      <xdr:sp macro="" textlink="">
        <xdr:nvSpPr>
          <xdr:cNvPr id="44" name="Ellipse 43">
            <a:extLst>
              <a:ext uri="{FF2B5EF4-FFF2-40B4-BE49-F238E27FC236}">
                <a16:creationId xmlns:a16="http://schemas.microsoft.com/office/drawing/2014/main" id="{00000000-0008-0000-0200-00002C000000}"/>
              </a:ext>
            </a:extLst>
          </xdr:cNvPr>
          <xdr:cNvSpPr>
            <a:spLocks noChangeAspect="1"/>
          </xdr:cNvSpPr>
        </xdr:nvSpPr>
        <xdr:spPr>
          <a:xfrm>
            <a:off x="5556229" y="2816824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2">
              <a:shade val="80000"/>
              <a:hueOff val="-35872"/>
              <a:satOff val="-4024"/>
              <a:lumOff val="25680"/>
              <a:alphaOff val="0"/>
            </a:schemeClr>
          </a:fillRef>
          <a:effectRef idx="2">
            <a:schemeClr val="accent2">
              <a:shade val="80000"/>
              <a:hueOff val="-35872"/>
              <a:satOff val="-4024"/>
              <a:lumOff val="25680"/>
              <a:alphaOff val="0"/>
            </a:schemeClr>
          </a:effectRef>
          <a:fontRef idx="minor">
            <a:schemeClr val="lt1"/>
          </a:fontRef>
        </xdr:style>
      </xdr:sp>
      <xdr:sp macro="" textlink="' '!A25">
        <xdr:nvSpPr>
          <xdr:cNvPr id="45" name="Freihandform 44">
            <a:extLst>
              <a:ext uri="{FF2B5EF4-FFF2-40B4-BE49-F238E27FC236}">
                <a16:creationId xmlns:a16="http://schemas.microsoft.com/office/drawing/2014/main" id="{00000000-0008-0000-0200-00002D000000}"/>
              </a:ext>
            </a:extLst>
          </xdr:cNvPr>
          <xdr:cNvSpPr/>
        </xdr:nvSpPr>
        <xdr:spPr>
          <a:xfrm>
            <a:off x="5817680" y="2777923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AB3AE447-AD44-4D04-B342-2B0D3CD9491C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Potentiel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3</xdr:col>
      <xdr:colOff>488929</xdr:colOff>
      <xdr:row>21</xdr:row>
      <xdr:rowOff>129973</xdr:rowOff>
    </xdr:from>
    <xdr:to>
      <xdr:col>5</xdr:col>
      <xdr:colOff>601229</xdr:colOff>
      <xdr:row>23</xdr:row>
      <xdr:rowOff>25826</xdr:rowOff>
    </xdr:to>
    <xdr:grpSp>
      <xdr:nvGrpSpPr>
        <xdr:cNvPr id="16" name="Gruppieren 1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1936729" y="4465753"/>
          <a:ext cx="1682020" cy="261613"/>
          <a:chOff x="1984354" y="4835323"/>
          <a:chExt cx="1636300" cy="276853"/>
        </a:xfrm>
      </xdr:grpSpPr>
      <xdr:sp macro="" textlink="">
        <xdr:nvSpPr>
          <xdr:cNvPr id="48" name="Ellipse 47">
            <a:extLst>
              <a:ext uri="{FF2B5EF4-FFF2-40B4-BE49-F238E27FC236}">
                <a16:creationId xmlns:a16="http://schemas.microsoft.com/office/drawing/2014/main" id="{00000000-0008-0000-0200-000030000000}"/>
              </a:ext>
            </a:extLst>
          </xdr:cNvPr>
          <xdr:cNvSpPr>
            <a:spLocks noChangeAspect="1"/>
          </xdr:cNvSpPr>
        </xdr:nvSpPr>
        <xdr:spPr>
          <a:xfrm>
            <a:off x="1984354" y="4874224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2">
              <a:shade val="80000"/>
              <a:hueOff val="-8968"/>
              <a:satOff val="-1006"/>
              <a:lumOff val="6420"/>
              <a:alphaOff val="0"/>
            </a:schemeClr>
          </a:fillRef>
          <a:effectRef idx="2">
            <a:schemeClr val="accent2">
              <a:shade val="80000"/>
              <a:hueOff val="-8968"/>
              <a:satOff val="-1006"/>
              <a:lumOff val="6420"/>
              <a:alphaOff val="0"/>
            </a:schemeClr>
          </a:effectRef>
          <a:fontRef idx="minor">
            <a:schemeClr val="lt1"/>
          </a:fontRef>
        </xdr:style>
      </xdr:sp>
      <xdr:sp macro="" textlink="' '!A20">
        <xdr:nvSpPr>
          <xdr:cNvPr id="49" name="Freihandform 48">
            <a:extLst>
              <a:ext uri="{FF2B5EF4-FFF2-40B4-BE49-F238E27FC236}">
                <a16:creationId xmlns:a16="http://schemas.microsoft.com/office/drawing/2014/main" id="{00000000-0008-0000-0200-000031000000}"/>
              </a:ext>
            </a:extLst>
          </xdr:cNvPr>
          <xdr:cNvSpPr/>
        </xdr:nvSpPr>
        <xdr:spPr>
          <a:xfrm>
            <a:off x="2245805" y="4835323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039C11FB-D94E-4159-893A-D5788E68959D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Analyse des erreurs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3</xdr:col>
      <xdr:colOff>488929</xdr:colOff>
      <xdr:row>18</xdr:row>
      <xdr:rowOff>91873</xdr:rowOff>
    </xdr:from>
    <xdr:to>
      <xdr:col>5</xdr:col>
      <xdr:colOff>601229</xdr:colOff>
      <xdr:row>19</xdr:row>
      <xdr:rowOff>178226</xdr:rowOff>
    </xdr:to>
    <xdr:grpSp>
      <xdr:nvGrpSpPr>
        <xdr:cNvPr id="14" name="Gruppieren 13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GrpSpPr/>
      </xdr:nvGrpSpPr>
      <xdr:grpSpPr>
        <a:xfrm>
          <a:off x="1936729" y="3879013"/>
          <a:ext cx="1682020" cy="269233"/>
          <a:chOff x="1965304" y="4092373"/>
          <a:chExt cx="1636300" cy="276853"/>
        </a:xfrm>
      </xdr:grpSpPr>
      <xdr:sp macro="" textlink="">
        <xdr:nvSpPr>
          <xdr:cNvPr id="52" name="Ellipse 51">
            <a:extLst>
              <a:ext uri="{FF2B5EF4-FFF2-40B4-BE49-F238E27FC236}">
                <a16:creationId xmlns:a16="http://schemas.microsoft.com/office/drawing/2014/main" id="{00000000-0008-0000-0200-000034000000}"/>
              </a:ext>
            </a:extLst>
          </xdr:cNvPr>
          <xdr:cNvSpPr>
            <a:spLocks noChangeAspect="1"/>
          </xdr:cNvSpPr>
        </xdr:nvSpPr>
        <xdr:spPr>
          <a:xfrm>
            <a:off x="1965304" y="4131274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2">
              <a:shade val="80000"/>
              <a:hueOff val="-8968"/>
              <a:satOff val="-1006"/>
              <a:lumOff val="6420"/>
              <a:alphaOff val="0"/>
            </a:schemeClr>
          </a:fillRef>
          <a:effectRef idx="2">
            <a:schemeClr val="accent2">
              <a:shade val="80000"/>
              <a:hueOff val="-8968"/>
              <a:satOff val="-1006"/>
              <a:lumOff val="6420"/>
              <a:alphaOff val="0"/>
            </a:schemeClr>
          </a:effectRef>
          <a:fontRef idx="minor">
            <a:schemeClr val="lt1"/>
          </a:fontRef>
        </xdr:style>
      </xdr:sp>
      <xdr:sp macro="" textlink="' '!A18">
        <xdr:nvSpPr>
          <xdr:cNvPr id="53" name="Freihandform 52">
            <a:extLst>
              <a:ext uri="{FF2B5EF4-FFF2-40B4-BE49-F238E27FC236}">
                <a16:creationId xmlns:a16="http://schemas.microsoft.com/office/drawing/2014/main" id="{00000000-0008-0000-0200-000035000000}"/>
              </a:ext>
            </a:extLst>
          </xdr:cNvPr>
          <xdr:cNvSpPr/>
        </xdr:nvSpPr>
        <xdr:spPr>
          <a:xfrm>
            <a:off x="2226755" y="4092373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643B12DF-68E8-40B8-B41A-B25982E0CD66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Produits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3</xdr:col>
      <xdr:colOff>488929</xdr:colOff>
      <xdr:row>20</xdr:row>
      <xdr:rowOff>15673</xdr:rowOff>
    </xdr:from>
    <xdr:to>
      <xdr:col>5</xdr:col>
      <xdr:colOff>601229</xdr:colOff>
      <xdr:row>21</xdr:row>
      <xdr:rowOff>102026</xdr:rowOff>
    </xdr:to>
    <xdr:grpSp>
      <xdr:nvGrpSpPr>
        <xdr:cNvPr id="15" name="Gruppieren 1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GrpSpPr/>
      </xdr:nvGrpSpPr>
      <xdr:grpSpPr>
        <a:xfrm>
          <a:off x="1936729" y="4168573"/>
          <a:ext cx="1682020" cy="269233"/>
          <a:chOff x="1974829" y="4501948"/>
          <a:chExt cx="1636300" cy="276853"/>
        </a:xfrm>
      </xdr:grpSpPr>
      <xdr:sp macro="" textlink="">
        <xdr:nvSpPr>
          <xdr:cNvPr id="55" name="Ellipse 54">
            <a:extLst>
              <a:ext uri="{FF2B5EF4-FFF2-40B4-BE49-F238E27FC236}">
                <a16:creationId xmlns:a16="http://schemas.microsoft.com/office/drawing/2014/main" id="{00000000-0008-0000-0200-000037000000}"/>
              </a:ext>
            </a:extLst>
          </xdr:cNvPr>
          <xdr:cNvSpPr>
            <a:spLocks noChangeAspect="1"/>
          </xdr:cNvSpPr>
        </xdr:nvSpPr>
        <xdr:spPr>
          <a:xfrm>
            <a:off x="1974829" y="4540849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2">
              <a:shade val="80000"/>
              <a:hueOff val="-8968"/>
              <a:satOff val="-1006"/>
              <a:lumOff val="6420"/>
              <a:alphaOff val="0"/>
            </a:schemeClr>
          </a:fillRef>
          <a:effectRef idx="2">
            <a:schemeClr val="accent2">
              <a:shade val="80000"/>
              <a:hueOff val="-8968"/>
              <a:satOff val="-1006"/>
              <a:lumOff val="6420"/>
              <a:alphaOff val="0"/>
            </a:schemeClr>
          </a:effectRef>
          <a:fontRef idx="minor">
            <a:schemeClr val="lt1"/>
          </a:fontRef>
        </xdr:style>
      </xdr:sp>
      <xdr:sp macro="" textlink="' '!A19">
        <xdr:nvSpPr>
          <xdr:cNvPr id="56" name="Freihandform 55">
            <a:extLst>
              <a:ext uri="{FF2B5EF4-FFF2-40B4-BE49-F238E27FC236}">
                <a16:creationId xmlns:a16="http://schemas.microsoft.com/office/drawing/2014/main" id="{00000000-0008-0000-0200-000038000000}"/>
              </a:ext>
            </a:extLst>
          </xdr:cNvPr>
          <xdr:cNvSpPr/>
        </xdr:nvSpPr>
        <xdr:spPr>
          <a:xfrm>
            <a:off x="2236280" y="4501948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00E5EE7B-02FB-4D4D-86F2-DE264F0A2159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Processus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5</xdr:col>
      <xdr:colOff>660379</xdr:colOff>
      <xdr:row>17</xdr:row>
      <xdr:rowOff>91873</xdr:rowOff>
    </xdr:from>
    <xdr:to>
      <xdr:col>8</xdr:col>
      <xdr:colOff>10679</xdr:colOff>
      <xdr:row>18</xdr:row>
      <xdr:rowOff>178226</xdr:rowOff>
    </xdr:to>
    <xdr:grpSp>
      <xdr:nvGrpSpPr>
        <xdr:cNvPr id="57" name="Gruppieren 5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GrpSpPr/>
      </xdr:nvGrpSpPr>
      <xdr:grpSpPr>
        <a:xfrm>
          <a:off x="3677899" y="3696133"/>
          <a:ext cx="1704880" cy="269233"/>
          <a:chOff x="3936979" y="4111423"/>
          <a:chExt cx="1636300" cy="276853"/>
        </a:xfrm>
      </xdr:grpSpPr>
      <xdr:sp macro="" textlink="">
        <xdr:nvSpPr>
          <xdr:cNvPr id="58" name="Ellipse 57">
            <a:extLst>
              <a:ext uri="{FF2B5EF4-FFF2-40B4-BE49-F238E27FC236}">
                <a16:creationId xmlns:a16="http://schemas.microsoft.com/office/drawing/2014/main" id="{00000000-0008-0000-0200-00003A000000}"/>
              </a:ext>
            </a:extLst>
          </xdr:cNvPr>
          <xdr:cNvSpPr>
            <a:spLocks noChangeAspect="1"/>
          </xdr:cNvSpPr>
        </xdr:nvSpPr>
        <xdr:spPr>
          <a:xfrm>
            <a:off x="3936979" y="4150324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2">
              <a:shade val="80000"/>
              <a:hueOff val="-26904"/>
              <a:satOff val="-3018"/>
              <a:lumOff val="19260"/>
              <a:alphaOff val="0"/>
            </a:schemeClr>
          </a:fillRef>
          <a:effectRef idx="2">
            <a:schemeClr val="accent2">
              <a:shade val="80000"/>
              <a:hueOff val="-26904"/>
              <a:satOff val="-3018"/>
              <a:lumOff val="19260"/>
              <a:alphaOff val="0"/>
            </a:schemeClr>
          </a:effectRef>
          <a:fontRef idx="minor">
            <a:schemeClr val="lt1"/>
          </a:fontRef>
        </xdr:style>
      </xdr:sp>
      <xdr:sp macro="" textlink="' '!A23">
        <xdr:nvSpPr>
          <xdr:cNvPr id="59" name="Freihandform 58">
            <a:extLst>
              <a:ext uri="{FF2B5EF4-FFF2-40B4-BE49-F238E27FC236}">
                <a16:creationId xmlns:a16="http://schemas.microsoft.com/office/drawing/2014/main" id="{00000000-0008-0000-0200-00003B000000}"/>
              </a:ext>
            </a:extLst>
          </xdr:cNvPr>
          <xdr:cNvSpPr/>
        </xdr:nvSpPr>
        <xdr:spPr>
          <a:xfrm>
            <a:off x="4198430" y="4111423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E99FA4BF-6643-45EF-8116-BDBFF87FA8CF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Benchmark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266700</xdr:colOff>
          <xdr:row>1</xdr:row>
          <xdr:rowOff>60960</xdr:rowOff>
        </xdr:from>
        <xdr:to>
          <xdr:col>12</xdr:col>
          <xdr:colOff>0</xdr:colOff>
          <xdr:row>1</xdr:row>
          <xdr:rowOff>228600</xdr:rowOff>
        </xdr:to>
        <xdr:sp macro="" textlink="">
          <xdr:nvSpPr>
            <xdr:cNvPr id="117762" name="Drop Down 2" hidden="1">
              <a:extLst>
                <a:ext uri="{63B3BB69-23CF-44E3-9099-C40C66FF867C}">
                  <a14:compatExt spid="_x0000_s117762"/>
                </a:ext>
                <a:ext uri="{FF2B5EF4-FFF2-40B4-BE49-F238E27FC236}">
                  <a16:creationId xmlns:a16="http://schemas.microsoft.com/office/drawing/2014/main" id="{00000000-0008-0000-0200-000002C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oneCellAnchor>
    <xdr:from>
      <xdr:col>10</xdr:col>
      <xdr:colOff>38100</xdr:colOff>
      <xdr:row>1</xdr:row>
      <xdr:rowOff>57150</xdr:rowOff>
    </xdr:from>
    <xdr:ext cx="172800" cy="172800"/>
    <xdr:grpSp>
      <xdr:nvGrpSpPr>
        <xdr:cNvPr id="47" name="Gruppieren 4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GrpSpPr/>
      </xdr:nvGrpSpPr>
      <xdr:grpSpPr>
        <a:xfrm>
          <a:off x="6979920" y="628650"/>
          <a:ext cx="172800" cy="172800"/>
          <a:chOff x="8105775" y="571500"/>
          <a:chExt cx="172800" cy="172800"/>
        </a:xfrm>
      </xdr:grpSpPr>
      <xdr:sp macro="" textlink="">
        <xdr:nvSpPr>
          <xdr:cNvPr id="50" name="Rechteck 49">
            <a:extLst>
              <a:ext uri="{FF2B5EF4-FFF2-40B4-BE49-F238E27FC236}">
                <a16:creationId xmlns:a16="http://schemas.microsoft.com/office/drawing/2014/main" id="{00000000-0008-0000-0200-000032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1" name="Textfeld 50">
            <a:extLst>
              <a:ext uri="{FF2B5EF4-FFF2-40B4-BE49-F238E27FC236}">
                <a16:creationId xmlns:a16="http://schemas.microsoft.com/office/drawing/2014/main" id="{00000000-0008-0000-0200-000033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oneCellAnchor>
  <xdr:twoCellAnchor>
    <xdr:from>
      <xdr:col>3</xdr:col>
      <xdr:colOff>488929</xdr:colOff>
      <xdr:row>23</xdr:row>
      <xdr:rowOff>53773</xdr:rowOff>
    </xdr:from>
    <xdr:to>
      <xdr:col>5</xdr:col>
      <xdr:colOff>601229</xdr:colOff>
      <xdr:row>24</xdr:row>
      <xdr:rowOff>140126</xdr:rowOff>
    </xdr:to>
    <xdr:grpSp>
      <xdr:nvGrpSpPr>
        <xdr:cNvPr id="54" name="Gruppieren 5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GrpSpPr/>
      </xdr:nvGrpSpPr>
      <xdr:grpSpPr>
        <a:xfrm>
          <a:off x="1936729" y="4755313"/>
          <a:ext cx="1682020" cy="269233"/>
          <a:chOff x="1984354" y="4835323"/>
          <a:chExt cx="1636300" cy="276853"/>
        </a:xfrm>
      </xdr:grpSpPr>
      <xdr:sp macro="" textlink="">
        <xdr:nvSpPr>
          <xdr:cNvPr id="63" name="Ellipse 62">
            <a:extLst>
              <a:ext uri="{FF2B5EF4-FFF2-40B4-BE49-F238E27FC236}">
                <a16:creationId xmlns:a16="http://schemas.microsoft.com/office/drawing/2014/main" id="{00000000-0008-0000-0200-00003F000000}"/>
              </a:ext>
            </a:extLst>
          </xdr:cNvPr>
          <xdr:cNvSpPr>
            <a:spLocks noChangeAspect="1"/>
          </xdr:cNvSpPr>
        </xdr:nvSpPr>
        <xdr:spPr>
          <a:xfrm>
            <a:off x="1984354" y="4874224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2">
              <a:shade val="80000"/>
              <a:hueOff val="-8968"/>
              <a:satOff val="-1006"/>
              <a:lumOff val="6420"/>
              <a:alphaOff val="0"/>
            </a:schemeClr>
          </a:fillRef>
          <a:effectRef idx="2">
            <a:schemeClr val="accent2">
              <a:shade val="80000"/>
              <a:hueOff val="-8968"/>
              <a:satOff val="-1006"/>
              <a:lumOff val="6420"/>
              <a:alphaOff val="0"/>
            </a:schemeClr>
          </a:effectRef>
          <a:fontRef idx="minor">
            <a:schemeClr val="lt1"/>
          </a:fontRef>
        </xdr:style>
      </xdr:sp>
      <xdr:sp macro="" textlink="' '!A21">
        <xdr:nvSpPr>
          <xdr:cNvPr id="64" name="Freihandform 63">
            <a:extLst>
              <a:ext uri="{FF2B5EF4-FFF2-40B4-BE49-F238E27FC236}">
                <a16:creationId xmlns:a16="http://schemas.microsoft.com/office/drawing/2014/main" id="{00000000-0008-0000-0200-000040000000}"/>
              </a:ext>
            </a:extLst>
          </xdr:cNvPr>
          <xdr:cNvSpPr/>
        </xdr:nvSpPr>
        <xdr:spPr>
          <a:xfrm>
            <a:off x="2245805" y="4835323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689BEC83-F9F0-4116-8609-57A16C9BD964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Causes et effets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8</xdr:col>
      <xdr:colOff>269854</xdr:colOff>
      <xdr:row>19</xdr:row>
      <xdr:rowOff>145055</xdr:rowOff>
    </xdr:from>
    <xdr:to>
      <xdr:col>10</xdr:col>
      <xdr:colOff>420254</xdr:colOff>
      <xdr:row>21</xdr:row>
      <xdr:rowOff>34558</xdr:rowOff>
    </xdr:to>
    <xdr:grpSp>
      <xdr:nvGrpSpPr>
        <xdr:cNvPr id="46" name="Gruppieren 45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GrpSpPr/>
      </xdr:nvGrpSpPr>
      <xdr:grpSpPr>
        <a:xfrm>
          <a:off x="5641954" y="4115075"/>
          <a:ext cx="1720120" cy="255263"/>
          <a:chOff x="5565754" y="3088279"/>
          <a:chExt cx="1674400" cy="270503"/>
        </a:xfrm>
      </xdr:grpSpPr>
      <xdr:sp macro="" textlink="">
        <xdr:nvSpPr>
          <xdr:cNvPr id="60" name="Ellipse 59">
            <a:extLst>
              <a:ext uri="{FF2B5EF4-FFF2-40B4-BE49-F238E27FC236}">
                <a16:creationId xmlns:a16="http://schemas.microsoft.com/office/drawing/2014/main" id="{00000000-0008-0000-0200-00003C000000}"/>
              </a:ext>
            </a:extLst>
          </xdr:cNvPr>
          <xdr:cNvSpPr>
            <a:spLocks noChangeAspect="1"/>
          </xdr:cNvSpPr>
        </xdr:nvSpPr>
        <xdr:spPr>
          <a:xfrm>
            <a:off x="5565754" y="3126288"/>
            <a:ext cx="184191" cy="175871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2">
              <a:shade val="80000"/>
              <a:hueOff val="-35872"/>
              <a:satOff val="-4024"/>
              <a:lumOff val="25680"/>
              <a:alphaOff val="0"/>
            </a:schemeClr>
          </a:fillRef>
          <a:effectRef idx="2">
            <a:schemeClr val="accent2">
              <a:shade val="80000"/>
              <a:hueOff val="-35872"/>
              <a:satOff val="-4024"/>
              <a:lumOff val="2568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61" name="Freihandform 60">
            <a:extLst>
              <a:ext uri="{FF2B5EF4-FFF2-40B4-BE49-F238E27FC236}">
                <a16:creationId xmlns:a16="http://schemas.microsoft.com/office/drawing/2014/main" id="{00000000-0008-0000-0200-00003D000000}"/>
              </a:ext>
            </a:extLst>
          </xdr:cNvPr>
          <xdr:cNvSpPr/>
        </xdr:nvSpPr>
        <xdr:spPr>
          <a:xfrm>
            <a:off x="5833293" y="3088279"/>
            <a:ext cx="1406861" cy="27050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de-CH" sz="1200" kern="1200">
                <a:solidFill>
                  <a:schemeClr val="tx1"/>
                </a:solidFill>
              </a:rPr>
              <a:t>SWOT</a:t>
            </a:r>
          </a:p>
        </xdr:txBody>
      </xdr:sp>
    </xdr:grpSp>
    <xdr:clientData/>
  </xdr:twoCellAnchor>
  <xdr:twoCellAnchor>
    <xdr:from>
      <xdr:col>8</xdr:col>
      <xdr:colOff>552450</xdr:colOff>
      <xdr:row>13</xdr:row>
      <xdr:rowOff>66675</xdr:rowOff>
    </xdr:from>
    <xdr:to>
      <xdr:col>10</xdr:col>
      <xdr:colOff>403299</xdr:colOff>
      <xdr:row>14</xdr:row>
      <xdr:rowOff>124454</xdr:rowOff>
    </xdr:to>
    <xdr:sp macro="" textlink="">
      <xdr:nvSpPr>
        <xdr:cNvPr id="62" name="Freihandform 61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/>
      </xdr:nvSpPr>
      <xdr:spPr>
        <a:xfrm>
          <a:off x="5772150" y="2990850"/>
          <a:ext cx="1374849" cy="248279"/>
        </a:xfrm>
        <a:custGeom>
          <a:avLst/>
          <a:gdLst>
            <a:gd name="connsiteX0" fmla="*/ 0 w 1478184"/>
            <a:gd name="connsiteY0" fmla="*/ 0 h 2010507"/>
            <a:gd name="connsiteX1" fmla="*/ 1478184 w 1478184"/>
            <a:gd name="connsiteY1" fmla="*/ 0 h 2010507"/>
            <a:gd name="connsiteX2" fmla="*/ 1478184 w 1478184"/>
            <a:gd name="connsiteY2" fmla="*/ 2010507 h 2010507"/>
            <a:gd name="connsiteX3" fmla="*/ 0 w 1478184"/>
            <a:gd name="connsiteY3" fmla="*/ 2010507 h 2010507"/>
            <a:gd name="connsiteX4" fmla="*/ 0 w 1478184"/>
            <a:gd name="connsiteY4" fmla="*/ 0 h 20105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78184" h="2010507">
              <a:moveTo>
                <a:pt x="0" y="0"/>
              </a:moveTo>
              <a:lnTo>
                <a:pt x="1478184" y="0"/>
              </a:lnTo>
              <a:lnTo>
                <a:pt x="1478184" y="2010507"/>
              </a:lnTo>
              <a:lnTo>
                <a:pt x="0" y="2010507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lvl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de-CH" sz="1200" u="sng" kern="1200">
              <a:solidFill>
                <a:schemeClr val="accent2">
                  <a:lumMod val="75000"/>
                </a:schemeClr>
              </a:solidFill>
            </a:rPr>
            <a:t>Global Trends 2030</a:t>
          </a:r>
        </a:p>
      </xdr:txBody>
    </xdr:sp>
    <xdr:clientData/>
  </xdr:twoCellAnchor>
  <xdr:twoCellAnchor>
    <xdr:from>
      <xdr:col>8</xdr:col>
      <xdr:colOff>269854</xdr:colOff>
      <xdr:row>14</xdr:row>
      <xdr:rowOff>135133</xdr:rowOff>
    </xdr:from>
    <xdr:to>
      <xdr:col>10</xdr:col>
      <xdr:colOff>590550</xdr:colOff>
      <xdr:row>16</xdr:row>
      <xdr:rowOff>30986</xdr:rowOff>
    </xdr:to>
    <xdr:grpSp>
      <xdr:nvGrpSpPr>
        <xdr:cNvPr id="2" name="Gruppieren 1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5641954" y="3190753"/>
          <a:ext cx="1890416" cy="261613"/>
          <a:chOff x="5489554" y="3259333"/>
          <a:chExt cx="1844696" cy="276853"/>
        </a:xfrm>
      </xdr:grpSpPr>
      <xdr:sp macro="" textlink="">
        <xdr:nvSpPr>
          <xdr:cNvPr id="66" name="Ellipse 65">
            <a:extLst>
              <a:ext uri="{FF2B5EF4-FFF2-40B4-BE49-F238E27FC236}">
                <a16:creationId xmlns:a16="http://schemas.microsoft.com/office/drawing/2014/main" id="{00000000-0008-0000-0200-000042000000}"/>
              </a:ext>
            </a:extLst>
          </xdr:cNvPr>
          <xdr:cNvSpPr>
            <a:spLocks noChangeAspect="1"/>
          </xdr:cNvSpPr>
        </xdr:nvSpPr>
        <xdr:spPr>
          <a:xfrm>
            <a:off x="5489554" y="3298234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2">
              <a:shade val="80000"/>
              <a:hueOff val="-35872"/>
              <a:satOff val="-4024"/>
              <a:lumOff val="25680"/>
              <a:alphaOff val="0"/>
            </a:schemeClr>
          </a:fillRef>
          <a:effectRef idx="2">
            <a:schemeClr val="accent2">
              <a:shade val="80000"/>
              <a:hueOff val="-35872"/>
              <a:satOff val="-4024"/>
              <a:lumOff val="25680"/>
              <a:alphaOff val="0"/>
            </a:schemeClr>
          </a:effectRef>
          <a:fontRef idx="minor">
            <a:schemeClr val="lt1"/>
          </a:fontRef>
        </xdr:style>
      </xdr:sp>
      <xdr:sp macro="" textlink="' '!A47">
        <xdr:nvSpPr>
          <xdr:cNvPr id="67" name="Freihandform 66">
            <a:extLst>
              <a:ext uri="{FF2B5EF4-FFF2-40B4-BE49-F238E27FC236}">
                <a16:creationId xmlns:a16="http://schemas.microsoft.com/office/drawing/2014/main" id="{00000000-0008-0000-0200-000043000000}"/>
              </a:ext>
            </a:extLst>
          </xdr:cNvPr>
          <xdr:cNvSpPr/>
        </xdr:nvSpPr>
        <xdr:spPr>
          <a:xfrm>
            <a:off x="5751005" y="3259333"/>
            <a:ext cx="1583245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6B5E0F11-F982-4968-B2EF-B6D1C71130F0}" type="TxLink">
              <a:rPr lang="en-US" sz="11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Consumer Trend Canvas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480060</xdr:colOff>
          <xdr:row>0</xdr:row>
          <xdr:rowOff>15240</xdr:rowOff>
        </xdr:from>
        <xdr:to>
          <xdr:col>12</xdr:col>
          <xdr:colOff>3810</xdr:colOff>
          <xdr:row>0</xdr:row>
          <xdr:rowOff>548640</xdr:rowOff>
        </xdr:to>
        <xdr:pic>
          <xdr:nvPicPr>
            <xdr:cNvPr id="71" name="Grafik 45">
              <a:extLst>
                <a:ext uri="{FF2B5EF4-FFF2-40B4-BE49-F238E27FC236}">
                  <a16:creationId xmlns:a16="http://schemas.microsoft.com/office/drawing/2014/main" id="{00000000-0008-0000-0200-00004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17769"/>
                </a:ext>
              </a:extLst>
            </xdr:cNvPicPr>
          </xdr:nvPicPr>
          <xdr:blipFill>
            <a:blip xmlns:r="http://schemas.openxmlformats.org/officeDocument/2006/relationships" r:embed="rId17"/>
            <a:srcRect/>
            <a:stretch>
              <a:fillRect/>
            </a:stretch>
          </xdr:blipFill>
          <xdr:spPr bwMode="auto">
            <a:xfrm>
              <a:off x="5852160" y="1524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6" name="Gruppieren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76200" y="104775"/>
          <a:ext cx="324000" cy="325465"/>
          <a:chOff x="12729063" y="1298331"/>
          <a:chExt cx="324000" cy="323267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8" name="Grafik 7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>
    <xdr:from>
      <xdr:col>0</xdr:col>
      <xdr:colOff>466724</xdr:colOff>
      <xdr:row>2</xdr:row>
      <xdr:rowOff>26788</xdr:rowOff>
    </xdr:from>
    <xdr:to>
      <xdr:col>10</xdr:col>
      <xdr:colOff>447675</xdr:colOff>
      <xdr:row>25</xdr:row>
      <xdr:rowOff>44647</xdr:rowOff>
    </xdr:to>
    <xdr:sp macro="" textlink="">
      <xdr:nvSpPr>
        <xdr:cNvPr id="11" name="Form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466724" y="855463"/>
          <a:ext cx="6724651" cy="4399359"/>
        </a:xfrm>
        <a:prstGeom prst="swooshArrow">
          <a:avLst>
            <a:gd name="adj1" fmla="val 25000"/>
            <a:gd name="adj2" fmla="val 25000"/>
          </a:avLst>
        </a:prstGeom>
      </xdr:spPr>
      <xdr:style>
        <a:lnRef idx="0">
          <a:schemeClr val="accent3">
            <a:hueOff val="0"/>
            <a:satOff val="0"/>
            <a:lumOff val="0"/>
            <a:alphaOff val="0"/>
          </a:schemeClr>
        </a:lnRef>
        <a:fillRef idx="1">
          <a:schemeClr val="accent3">
            <a:tint val="40000"/>
            <a:hueOff val="0"/>
            <a:satOff val="0"/>
            <a:lumOff val="0"/>
            <a:alphaOff val="0"/>
          </a:schemeClr>
        </a:fillRef>
        <a:effectRef idx="2">
          <a:schemeClr val="accent3">
            <a:tint val="40000"/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3</xdr:col>
      <xdr:colOff>465571</xdr:colOff>
      <xdr:row>15</xdr:row>
      <xdr:rowOff>55536</xdr:rowOff>
    </xdr:from>
    <xdr:to>
      <xdr:col>3</xdr:col>
      <xdr:colOff>747130</xdr:colOff>
      <xdr:row>16</xdr:row>
      <xdr:rowOff>146595</xdr:rowOff>
    </xdr:to>
    <xdr:sp macro="" textlink="">
      <xdr:nvSpPr>
        <xdr:cNvPr id="14" name="Ellips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1875271" y="3360711"/>
          <a:ext cx="281559" cy="281559"/>
        </a:xfrm>
        <a:prstGeom prst="ellipse">
          <a:avLst/>
        </a:prstGeom>
        <a:gradFill>
          <a:gsLst>
            <a:gs pos="0">
              <a:schemeClr val="accent3">
                <a:lumMod val="75000"/>
              </a:schemeClr>
            </a:gs>
            <a:gs pos="80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40000"/>
                <a:lumOff val="60000"/>
              </a:schemeClr>
            </a:gs>
          </a:gsLst>
        </a:gradFill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3">
            <a:hueOff val="0"/>
            <a:satOff val="0"/>
            <a:lumOff val="0"/>
            <a:alphaOff val="0"/>
          </a:schemeClr>
        </a:fillRef>
        <a:effectRef idx="2">
          <a:schemeClr val="accent3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</xdr:sp>
    <xdr:clientData/>
  </xdr:twoCellAnchor>
  <xdr:oneCellAnchor>
    <xdr:from>
      <xdr:col>0</xdr:col>
      <xdr:colOff>304800</xdr:colOff>
      <xdr:row>12</xdr:row>
      <xdr:rowOff>62965</xdr:rowOff>
    </xdr:from>
    <xdr:ext cx="1684485" cy="253659"/>
    <xdr:sp macro="" textlink="' '!A27">
      <xdr:nvSpPr>
        <xdr:cNvPr id="15" name="Freihandform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304800" y="2796640"/>
          <a:ext cx="1684485" cy="253659"/>
        </a:xfrm>
        <a:custGeom>
          <a:avLst/>
          <a:gdLst>
            <a:gd name="connsiteX0" fmla="*/ 0 w 1478184"/>
            <a:gd name="connsiteY0" fmla="*/ 0 h 2010507"/>
            <a:gd name="connsiteX1" fmla="*/ 1478184 w 1478184"/>
            <a:gd name="connsiteY1" fmla="*/ 0 h 2010507"/>
            <a:gd name="connsiteX2" fmla="*/ 1478184 w 1478184"/>
            <a:gd name="connsiteY2" fmla="*/ 2010507 h 2010507"/>
            <a:gd name="connsiteX3" fmla="*/ 0 w 1478184"/>
            <a:gd name="connsiteY3" fmla="*/ 2010507 h 2010507"/>
            <a:gd name="connsiteX4" fmla="*/ 0 w 1478184"/>
            <a:gd name="connsiteY4" fmla="*/ 0 h 20105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78184" h="2010507">
              <a:moveTo>
                <a:pt x="0" y="0"/>
              </a:moveTo>
              <a:lnTo>
                <a:pt x="1478184" y="0"/>
              </a:lnTo>
              <a:lnTo>
                <a:pt x="1478184" y="2010507"/>
              </a:lnTo>
              <a:lnTo>
                <a:pt x="0" y="2010507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0" tIns="0" rIns="0" bIns="0" numCol="1" spcCol="1270" anchor="t" anchorCtr="0">
          <a:spAutoFit/>
        </a:bodyPr>
        <a:lstStyle/>
        <a:p>
          <a:pPr marL="0" lvl="0" indent="0" algn="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0224D074-3D87-46CC-815D-6FA9D2AE8374}" type="TxLink">
            <a:rPr lang="en-US" sz="1800" kern="1200">
              <a:solidFill>
                <a:schemeClr val="accent3">
                  <a:lumMod val="50000"/>
                </a:schemeClr>
              </a:solidFill>
              <a:latin typeface="+mn-lt"/>
              <a:ea typeface="+mn-ea"/>
              <a:cs typeface="+mn-cs"/>
            </a:rPr>
            <a:pPr marL="0" lvl="0" indent="0" algn="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Recherche d'idées</a:t>
          </a:fld>
          <a:endParaRPr lang="de-CH" sz="1800" kern="1200">
            <a:solidFill>
              <a:schemeClr val="accent3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5</xdr:col>
      <xdr:colOff>583134</xdr:colOff>
      <xdr:row>10</xdr:row>
      <xdr:rowOff>44436</xdr:rowOff>
    </xdr:from>
    <xdr:to>
      <xdr:col>6</xdr:col>
      <xdr:colOff>194199</xdr:colOff>
      <xdr:row>12</xdr:row>
      <xdr:rowOff>36501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3516834" y="2397111"/>
          <a:ext cx="373065" cy="373065"/>
        </a:xfrm>
        <a:prstGeom prst="ellipse">
          <a:avLst/>
        </a:prstGeom>
        <a:gradFill>
          <a:gsLst>
            <a:gs pos="0">
              <a:schemeClr val="accent3">
                <a:lumMod val="75000"/>
              </a:schemeClr>
            </a:gs>
            <a:gs pos="80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40000"/>
                <a:lumOff val="60000"/>
              </a:schemeClr>
            </a:gs>
          </a:gsLst>
        </a:gradFill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3">
            <a:hueOff val="0"/>
            <a:satOff val="0"/>
            <a:lumOff val="0"/>
            <a:alphaOff val="0"/>
          </a:schemeClr>
        </a:fillRef>
        <a:effectRef idx="2">
          <a:schemeClr val="accent3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</xdr:sp>
    <xdr:clientData/>
  </xdr:twoCellAnchor>
  <xdr:twoCellAnchor>
    <xdr:from>
      <xdr:col>8</xdr:col>
      <xdr:colOff>135592</xdr:colOff>
      <xdr:row>7</xdr:row>
      <xdr:rowOff>12273</xdr:rowOff>
    </xdr:from>
    <xdr:to>
      <xdr:col>8</xdr:col>
      <xdr:colOff>635359</xdr:colOff>
      <xdr:row>9</xdr:row>
      <xdr:rowOff>131040</xdr:rowOff>
    </xdr:to>
    <xdr:sp macro="" textlink="">
      <xdr:nvSpPr>
        <xdr:cNvPr id="18" name="Ellipse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5355292" y="1793448"/>
          <a:ext cx="499767" cy="499767"/>
        </a:xfrm>
        <a:prstGeom prst="ellipse">
          <a:avLst/>
        </a:prstGeom>
        <a:gradFill>
          <a:gsLst>
            <a:gs pos="0">
              <a:schemeClr val="accent3">
                <a:lumMod val="75000"/>
              </a:schemeClr>
            </a:gs>
            <a:gs pos="80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40000"/>
                <a:lumOff val="60000"/>
              </a:schemeClr>
            </a:gs>
          </a:gsLst>
        </a:gradFill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3">
            <a:hueOff val="0"/>
            <a:satOff val="0"/>
            <a:lumOff val="0"/>
            <a:alphaOff val="0"/>
          </a:schemeClr>
        </a:fillRef>
        <a:effectRef idx="2">
          <a:schemeClr val="accent3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</xdr:sp>
    <xdr:clientData/>
  </xdr:twoCellAnchor>
  <xdr:twoCellAnchor>
    <xdr:from>
      <xdr:col>8</xdr:col>
      <xdr:colOff>385476</xdr:colOff>
      <xdr:row>8</xdr:row>
      <xdr:rowOff>71657</xdr:rowOff>
    </xdr:from>
    <xdr:to>
      <xdr:col>10</xdr:col>
      <xdr:colOff>339660</xdr:colOff>
      <xdr:row>24</xdr:row>
      <xdr:rowOff>177998</xdr:rowOff>
    </xdr:to>
    <xdr:sp macro="" textlink="">
      <xdr:nvSpPr>
        <xdr:cNvPr id="19" name="Freihandform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/>
      </xdr:nvSpPr>
      <xdr:spPr>
        <a:xfrm>
          <a:off x="5605176" y="2043332"/>
          <a:ext cx="1478184" cy="3154341"/>
        </a:xfrm>
        <a:custGeom>
          <a:avLst/>
          <a:gdLst>
            <a:gd name="connsiteX0" fmla="*/ 0 w 1478184"/>
            <a:gd name="connsiteY0" fmla="*/ 0 h 3154341"/>
            <a:gd name="connsiteX1" fmla="*/ 1478184 w 1478184"/>
            <a:gd name="connsiteY1" fmla="*/ 0 h 3154341"/>
            <a:gd name="connsiteX2" fmla="*/ 1478184 w 1478184"/>
            <a:gd name="connsiteY2" fmla="*/ 3154341 h 3154341"/>
            <a:gd name="connsiteX3" fmla="*/ 0 w 1478184"/>
            <a:gd name="connsiteY3" fmla="*/ 3154341 h 3154341"/>
            <a:gd name="connsiteX4" fmla="*/ 0 w 1478184"/>
            <a:gd name="connsiteY4" fmla="*/ 0 h 315434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78184" h="3154341">
              <a:moveTo>
                <a:pt x="0" y="0"/>
              </a:moveTo>
              <a:lnTo>
                <a:pt x="1478184" y="0"/>
              </a:lnTo>
              <a:lnTo>
                <a:pt x="1478184" y="3154341"/>
              </a:lnTo>
              <a:lnTo>
                <a:pt x="0" y="3154341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264816" tIns="0" rIns="0" bIns="0" numCol="1" spcCol="1270" anchor="t" anchorCtr="0">
          <a:noAutofit/>
        </a:bodyPr>
        <a:lstStyle/>
        <a:p>
          <a:pPr lvl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de-CH" sz="1200" kern="1200">
            <a:solidFill>
              <a:schemeClr val="accent3">
                <a:lumMod val="50000"/>
              </a:schemeClr>
            </a:solidFill>
          </a:endParaRPr>
        </a:p>
      </xdr:txBody>
    </xdr:sp>
    <xdr:clientData/>
  </xdr:twoCellAnchor>
  <xdr:oneCellAnchor>
    <xdr:from>
      <xdr:col>4</xdr:col>
      <xdr:colOff>92001</xdr:colOff>
      <xdr:row>7</xdr:row>
      <xdr:rowOff>5815</xdr:rowOff>
    </xdr:from>
    <xdr:ext cx="1478184" cy="253659"/>
    <xdr:sp macro="" textlink="' '!A28">
      <xdr:nvSpPr>
        <xdr:cNvPr id="23" name="Freihandform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/>
      </xdr:nvSpPr>
      <xdr:spPr>
        <a:xfrm>
          <a:off x="2263701" y="1786990"/>
          <a:ext cx="1478184" cy="253659"/>
        </a:xfrm>
        <a:custGeom>
          <a:avLst/>
          <a:gdLst>
            <a:gd name="connsiteX0" fmla="*/ 0 w 1478184"/>
            <a:gd name="connsiteY0" fmla="*/ 0 h 2010507"/>
            <a:gd name="connsiteX1" fmla="*/ 1478184 w 1478184"/>
            <a:gd name="connsiteY1" fmla="*/ 0 h 2010507"/>
            <a:gd name="connsiteX2" fmla="*/ 1478184 w 1478184"/>
            <a:gd name="connsiteY2" fmla="*/ 2010507 h 2010507"/>
            <a:gd name="connsiteX3" fmla="*/ 0 w 1478184"/>
            <a:gd name="connsiteY3" fmla="*/ 2010507 h 2010507"/>
            <a:gd name="connsiteX4" fmla="*/ 0 w 1478184"/>
            <a:gd name="connsiteY4" fmla="*/ 0 h 20105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78184" h="2010507">
              <a:moveTo>
                <a:pt x="0" y="0"/>
              </a:moveTo>
              <a:lnTo>
                <a:pt x="1478184" y="0"/>
              </a:lnTo>
              <a:lnTo>
                <a:pt x="1478184" y="2010507"/>
              </a:lnTo>
              <a:lnTo>
                <a:pt x="0" y="2010507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0" tIns="0" rIns="0" bIns="0" numCol="1" spcCol="1270" anchor="t" anchorCtr="0">
          <a:spAutoFit/>
        </a:bodyPr>
        <a:lstStyle/>
        <a:p>
          <a:pPr marL="0" lvl="0" indent="0" algn="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95F5D12A-7B01-47F2-A3DF-AAD8292CC5DD}" type="TxLink">
            <a:rPr lang="en-US" sz="1800" kern="1200">
              <a:solidFill>
                <a:schemeClr val="accent3">
                  <a:lumMod val="50000"/>
                </a:schemeClr>
              </a:solidFill>
              <a:latin typeface="+mn-lt"/>
              <a:ea typeface="+mn-ea"/>
              <a:cs typeface="+mn-cs"/>
            </a:rPr>
            <a:pPr marL="0" lvl="0" indent="0" algn="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Évaluation</a:t>
          </a:fld>
          <a:endParaRPr lang="de-CH" sz="1800" kern="1200">
            <a:solidFill>
              <a:schemeClr val="accent3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615876</xdr:colOff>
      <xdr:row>3</xdr:row>
      <xdr:rowOff>62965</xdr:rowOff>
    </xdr:from>
    <xdr:ext cx="1478184" cy="253659"/>
    <xdr:sp macro="" textlink="' '!A29">
      <xdr:nvSpPr>
        <xdr:cNvPr id="24" name="Freihandform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/>
      </xdr:nvSpPr>
      <xdr:spPr>
        <a:xfrm>
          <a:off x="4311576" y="1082140"/>
          <a:ext cx="1478184" cy="253659"/>
        </a:xfrm>
        <a:custGeom>
          <a:avLst/>
          <a:gdLst>
            <a:gd name="connsiteX0" fmla="*/ 0 w 1478184"/>
            <a:gd name="connsiteY0" fmla="*/ 0 h 2010507"/>
            <a:gd name="connsiteX1" fmla="*/ 1478184 w 1478184"/>
            <a:gd name="connsiteY1" fmla="*/ 0 h 2010507"/>
            <a:gd name="connsiteX2" fmla="*/ 1478184 w 1478184"/>
            <a:gd name="connsiteY2" fmla="*/ 2010507 h 2010507"/>
            <a:gd name="connsiteX3" fmla="*/ 0 w 1478184"/>
            <a:gd name="connsiteY3" fmla="*/ 2010507 h 2010507"/>
            <a:gd name="connsiteX4" fmla="*/ 0 w 1478184"/>
            <a:gd name="connsiteY4" fmla="*/ 0 h 20105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78184" h="2010507">
              <a:moveTo>
                <a:pt x="0" y="0"/>
              </a:moveTo>
              <a:lnTo>
                <a:pt x="1478184" y="0"/>
              </a:lnTo>
              <a:lnTo>
                <a:pt x="1478184" y="2010507"/>
              </a:lnTo>
              <a:lnTo>
                <a:pt x="0" y="2010507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0" tIns="0" rIns="0" bIns="0" numCol="1" spcCol="1270" anchor="t" anchorCtr="0">
          <a:spAutoFit/>
        </a:bodyPr>
        <a:lstStyle/>
        <a:p>
          <a:pPr marL="0" lvl="0" indent="0" algn="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8F654203-0DE4-4820-8D7B-691D618D14FD}" type="TxLink">
            <a:rPr lang="en-US" sz="1800" kern="1200">
              <a:solidFill>
                <a:schemeClr val="accent3">
                  <a:lumMod val="50000"/>
                </a:schemeClr>
              </a:solidFill>
              <a:latin typeface="+mn-lt"/>
              <a:ea typeface="+mn-ea"/>
              <a:cs typeface="+mn-cs"/>
            </a:rPr>
            <a:pPr marL="0" lvl="0" indent="0" algn="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Décision</a:t>
          </a:fld>
          <a:endParaRPr lang="de-CH" sz="1800" kern="1200">
            <a:solidFill>
              <a:schemeClr val="accent3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3</xdr:col>
      <xdr:colOff>516350</xdr:colOff>
      <xdr:row>18</xdr:row>
      <xdr:rowOff>143047</xdr:rowOff>
    </xdr:from>
    <xdr:to>
      <xdr:col>3</xdr:col>
      <xdr:colOff>696350</xdr:colOff>
      <xdr:row>19</xdr:row>
      <xdr:rowOff>132547</xdr:rowOff>
    </xdr:to>
    <xdr:sp macro="" textlink="">
      <xdr:nvSpPr>
        <xdr:cNvPr id="22" name="Ellipse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 noChangeAspect="1"/>
        </xdr:cNvSpPr>
      </xdr:nvSpPr>
      <xdr:spPr>
        <a:xfrm>
          <a:off x="1926050" y="4019722"/>
          <a:ext cx="180000" cy="180000"/>
        </a:xfrm>
        <a:prstGeom prst="ellipse">
          <a:avLst/>
        </a:prstGeom>
        <a:gradFill>
          <a:gsLst>
            <a:gs pos="0">
              <a:schemeClr val="accent3">
                <a:lumMod val="75000"/>
              </a:schemeClr>
            </a:gs>
            <a:gs pos="80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40000"/>
                <a:lumOff val="60000"/>
              </a:schemeClr>
            </a:gs>
          </a:gsLst>
        </a:gradFill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3">
            <a:hueOff val="0"/>
            <a:satOff val="0"/>
            <a:lumOff val="0"/>
            <a:alphaOff val="0"/>
          </a:schemeClr>
        </a:fillRef>
        <a:effectRef idx="2">
          <a:schemeClr val="accent3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</xdr:sp>
    <xdr:clientData/>
  </xdr:twoCellAnchor>
  <xdr:twoCellAnchor>
    <xdr:from>
      <xdr:col>4</xdr:col>
      <xdr:colOff>15801</xdr:colOff>
      <xdr:row>18</xdr:row>
      <xdr:rowOff>94621</xdr:rowOff>
    </xdr:from>
    <xdr:to>
      <xdr:col>5</xdr:col>
      <xdr:colOff>638175</xdr:colOff>
      <xdr:row>19</xdr:row>
      <xdr:rowOff>180974</xdr:rowOff>
    </xdr:to>
    <xdr:sp macro="" textlink="' '!A30">
      <xdr:nvSpPr>
        <xdr:cNvPr id="25" name="Freihandform 2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/>
      </xdr:nvSpPr>
      <xdr:spPr>
        <a:xfrm>
          <a:off x="2187501" y="3971296"/>
          <a:ext cx="1384374" cy="276853"/>
        </a:xfrm>
        <a:custGeom>
          <a:avLst/>
          <a:gdLst>
            <a:gd name="connsiteX0" fmla="*/ 0 w 1478184"/>
            <a:gd name="connsiteY0" fmla="*/ 0 h 2010507"/>
            <a:gd name="connsiteX1" fmla="*/ 1478184 w 1478184"/>
            <a:gd name="connsiteY1" fmla="*/ 0 h 2010507"/>
            <a:gd name="connsiteX2" fmla="*/ 1478184 w 1478184"/>
            <a:gd name="connsiteY2" fmla="*/ 2010507 h 2010507"/>
            <a:gd name="connsiteX3" fmla="*/ 0 w 1478184"/>
            <a:gd name="connsiteY3" fmla="*/ 2010507 h 2010507"/>
            <a:gd name="connsiteX4" fmla="*/ 0 w 1478184"/>
            <a:gd name="connsiteY4" fmla="*/ 0 h 20105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78184" h="2010507">
              <a:moveTo>
                <a:pt x="0" y="0"/>
              </a:moveTo>
              <a:lnTo>
                <a:pt x="1478184" y="0"/>
              </a:lnTo>
              <a:lnTo>
                <a:pt x="1478184" y="2010507"/>
              </a:lnTo>
              <a:lnTo>
                <a:pt x="0" y="2010507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marL="0" lvl="0" indent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78BC8A7F-00B9-42E6-909E-D3BB5682F87C}" type="TxLink">
            <a:rPr lang="en-US" sz="1200" u="sng" kern="1200">
              <a:solidFill>
                <a:schemeClr val="accent3">
                  <a:lumMod val="50000"/>
                </a:schemeClr>
              </a:solidFill>
              <a:latin typeface="+mn-lt"/>
              <a:ea typeface="+mn-ea"/>
              <a:cs typeface="+mn-cs"/>
            </a:rPr>
            <a:pPr marL="0" lvl="0" indent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Techniques de créativités</a:t>
          </a:fld>
          <a:endParaRPr lang="de-CH" sz="1200" u="sng" kern="1200">
            <a:solidFill>
              <a:schemeClr val="accent3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716375</xdr:colOff>
      <xdr:row>14</xdr:row>
      <xdr:rowOff>46996</xdr:rowOff>
    </xdr:from>
    <xdr:to>
      <xdr:col>8</xdr:col>
      <xdr:colOff>66675</xdr:colOff>
      <xdr:row>15</xdr:row>
      <xdr:rowOff>133349</xdr:rowOff>
    </xdr:to>
    <xdr:grpSp>
      <xdr:nvGrpSpPr>
        <xdr:cNvPr id="61" name="Gruppieren 6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GrpSpPr/>
      </xdr:nvGrpSpPr>
      <xdr:grpSpPr>
        <a:xfrm>
          <a:off x="3733895" y="3094996"/>
          <a:ext cx="1704880" cy="269233"/>
          <a:chOff x="1926050" y="3971296"/>
          <a:chExt cx="1636300" cy="276853"/>
        </a:xfrm>
      </xdr:grpSpPr>
      <xdr:sp macro="" textlink="">
        <xdr:nvSpPr>
          <xdr:cNvPr id="62" name="Ellipse 61">
            <a:extLst>
              <a:ext uri="{FF2B5EF4-FFF2-40B4-BE49-F238E27FC236}">
                <a16:creationId xmlns:a16="http://schemas.microsoft.com/office/drawing/2014/main" id="{00000000-0008-0000-0300-00003E000000}"/>
              </a:ext>
            </a:extLst>
          </xdr:cNvPr>
          <xdr:cNvSpPr>
            <a:spLocks noChangeAspect="1"/>
          </xdr:cNvSpPr>
        </xdr:nvSpPr>
        <xdr:spPr>
          <a:xfrm>
            <a:off x="1926050" y="4019722"/>
            <a:ext cx="180000" cy="180000"/>
          </a:xfrm>
          <a:prstGeom prst="ellipse">
            <a:avLst/>
          </a:prstGeom>
          <a:gradFill>
            <a:gsLst>
              <a:gs pos="0">
                <a:schemeClr val="accent3">
                  <a:lumMod val="75000"/>
                </a:schemeClr>
              </a:gs>
              <a:gs pos="80000">
                <a:schemeClr val="accent3">
                  <a:lumMod val="60000"/>
                  <a:lumOff val="40000"/>
                </a:schemeClr>
              </a:gs>
              <a:gs pos="100000">
                <a:schemeClr val="accent3">
                  <a:lumMod val="40000"/>
                  <a:lumOff val="60000"/>
                </a:schemeClr>
              </a:gs>
            </a:gsLst>
          </a:gradFill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3">
              <a:hueOff val="0"/>
              <a:satOff val="0"/>
              <a:lumOff val="0"/>
              <a:alphaOff val="0"/>
            </a:schemeClr>
          </a:fillRef>
          <a:effectRef idx="2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' '!A31">
        <xdr:nvSpPr>
          <xdr:cNvPr id="63" name="Freihandform 62">
            <a:extLst>
              <a:ext uri="{FF2B5EF4-FFF2-40B4-BE49-F238E27FC236}">
                <a16:creationId xmlns:a16="http://schemas.microsoft.com/office/drawing/2014/main" id="{00000000-0008-0000-0300-00003F000000}"/>
              </a:ext>
            </a:extLst>
          </xdr:cNvPr>
          <xdr:cNvSpPr/>
        </xdr:nvSpPr>
        <xdr:spPr>
          <a:xfrm>
            <a:off x="2187501" y="3971296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E2FE16B8-0943-428D-A274-9A9BD368D111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Plus-values clients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3</xdr:col>
      <xdr:colOff>516350</xdr:colOff>
      <xdr:row>20</xdr:row>
      <xdr:rowOff>61283</xdr:rowOff>
    </xdr:from>
    <xdr:to>
      <xdr:col>5</xdr:col>
      <xdr:colOff>628650</xdr:colOff>
      <xdr:row>21</xdr:row>
      <xdr:rowOff>147636</xdr:rowOff>
    </xdr:to>
    <xdr:grpSp>
      <xdr:nvGrpSpPr>
        <xdr:cNvPr id="64" name="Gruppieren 63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GrpSpPr/>
      </xdr:nvGrpSpPr>
      <xdr:grpSpPr>
        <a:xfrm>
          <a:off x="1964150" y="4206563"/>
          <a:ext cx="1682020" cy="269233"/>
          <a:chOff x="1926050" y="3980821"/>
          <a:chExt cx="1636300" cy="276853"/>
        </a:xfrm>
      </xdr:grpSpPr>
      <xdr:sp macro="" textlink="">
        <xdr:nvSpPr>
          <xdr:cNvPr id="65" name="Ellipse 64">
            <a:extLst>
              <a:ext uri="{FF2B5EF4-FFF2-40B4-BE49-F238E27FC236}">
                <a16:creationId xmlns:a16="http://schemas.microsoft.com/office/drawing/2014/main" id="{00000000-0008-0000-0300-000041000000}"/>
              </a:ext>
            </a:extLst>
          </xdr:cNvPr>
          <xdr:cNvSpPr>
            <a:spLocks noChangeAspect="1"/>
          </xdr:cNvSpPr>
        </xdr:nvSpPr>
        <xdr:spPr>
          <a:xfrm>
            <a:off x="1926050" y="4019722"/>
            <a:ext cx="180000" cy="180000"/>
          </a:xfrm>
          <a:prstGeom prst="ellipse">
            <a:avLst/>
          </a:prstGeom>
          <a:gradFill>
            <a:gsLst>
              <a:gs pos="0">
                <a:schemeClr val="accent3">
                  <a:lumMod val="75000"/>
                </a:schemeClr>
              </a:gs>
              <a:gs pos="80000">
                <a:schemeClr val="accent3">
                  <a:lumMod val="60000"/>
                  <a:lumOff val="40000"/>
                </a:schemeClr>
              </a:gs>
              <a:gs pos="100000">
                <a:schemeClr val="accent3">
                  <a:lumMod val="40000"/>
                  <a:lumOff val="60000"/>
                </a:schemeClr>
              </a:gs>
            </a:gsLst>
          </a:gradFill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3">
              <a:hueOff val="0"/>
              <a:satOff val="0"/>
              <a:lumOff val="0"/>
              <a:alphaOff val="0"/>
            </a:schemeClr>
          </a:fillRef>
          <a:effectRef idx="2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66" name="Freihandform 65">
            <a:extLst>
              <a:ext uri="{FF2B5EF4-FFF2-40B4-BE49-F238E27FC236}">
                <a16:creationId xmlns:a16="http://schemas.microsoft.com/office/drawing/2014/main" id="{00000000-0008-0000-0300-000042000000}"/>
              </a:ext>
            </a:extLst>
          </xdr:cNvPr>
          <xdr:cNvSpPr/>
        </xdr:nvSpPr>
        <xdr:spPr>
          <a:xfrm>
            <a:off x="2187501" y="3980821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de-CH" sz="1200" kern="1200">
                <a:solidFill>
                  <a:schemeClr val="tx1"/>
                </a:solidFill>
              </a:rPr>
              <a:t>Crowdsourcing</a:t>
            </a:r>
          </a:p>
        </xdr:txBody>
      </xdr:sp>
    </xdr:grpSp>
    <xdr:clientData/>
  </xdr:twoCellAnchor>
  <xdr:twoCellAnchor>
    <xdr:from>
      <xdr:col>4</xdr:col>
      <xdr:colOff>25326</xdr:colOff>
      <xdr:row>21</xdr:row>
      <xdr:rowOff>113671</xdr:rowOff>
    </xdr:from>
    <xdr:to>
      <xdr:col>5</xdr:col>
      <xdr:colOff>638175</xdr:colOff>
      <xdr:row>22</xdr:row>
      <xdr:rowOff>171450</xdr:rowOff>
    </xdr:to>
    <xdr:sp macro="" textlink="">
      <xdr:nvSpPr>
        <xdr:cNvPr id="72" name="Freihandform 7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/>
      </xdr:nvSpPr>
      <xdr:spPr>
        <a:xfrm>
          <a:off x="2197026" y="4561846"/>
          <a:ext cx="1374849" cy="248279"/>
        </a:xfrm>
        <a:custGeom>
          <a:avLst/>
          <a:gdLst>
            <a:gd name="connsiteX0" fmla="*/ 0 w 1478184"/>
            <a:gd name="connsiteY0" fmla="*/ 0 h 2010507"/>
            <a:gd name="connsiteX1" fmla="*/ 1478184 w 1478184"/>
            <a:gd name="connsiteY1" fmla="*/ 0 h 2010507"/>
            <a:gd name="connsiteX2" fmla="*/ 1478184 w 1478184"/>
            <a:gd name="connsiteY2" fmla="*/ 2010507 h 2010507"/>
            <a:gd name="connsiteX3" fmla="*/ 0 w 1478184"/>
            <a:gd name="connsiteY3" fmla="*/ 2010507 h 2010507"/>
            <a:gd name="connsiteX4" fmla="*/ 0 w 1478184"/>
            <a:gd name="connsiteY4" fmla="*/ 0 h 20105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78184" h="2010507">
              <a:moveTo>
                <a:pt x="0" y="0"/>
              </a:moveTo>
              <a:lnTo>
                <a:pt x="1478184" y="0"/>
              </a:lnTo>
              <a:lnTo>
                <a:pt x="1478184" y="2010507"/>
              </a:lnTo>
              <a:lnTo>
                <a:pt x="0" y="2010507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marL="0" lvl="0" indent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de-CH" sz="1200" u="sng" kern="1200">
              <a:solidFill>
                <a:schemeClr val="accent3">
                  <a:lumMod val="50000"/>
                </a:schemeClr>
              </a:solidFill>
              <a:latin typeface="+mn-lt"/>
              <a:ea typeface="+mn-ea"/>
              <a:cs typeface="+mn-cs"/>
            </a:rPr>
            <a:t>Springweise.com</a:t>
          </a:r>
        </a:p>
      </xdr:txBody>
    </xdr:sp>
    <xdr:clientData/>
  </xdr:twoCellAnchor>
  <xdr:twoCellAnchor>
    <xdr:from>
      <xdr:col>5</xdr:col>
      <xdr:colOff>716375</xdr:colOff>
      <xdr:row>15</xdr:row>
      <xdr:rowOff>161296</xdr:rowOff>
    </xdr:from>
    <xdr:to>
      <xdr:col>8</xdr:col>
      <xdr:colOff>66675</xdr:colOff>
      <xdr:row>17</xdr:row>
      <xdr:rowOff>57149</xdr:rowOff>
    </xdr:to>
    <xdr:grpSp>
      <xdr:nvGrpSpPr>
        <xdr:cNvPr id="73" name="Gruppieren 7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GrpSpPr/>
      </xdr:nvGrpSpPr>
      <xdr:grpSpPr>
        <a:xfrm>
          <a:off x="3733895" y="3392176"/>
          <a:ext cx="1704880" cy="261613"/>
          <a:chOff x="1926050" y="3971296"/>
          <a:chExt cx="1636300" cy="276853"/>
        </a:xfrm>
      </xdr:grpSpPr>
      <xdr:sp macro="" textlink="">
        <xdr:nvSpPr>
          <xdr:cNvPr id="74" name="Ellipse 73">
            <a:extLst>
              <a:ext uri="{FF2B5EF4-FFF2-40B4-BE49-F238E27FC236}">
                <a16:creationId xmlns:a16="http://schemas.microsoft.com/office/drawing/2014/main" id="{00000000-0008-0000-0300-00004A000000}"/>
              </a:ext>
            </a:extLst>
          </xdr:cNvPr>
          <xdr:cNvSpPr>
            <a:spLocks noChangeAspect="1"/>
          </xdr:cNvSpPr>
        </xdr:nvSpPr>
        <xdr:spPr>
          <a:xfrm>
            <a:off x="1926050" y="4019722"/>
            <a:ext cx="180000" cy="180000"/>
          </a:xfrm>
          <a:prstGeom prst="ellipse">
            <a:avLst/>
          </a:prstGeom>
          <a:gradFill>
            <a:gsLst>
              <a:gs pos="0">
                <a:schemeClr val="accent3">
                  <a:lumMod val="75000"/>
                </a:schemeClr>
              </a:gs>
              <a:gs pos="80000">
                <a:schemeClr val="accent3">
                  <a:lumMod val="60000"/>
                  <a:lumOff val="40000"/>
                </a:schemeClr>
              </a:gs>
              <a:gs pos="100000">
                <a:schemeClr val="accent3">
                  <a:lumMod val="40000"/>
                  <a:lumOff val="60000"/>
                </a:schemeClr>
              </a:gs>
            </a:gsLst>
          </a:gradFill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3">
              <a:hueOff val="0"/>
              <a:satOff val="0"/>
              <a:lumOff val="0"/>
              <a:alphaOff val="0"/>
            </a:schemeClr>
          </a:fillRef>
          <a:effectRef idx="2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' '!A32">
        <xdr:nvSpPr>
          <xdr:cNvPr id="75" name="Freihandform 74">
            <a:extLst>
              <a:ext uri="{FF2B5EF4-FFF2-40B4-BE49-F238E27FC236}">
                <a16:creationId xmlns:a16="http://schemas.microsoft.com/office/drawing/2014/main" id="{00000000-0008-0000-0300-00004B000000}"/>
              </a:ext>
            </a:extLst>
          </xdr:cNvPr>
          <xdr:cNvSpPr/>
        </xdr:nvSpPr>
        <xdr:spPr>
          <a:xfrm>
            <a:off x="2187501" y="3971296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1B4669E6-8D0B-4662-B98F-0269867ACD05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Matrice d'évaluation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8</xdr:col>
      <xdr:colOff>363950</xdr:colOff>
      <xdr:row>12</xdr:row>
      <xdr:rowOff>132721</xdr:rowOff>
    </xdr:from>
    <xdr:to>
      <xdr:col>10</xdr:col>
      <xdr:colOff>476250</xdr:colOff>
      <xdr:row>14</xdr:row>
      <xdr:rowOff>28574</xdr:rowOff>
    </xdr:to>
    <xdr:grpSp>
      <xdr:nvGrpSpPr>
        <xdr:cNvPr id="76" name="Gruppieren 7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GrpSpPr/>
      </xdr:nvGrpSpPr>
      <xdr:grpSpPr>
        <a:xfrm>
          <a:off x="5736050" y="2814961"/>
          <a:ext cx="1682020" cy="261613"/>
          <a:chOff x="1926050" y="3971296"/>
          <a:chExt cx="1636300" cy="276853"/>
        </a:xfrm>
      </xdr:grpSpPr>
      <xdr:sp macro="" textlink="">
        <xdr:nvSpPr>
          <xdr:cNvPr id="77" name="Ellipse 76">
            <a:extLst>
              <a:ext uri="{FF2B5EF4-FFF2-40B4-BE49-F238E27FC236}">
                <a16:creationId xmlns:a16="http://schemas.microsoft.com/office/drawing/2014/main" id="{00000000-0008-0000-0300-00004D000000}"/>
              </a:ext>
            </a:extLst>
          </xdr:cNvPr>
          <xdr:cNvSpPr>
            <a:spLocks noChangeAspect="1"/>
          </xdr:cNvSpPr>
        </xdr:nvSpPr>
        <xdr:spPr>
          <a:xfrm>
            <a:off x="1926050" y="4019722"/>
            <a:ext cx="180000" cy="180000"/>
          </a:xfrm>
          <a:prstGeom prst="ellipse">
            <a:avLst/>
          </a:prstGeom>
          <a:gradFill>
            <a:gsLst>
              <a:gs pos="0">
                <a:schemeClr val="accent3">
                  <a:lumMod val="75000"/>
                </a:schemeClr>
              </a:gs>
              <a:gs pos="80000">
                <a:schemeClr val="accent3">
                  <a:lumMod val="60000"/>
                  <a:lumOff val="40000"/>
                </a:schemeClr>
              </a:gs>
              <a:gs pos="100000">
                <a:schemeClr val="accent3">
                  <a:lumMod val="40000"/>
                  <a:lumOff val="60000"/>
                </a:schemeClr>
              </a:gs>
            </a:gsLst>
          </a:gradFill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3">
              <a:hueOff val="0"/>
              <a:satOff val="0"/>
              <a:lumOff val="0"/>
              <a:alphaOff val="0"/>
            </a:schemeClr>
          </a:fillRef>
          <a:effectRef idx="2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' '!A34">
        <xdr:nvSpPr>
          <xdr:cNvPr id="78" name="Freihandform 77">
            <a:extLst>
              <a:ext uri="{FF2B5EF4-FFF2-40B4-BE49-F238E27FC236}">
                <a16:creationId xmlns:a16="http://schemas.microsoft.com/office/drawing/2014/main" id="{00000000-0008-0000-0300-00004E000000}"/>
              </a:ext>
            </a:extLst>
          </xdr:cNvPr>
          <xdr:cNvSpPr/>
        </xdr:nvSpPr>
        <xdr:spPr>
          <a:xfrm>
            <a:off x="2187501" y="3971296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B9618A45-5AFB-4DDC-A012-C2DEAC8FC471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Variantes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4</xdr:col>
      <xdr:colOff>25326</xdr:colOff>
      <xdr:row>22</xdr:row>
      <xdr:rowOff>171450</xdr:rowOff>
    </xdr:from>
    <xdr:to>
      <xdr:col>5</xdr:col>
      <xdr:colOff>638175</xdr:colOff>
      <xdr:row>24</xdr:row>
      <xdr:rowOff>9524</xdr:rowOff>
    </xdr:to>
    <xdr:sp macro="" textlink="">
      <xdr:nvSpPr>
        <xdr:cNvPr id="38" name="Freihandform 3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/>
      </xdr:nvSpPr>
      <xdr:spPr>
        <a:xfrm>
          <a:off x="2197026" y="4838700"/>
          <a:ext cx="1374849" cy="219074"/>
        </a:xfrm>
        <a:custGeom>
          <a:avLst/>
          <a:gdLst>
            <a:gd name="connsiteX0" fmla="*/ 0 w 1478184"/>
            <a:gd name="connsiteY0" fmla="*/ 0 h 2010507"/>
            <a:gd name="connsiteX1" fmla="*/ 1478184 w 1478184"/>
            <a:gd name="connsiteY1" fmla="*/ 0 h 2010507"/>
            <a:gd name="connsiteX2" fmla="*/ 1478184 w 1478184"/>
            <a:gd name="connsiteY2" fmla="*/ 2010507 h 2010507"/>
            <a:gd name="connsiteX3" fmla="*/ 0 w 1478184"/>
            <a:gd name="connsiteY3" fmla="*/ 2010507 h 2010507"/>
            <a:gd name="connsiteX4" fmla="*/ 0 w 1478184"/>
            <a:gd name="connsiteY4" fmla="*/ 0 h 20105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78184" h="2010507">
              <a:moveTo>
                <a:pt x="0" y="0"/>
              </a:moveTo>
              <a:lnTo>
                <a:pt x="1478184" y="0"/>
              </a:lnTo>
              <a:lnTo>
                <a:pt x="1478184" y="2010507"/>
              </a:lnTo>
              <a:lnTo>
                <a:pt x="0" y="2010507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lvl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de-CH" sz="1200" u="sng" kern="1200">
              <a:solidFill>
                <a:schemeClr val="accent3">
                  <a:lumMod val="50000"/>
                </a:schemeClr>
              </a:solidFill>
            </a:rPr>
            <a:t>iBrain.com</a:t>
          </a:r>
        </a:p>
      </xdr:txBody>
    </xdr:sp>
    <xdr:clientData/>
  </xdr:twoCellAnchor>
  <xdr:twoCellAnchor>
    <xdr:from>
      <xdr:col>8</xdr:col>
      <xdr:colOff>363950</xdr:colOff>
      <xdr:row>14</xdr:row>
      <xdr:rowOff>56521</xdr:rowOff>
    </xdr:from>
    <xdr:to>
      <xdr:col>10</xdr:col>
      <xdr:colOff>476250</xdr:colOff>
      <xdr:row>15</xdr:row>
      <xdr:rowOff>142874</xdr:rowOff>
    </xdr:to>
    <xdr:grpSp>
      <xdr:nvGrpSpPr>
        <xdr:cNvPr id="37" name="Gruppieren 3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pSpPr/>
      </xdr:nvGrpSpPr>
      <xdr:grpSpPr>
        <a:xfrm>
          <a:off x="5736050" y="3104521"/>
          <a:ext cx="1682020" cy="269233"/>
          <a:chOff x="1926050" y="3971296"/>
          <a:chExt cx="1636300" cy="276853"/>
        </a:xfrm>
      </xdr:grpSpPr>
      <xdr:sp macro="" textlink="">
        <xdr:nvSpPr>
          <xdr:cNvPr id="39" name="Ellipse 38">
            <a:extLst>
              <a:ext uri="{FF2B5EF4-FFF2-40B4-BE49-F238E27FC236}">
                <a16:creationId xmlns:a16="http://schemas.microsoft.com/office/drawing/2014/main" id="{00000000-0008-0000-0300-000027000000}"/>
              </a:ext>
            </a:extLst>
          </xdr:cNvPr>
          <xdr:cNvSpPr>
            <a:spLocks noChangeAspect="1"/>
          </xdr:cNvSpPr>
        </xdr:nvSpPr>
        <xdr:spPr>
          <a:xfrm>
            <a:off x="1926050" y="4019722"/>
            <a:ext cx="180000" cy="180000"/>
          </a:xfrm>
          <a:prstGeom prst="ellipse">
            <a:avLst/>
          </a:prstGeom>
          <a:gradFill>
            <a:gsLst>
              <a:gs pos="0">
                <a:schemeClr val="accent3">
                  <a:lumMod val="75000"/>
                </a:schemeClr>
              </a:gs>
              <a:gs pos="80000">
                <a:schemeClr val="accent3">
                  <a:lumMod val="60000"/>
                  <a:lumOff val="40000"/>
                </a:schemeClr>
              </a:gs>
              <a:gs pos="100000">
                <a:schemeClr val="accent3">
                  <a:lumMod val="40000"/>
                  <a:lumOff val="60000"/>
                </a:schemeClr>
              </a:gs>
            </a:gsLst>
          </a:gradFill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3">
              <a:hueOff val="0"/>
              <a:satOff val="0"/>
              <a:lumOff val="0"/>
              <a:alphaOff val="0"/>
            </a:schemeClr>
          </a:fillRef>
          <a:effectRef idx="2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' '!A35">
        <xdr:nvSpPr>
          <xdr:cNvPr id="40" name="Freihandform 39">
            <a:extLst>
              <a:ext uri="{FF2B5EF4-FFF2-40B4-BE49-F238E27FC236}">
                <a16:creationId xmlns:a16="http://schemas.microsoft.com/office/drawing/2014/main" id="{00000000-0008-0000-0300-000028000000}"/>
              </a:ext>
            </a:extLst>
          </xdr:cNvPr>
          <xdr:cNvSpPr/>
        </xdr:nvSpPr>
        <xdr:spPr>
          <a:xfrm>
            <a:off x="2187501" y="3971296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571E68DD-4741-46F0-952A-A79CBBA440B9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Coûts - Avantage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647700</xdr:colOff>
          <xdr:row>1</xdr:row>
          <xdr:rowOff>60960</xdr:rowOff>
        </xdr:from>
        <xdr:to>
          <xdr:col>10</xdr:col>
          <xdr:colOff>754380</xdr:colOff>
          <xdr:row>1</xdr:row>
          <xdr:rowOff>228600</xdr:rowOff>
        </xdr:to>
        <xdr:sp macro="" textlink="">
          <xdr:nvSpPr>
            <xdr:cNvPr id="119810" name="Drop Down 2" hidden="1">
              <a:extLst>
                <a:ext uri="{63B3BB69-23CF-44E3-9099-C40C66FF867C}">
                  <a14:compatExt spid="_x0000_s119810"/>
                </a:ext>
                <a:ext uri="{FF2B5EF4-FFF2-40B4-BE49-F238E27FC236}">
                  <a16:creationId xmlns:a16="http://schemas.microsoft.com/office/drawing/2014/main" id="{00000000-0008-0000-0300-000002D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oneCellAnchor>
    <xdr:from>
      <xdr:col>9</xdr:col>
      <xdr:colOff>419100</xdr:colOff>
      <xdr:row>1</xdr:row>
      <xdr:rowOff>57150</xdr:rowOff>
    </xdr:from>
    <xdr:ext cx="172800" cy="172800"/>
    <xdr:grpSp>
      <xdr:nvGrpSpPr>
        <xdr:cNvPr id="41" name="Gruppieren 4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GrpSpPr/>
      </xdr:nvGrpSpPr>
      <xdr:grpSpPr>
        <a:xfrm>
          <a:off x="6576060" y="621030"/>
          <a:ext cx="172800" cy="172800"/>
          <a:chOff x="8105775" y="571500"/>
          <a:chExt cx="172800" cy="172800"/>
        </a:xfrm>
      </xdr:grpSpPr>
      <xdr:sp macro="" textlink="">
        <xdr:nvSpPr>
          <xdr:cNvPr id="42" name="Rechteck 41">
            <a:extLst>
              <a:ext uri="{FF2B5EF4-FFF2-40B4-BE49-F238E27FC236}">
                <a16:creationId xmlns:a16="http://schemas.microsoft.com/office/drawing/2014/main" id="{00000000-0008-0000-0300-00002A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3" name="Textfeld 42">
            <a:extLst>
              <a:ext uri="{FF2B5EF4-FFF2-40B4-BE49-F238E27FC236}">
                <a16:creationId xmlns:a16="http://schemas.microsoft.com/office/drawing/2014/main" id="{00000000-0008-0000-0300-00002B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oneCellAnchor>
  <xdr:twoCellAnchor>
    <xdr:from>
      <xdr:col>5</xdr:col>
      <xdr:colOff>716375</xdr:colOff>
      <xdr:row>17</xdr:row>
      <xdr:rowOff>94621</xdr:rowOff>
    </xdr:from>
    <xdr:to>
      <xdr:col>8</xdr:col>
      <xdr:colOff>66675</xdr:colOff>
      <xdr:row>18</xdr:row>
      <xdr:rowOff>180974</xdr:rowOff>
    </xdr:to>
    <xdr:grpSp>
      <xdr:nvGrpSpPr>
        <xdr:cNvPr id="44" name="Gruppieren 4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pSpPr/>
      </xdr:nvGrpSpPr>
      <xdr:grpSpPr>
        <a:xfrm>
          <a:off x="3733895" y="3691261"/>
          <a:ext cx="1704880" cy="269233"/>
          <a:chOff x="1926050" y="3971296"/>
          <a:chExt cx="1636300" cy="276853"/>
        </a:xfrm>
      </xdr:grpSpPr>
      <xdr:sp macro="" textlink="">
        <xdr:nvSpPr>
          <xdr:cNvPr id="45" name="Ellipse 44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SpPr>
            <a:spLocks noChangeAspect="1"/>
          </xdr:cNvSpPr>
        </xdr:nvSpPr>
        <xdr:spPr>
          <a:xfrm>
            <a:off x="1926050" y="4019722"/>
            <a:ext cx="180000" cy="180000"/>
          </a:xfrm>
          <a:prstGeom prst="ellipse">
            <a:avLst/>
          </a:prstGeom>
          <a:gradFill>
            <a:gsLst>
              <a:gs pos="0">
                <a:schemeClr val="accent3">
                  <a:lumMod val="75000"/>
                </a:schemeClr>
              </a:gs>
              <a:gs pos="80000">
                <a:schemeClr val="accent3">
                  <a:lumMod val="60000"/>
                  <a:lumOff val="40000"/>
                </a:schemeClr>
              </a:gs>
              <a:gs pos="100000">
                <a:schemeClr val="accent3">
                  <a:lumMod val="40000"/>
                  <a:lumOff val="60000"/>
                </a:schemeClr>
              </a:gs>
            </a:gsLst>
          </a:gradFill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3">
              <a:hueOff val="0"/>
              <a:satOff val="0"/>
              <a:lumOff val="0"/>
              <a:alphaOff val="0"/>
            </a:schemeClr>
          </a:fillRef>
          <a:effectRef idx="2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' '!A33">
        <xdr:nvSpPr>
          <xdr:cNvPr id="46" name="Freihandform 45">
            <a:extLst>
              <a:ext uri="{FF2B5EF4-FFF2-40B4-BE49-F238E27FC236}">
                <a16:creationId xmlns:a16="http://schemas.microsoft.com/office/drawing/2014/main" id="{00000000-0008-0000-0300-00002E000000}"/>
              </a:ext>
            </a:extLst>
          </xdr:cNvPr>
          <xdr:cNvSpPr/>
        </xdr:nvSpPr>
        <xdr:spPr>
          <a:xfrm>
            <a:off x="2187501" y="3971296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0D0E56A1-67F1-457B-981C-3C6BC17CAA8F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Coûts de l'innovation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7</xdr:col>
      <xdr:colOff>114300</xdr:colOff>
      <xdr:row>20</xdr:row>
      <xdr:rowOff>171450</xdr:rowOff>
    </xdr:from>
    <xdr:to>
      <xdr:col>10</xdr:col>
      <xdr:colOff>647700</xdr:colOff>
      <xdr:row>25</xdr:row>
      <xdr:rowOff>27365</xdr:rowOff>
    </xdr:to>
    <xdr:sp macro="" textlink="' '!A48">
      <xdr:nvSpPr>
        <xdr:cNvPr id="47" name="Textfeld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/>
      </xdr:nvSpPr>
      <xdr:spPr>
        <a:xfrm>
          <a:off x="4572000" y="4429125"/>
          <a:ext cx="2819400" cy="8084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fld id="{6ECC25AE-98FE-4B97-93C1-BFC14E829E5A}" type="TxLink">
            <a:rPr lang="en-US" sz="4400" b="0" i="0" u="none" strike="noStrike">
              <a:ln>
                <a:noFill/>
              </a:ln>
              <a:solidFill>
                <a:schemeClr val="bg1">
                  <a:lumMod val="75000"/>
                </a:schemeClr>
              </a:solidFill>
              <a:latin typeface="Calibri"/>
              <a:ea typeface="+mn-ea"/>
              <a:cs typeface="+mn-cs"/>
            </a:rPr>
            <a:pPr algn="r"/>
            <a:t>Créativité</a:t>
          </a:fld>
          <a:endParaRPr lang="de-CH" sz="4400" b="0" i="0" u="none" strike="noStrike">
            <a:ln>
              <a:noFill/>
            </a:ln>
            <a:solidFill>
              <a:schemeClr val="bg1">
                <a:lumMod val="75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91440</xdr:colOff>
          <xdr:row>0</xdr:row>
          <xdr:rowOff>0</xdr:rowOff>
        </xdr:from>
        <xdr:to>
          <xdr:col>10</xdr:col>
          <xdr:colOff>781050</xdr:colOff>
          <xdr:row>0</xdr:row>
          <xdr:rowOff>533400</xdr:rowOff>
        </xdr:to>
        <xdr:pic>
          <xdr:nvPicPr>
            <xdr:cNvPr id="48" name="Grafik 45">
              <a:extLst>
                <a:ext uri="{FF2B5EF4-FFF2-40B4-BE49-F238E27FC236}">
                  <a16:creationId xmlns:a16="http://schemas.microsoft.com/office/drawing/2014/main" id="{00000000-0008-0000-0300-00003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19817"/>
                </a:ext>
              </a:extLst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5463540" y="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4</xdr:col>
      <xdr:colOff>6276</xdr:colOff>
      <xdr:row>23</xdr:row>
      <xdr:rowOff>170821</xdr:rowOff>
    </xdr:from>
    <xdr:to>
      <xdr:col>6</xdr:col>
      <xdr:colOff>171450</xdr:colOff>
      <xdr:row>25</xdr:row>
      <xdr:rowOff>38100</xdr:rowOff>
    </xdr:to>
    <xdr:sp macro="" textlink="">
      <xdr:nvSpPr>
        <xdr:cNvPr id="49" name="Freihandform 48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/>
      </xdr:nvSpPr>
      <xdr:spPr>
        <a:xfrm>
          <a:off x="2177976" y="5028571"/>
          <a:ext cx="1689174" cy="248279"/>
        </a:xfrm>
        <a:custGeom>
          <a:avLst/>
          <a:gdLst>
            <a:gd name="connsiteX0" fmla="*/ 0 w 1478184"/>
            <a:gd name="connsiteY0" fmla="*/ 0 h 2010507"/>
            <a:gd name="connsiteX1" fmla="*/ 1478184 w 1478184"/>
            <a:gd name="connsiteY1" fmla="*/ 0 h 2010507"/>
            <a:gd name="connsiteX2" fmla="*/ 1478184 w 1478184"/>
            <a:gd name="connsiteY2" fmla="*/ 2010507 h 2010507"/>
            <a:gd name="connsiteX3" fmla="*/ 0 w 1478184"/>
            <a:gd name="connsiteY3" fmla="*/ 2010507 h 2010507"/>
            <a:gd name="connsiteX4" fmla="*/ 0 w 1478184"/>
            <a:gd name="connsiteY4" fmla="*/ 0 h 20105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78184" h="2010507">
              <a:moveTo>
                <a:pt x="0" y="0"/>
              </a:moveTo>
              <a:lnTo>
                <a:pt x="1478184" y="0"/>
              </a:lnTo>
              <a:lnTo>
                <a:pt x="1478184" y="2010507"/>
              </a:lnTo>
              <a:lnTo>
                <a:pt x="0" y="2010507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0" tIns="0" rIns="0" bIns="0" numCol="1" spcCol="1270" anchor="ctr" anchorCtr="0">
          <a:noAutofit/>
        </a:bodyPr>
        <a:lstStyle/>
        <a:p>
          <a:pPr marL="0" lvl="0" indent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de-CH" sz="1200" u="sng" kern="1200">
              <a:solidFill>
                <a:schemeClr val="accent3">
                  <a:lumMod val="50000"/>
                </a:schemeClr>
              </a:solidFill>
              <a:latin typeface="+mn-lt"/>
              <a:ea typeface="+mn-ea"/>
              <a:cs typeface="+mn-cs"/>
            </a:rPr>
            <a:t>coolbusinessideas.com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6" name="Gruppieren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76200" y="104775"/>
          <a:ext cx="324000" cy="325465"/>
          <a:chOff x="12729063" y="1298331"/>
          <a:chExt cx="324000" cy="323267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8" name="Grafik 7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4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>
    <xdr:from>
      <xdr:col>0</xdr:col>
      <xdr:colOff>466724</xdr:colOff>
      <xdr:row>1</xdr:row>
      <xdr:rowOff>264913</xdr:rowOff>
    </xdr:from>
    <xdr:to>
      <xdr:col>11</xdr:col>
      <xdr:colOff>0</xdr:colOff>
      <xdr:row>24</xdr:row>
      <xdr:rowOff>177997</xdr:rowOff>
    </xdr:to>
    <xdr:sp macro="" textlink="">
      <xdr:nvSpPr>
        <xdr:cNvPr id="12" name="Form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466724" y="798313"/>
          <a:ext cx="7038976" cy="4399359"/>
        </a:xfrm>
        <a:prstGeom prst="swooshArrow">
          <a:avLst>
            <a:gd name="adj1" fmla="val 25000"/>
            <a:gd name="adj2" fmla="val 25000"/>
          </a:avLst>
        </a:prstGeom>
      </xdr:spPr>
      <xdr:style>
        <a:lnRef idx="0">
          <a:schemeClr val="dk1">
            <a:hueOff val="0"/>
            <a:satOff val="0"/>
            <a:lumOff val="0"/>
            <a:alphaOff val="0"/>
          </a:schemeClr>
        </a:lnRef>
        <a:fillRef idx="1">
          <a:schemeClr val="accent1">
            <a:tint val="40000"/>
            <a:hueOff val="0"/>
            <a:satOff val="0"/>
            <a:lumOff val="0"/>
            <a:alphaOff val="0"/>
          </a:schemeClr>
        </a:fillRef>
        <a:effectRef idx="2">
          <a:schemeClr val="accent1">
            <a:tint val="40000"/>
            <a:hueOff val="0"/>
            <a:satOff val="0"/>
            <a:lumOff val="0"/>
            <a:alphaOff val="0"/>
          </a:schemeClr>
        </a:effectRef>
        <a:fontRef idx="minor">
          <a:schemeClr val="dk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3</xdr:col>
      <xdr:colOff>467076</xdr:colOff>
      <xdr:row>15</xdr:row>
      <xdr:rowOff>3597</xdr:rowOff>
    </xdr:from>
    <xdr:to>
      <xdr:col>4</xdr:col>
      <xdr:colOff>42946</xdr:colOff>
      <xdr:row>16</xdr:row>
      <xdr:rowOff>150967</xdr:rowOff>
    </xdr:to>
    <xdr:sp macro="" textlink="">
      <xdr:nvSpPr>
        <xdr:cNvPr id="23" name="Ellipse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/>
      </xdr:nvSpPr>
      <xdr:spPr>
        <a:xfrm>
          <a:off x="1876776" y="3308772"/>
          <a:ext cx="337870" cy="337870"/>
        </a:xfrm>
        <a:prstGeom prst="ellipse">
          <a:avLst/>
        </a:prstGeom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1">
            <a:shade val="80000"/>
            <a:hueOff val="153123"/>
            <a:satOff val="-2196"/>
            <a:lumOff val="12807"/>
            <a:alphaOff val="0"/>
          </a:schemeClr>
        </a:fillRef>
        <a:effectRef idx="2">
          <a:schemeClr val="accent1">
            <a:shade val="80000"/>
            <a:hueOff val="153123"/>
            <a:satOff val="-2196"/>
            <a:lumOff val="12807"/>
            <a:alphaOff val="0"/>
          </a:schemeClr>
        </a:effectRef>
        <a:fontRef idx="minor">
          <a:schemeClr val="lt1"/>
        </a:fontRef>
      </xdr:style>
    </xdr:sp>
    <xdr:clientData/>
  </xdr:twoCellAnchor>
  <xdr:twoCellAnchor>
    <xdr:from>
      <xdr:col>5</xdr:col>
      <xdr:colOff>566651</xdr:colOff>
      <xdr:row>10</xdr:row>
      <xdr:rowOff>12594</xdr:rowOff>
    </xdr:from>
    <xdr:to>
      <xdr:col>6</xdr:col>
      <xdr:colOff>241067</xdr:colOff>
      <xdr:row>12</xdr:row>
      <xdr:rowOff>68010</xdr:rowOff>
    </xdr:to>
    <xdr:sp macro="" textlink="">
      <xdr:nvSpPr>
        <xdr:cNvPr id="25" name="Ellips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/>
      </xdr:nvSpPr>
      <xdr:spPr>
        <a:xfrm>
          <a:off x="3500351" y="2365269"/>
          <a:ext cx="436416" cy="436416"/>
        </a:xfrm>
        <a:prstGeom prst="ellipse">
          <a:avLst/>
        </a:prstGeom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1">
            <a:shade val="80000"/>
            <a:hueOff val="229684"/>
            <a:satOff val="-3294"/>
            <a:lumOff val="19211"/>
            <a:alphaOff val="0"/>
          </a:schemeClr>
        </a:fillRef>
        <a:effectRef idx="2">
          <a:schemeClr val="accent1">
            <a:shade val="80000"/>
            <a:hueOff val="229684"/>
            <a:satOff val="-3294"/>
            <a:lumOff val="19211"/>
            <a:alphaOff val="0"/>
          </a:schemeClr>
        </a:effectRef>
        <a:fontRef idx="minor">
          <a:schemeClr val="lt1"/>
        </a:fontRef>
      </xdr:style>
    </xdr:sp>
    <xdr:clientData/>
  </xdr:twoCellAnchor>
  <xdr:twoCellAnchor>
    <xdr:from>
      <xdr:col>8</xdr:col>
      <xdr:colOff>47715</xdr:colOff>
      <xdr:row>6</xdr:row>
      <xdr:rowOff>176754</xdr:rowOff>
    </xdr:from>
    <xdr:to>
      <xdr:col>8</xdr:col>
      <xdr:colOff>603794</xdr:colOff>
      <xdr:row>9</xdr:row>
      <xdr:rowOff>161333</xdr:rowOff>
    </xdr:to>
    <xdr:sp macro="" textlink="">
      <xdr:nvSpPr>
        <xdr:cNvPr id="27" name="Ellipse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/>
      </xdr:nvSpPr>
      <xdr:spPr>
        <a:xfrm>
          <a:off x="5267415" y="1767429"/>
          <a:ext cx="556079" cy="556079"/>
        </a:xfrm>
        <a:prstGeom prst="ellipse">
          <a:avLst/>
        </a:prstGeom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1">
            <a:shade val="80000"/>
            <a:hueOff val="306246"/>
            <a:satOff val="-4392"/>
            <a:lumOff val="25615"/>
            <a:alphaOff val="0"/>
          </a:schemeClr>
        </a:fillRef>
        <a:effectRef idx="2">
          <a:schemeClr val="accent1">
            <a:shade val="80000"/>
            <a:hueOff val="306246"/>
            <a:satOff val="-4392"/>
            <a:lumOff val="25615"/>
            <a:alphaOff val="0"/>
          </a:schemeClr>
        </a:effectRef>
        <a:fontRef idx="minor">
          <a:schemeClr val="lt1"/>
        </a:fontRef>
      </xdr:style>
    </xdr:sp>
    <xdr:clientData/>
  </xdr:twoCellAnchor>
  <xdr:oneCellAnchor>
    <xdr:from>
      <xdr:col>0</xdr:col>
      <xdr:colOff>457200</xdr:colOff>
      <xdr:row>12</xdr:row>
      <xdr:rowOff>47625</xdr:rowOff>
    </xdr:from>
    <xdr:ext cx="1478184" cy="253659"/>
    <xdr:sp macro="" textlink="' '!A36">
      <xdr:nvSpPr>
        <xdr:cNvPr id="10" name="Freihandform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457200" y="2781300"/>
          <a:ext cx="1478184" cy="253659"/>
        </a:xfrm>
        <a:custGeom>
          <a:avLst/>
          <a:gdLst>
            <a:gd name="connsiteX0" fmla="*/ 0 w 1478184"/>
            <a:gd name="connsiteY0" fmla="*/ 0 h 2010507"/>
            <a:gd name="connsiteX1" fmla="*/ 1478184 w 1478184"/>
            <a:gd name="connsiteY1" fmla="*/ 0 h 2010507"/>
            <a:gd name="connsiteX2" fmla="*/ 1478184 w 1478184"/>
            <a:gd name="connsiteY2" fmla="*/ 2010507 h 2010507"/>
            <a:gd name="connsiteX3" fmla="*/ 0 w 1478184"/>
            <a:gd name="connsiteY3" fmla="*/ 2010507 h 2010507"/>
            <a:gd name="connsiteX4" fmla="*/ 0 w 1478184"/>
            <a:gd name="connsiteY4" fmla="*/ 0 h 20105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78184" h="2010507">
              <a:moveTo>
                <a:pt x="0" y="0"/>
              </a:moveTo>
              <a:lnTo>
                <a:pt x="1478184" y="0"/>
              </a:lnTo>
              <a:lnTo>
                <a:pt x="1478184" y="2010507"/>
              </a:lnTo>
              <a:lnTo>
                <a:pt x="0" y="2010507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0" tIns="0" rIns="0" bIns="0" numCol="1" spcCol="1270" anchor="t" anchorCtr="0">
          <a:spAutoFit/>
        </a:bodyPr>
        <a:lstStyle/>
        <a:p>
          <a:pPr marL="0" lvl="0" indent="0" algn="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3639BCF2-3B9B-4D2D-AC83-26D55C3429EB}" type="TxLink">
            <a:rPr lang="en-US" sz="1800" kern="1200">
              <a:solidFill>
                <a:schemeClr val="accent1">
                  <a:lumMod val="50000"/>
                </a:schemeClr>
              </a:solidFill>
              <a:latin typeface="+mn-lt"/>
              <a:ea typeface="+mn-ea"/>
              <a:cs typeface="+mn-cs"/>
            </a:rPr>
            <a:pPr marL="0" lvl="0" indent="0" algn="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Projets</a:t>
          </a:fld>
          <a:endParaRPr lang="de-CH" sz="1800" kern="1200">
            <a:solidFill>
              <a:schemeClr val="accent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400050</xdr:colOff>
      <xdr:row>6</xdr:row>
      <xdr:rowOff>123825</xdr:rowOff>
    </xdr:from>
    <xdr:ext cx="1744884" cy="253659"/>
    <xdr:sp macro="" textlink="' '!A37">
      <xdr:nvSpPr>
        <xdr:cNvPr id="11" name="Freihandform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1809750" y="1714500"/>
          <a:ext cx="1744884" cy="253659"/>
        </a:xfrm>
        <a:custGeom>
          <a:avLst/>
          <a:gdLst>
            <a:gd name="connsiteX0" fmla="*/ 0 w 1478184"/>
            <a:gd name="connsiteY0" fmla="*/ 0 h 2010507"/>
            <a:gd name="connsiteX1" fmla="*/ 1478184 w 1478184"/>
            <a:gd name="connsiteY1" fmla="*/ 0 h 2010507"/>
            <a:gd name="connsiteX2" fmla="*/ 1478184 w 1478184"/>
            <a:gd name="connsiteY2" fmla="*/ 2010507 h 2010507"/>
            <a:gd name="connsiteX3" fmla="*/ 0 w 1478184"/>
            <a:gd name="connsiteY3" fmla="*/ 2010507 h 2010507"/>
            <a:gd name="connsiteX4" fmla="*/ 0 w 1478184"/>
            <a:gd name="connsiteY4" fmla="*/ 0 h 20105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78184" h="2010507">
              <a:moveTo>
                <a:pt x="0" y="0"/>
              </a:moveTo>
              <a:lnTo>
                <a:pt x="1478184" y="0"/>
              </a:lnTo>
              <a:lnTo>
                <a:pt x="1478184" y="2010507"/>
              </a:lnTo>
              <a:lnTo>
                <a:pt x="0" y="2010507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0" tIns="0" rIns="0" bIns="0" numCol="1" spcCol="1270" anchor="t" anchorCtr="0">
          <a:spAutoFit/>
        </a:bodyPr>
        <a:lstStyle/>
        <a:p>
          <a:pPr marL="0" lvl="0" indent="0" algn="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CF08791E-D8C7-4F90-A36C-925264513039}" type="TxLink">
            <a:rPr lang="en-US" sz="1800" kern="1200">
              <a:solidFill>
                <a:schemeClr val="accent1">
                  <a:lumMod val="50000"/>
                </a:schemeClr>
              </a:solidFill>
              <a:latin typeface="+mn-lt"/>
              <a:ea typeface="+mn-ea"/>
              <a:cs typeface="+mn-cs"/>
            </a:rPr>
            <a:pPr marL="0" lvl="0" indent="0" algn="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Tableau de bord</a:t>
          </a:fld>
          <a:endParaRPr lang="de-CH" sz="1800" kern="1200">
            <a:solidFill>
              <a:schemeClr val="accent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647700</xdr:colOff>
          <xdr:row>1</xdr:row>
          <xdr:rowOff>60960</xdr:rowOff>
        </xdr:from>
        <xdr:to>
          <xdr:col>13</xdr:col>
          <xdr:colOff>30480</xdr:colOff>
          <xdr:row>1</xdr:row>
          <xdr:rowOff>228600</xdr:rowOff>
        </xdr:to>
        <xdr:sp macro="" textlink="">
          <xdr:nvSpPr>
            <xdr:cNvPr id="121858" name="Drop Down 2" hidden="1">
              <a:extLst>
                <a:ext uri="{63B3BB69-23CF-44E3-9099-C40C66FF867C}">
                  <a14:compatExt spid="_x0000_s121858"/>
                </a:ext>
                <a:ext uri="{FF2B5EF4-FFF2-40B4-BE49-F238E27FC236}">
                  <a16:creationId xmlns:a16="http://schemas.microsoft.com/office/drawing/2014/main" id="{00000000-0008-0000-0400-000002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oneCellAnchor>
    <xdr:from>
      <xdr:col>10</xdr:col>
      <xdr:colOff>419100</xdr:colOff>
      <xdr:row>1</xdr:row>
      <xdr:rowOff>57150</xdr:rowOff>
    </xdr:from>
    <xdr:ext cx="172800" cy="172800"/>
    <xdr:grpSp>
      <xdr:nvGrpSpPr>
        <xdr:cNvPr id="13" name="Gruppieren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GrpSpPr/>
      </xdr:nvGrpSpPr>
      <xdr:grpSpPr>
        <a:xfrm>
          <a:off x="7360920" y="621030"/>
          <a:ext cx="172800" cy="172800"/>
          <a:chOff x="8105775" y="571500"/>
          <a:chExt cx="172800" cy="172800"/>
        </a:xfrm>
      </xdr:grpSpPr>
      <xdr:sp macro="" textlink="">
        <xdr:nvSpPr>
          <xdr:cNvPr id="14" name="Rechteck 13">
            <a:extLst>
              <a:ext uri="{FF2B5EF4-FFF2-40B4-BE49-F238E27FC236}">
                <a16:creationId xmlns:a16="http://schemas.microsoft.com/office/drawing/2014/main" id="{00000000-0008-0000-0400-00000E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" name="Textfeld 14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oneCellAnchor>
  <xdr:twoCellAnchor>
    <xdr:from>
      <xdr:col>8</xdr:col>
      <xdr:colOff>266700</xdr:colOff>
      <xdr:row>11</xdr:row>
      <xdr:rowOff>180975</xdr:rowOff>
    </xdr:from>
    <xdr:to>
      <xdr:col>10</xdr:col>
      <xdr:colOff>379000</xdr:colOff>
      <xdr:row>13</xdr:row>
      <xdr:rowOff>76828</xdr:rowOff>
    </xdr:to>
    <xdr:grpSp>
      <xdr:nvGrpSpPr>
        <xdr:cNvPr id="29" name="Gruppieren 2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GrpSpPr/>
      </xdr:nvGrpSpPr>
      <xdr:grpSpPr>
        <a:xfrm>
          <a:off x="5638800" y="2680335"/>
          <a:ext cx="1682020" cy="261613"/>
          <a:chOff x="5524500" y="2933700"/>
          <a:chExt cx="1636300" cy="276853"/>
        </a:xfrm>
      </xdr:grpSpPr>
      <xdr:sp macro="" textlink="">
        <xdr:nvSpPr>
          <xdr:cNvPr id="17" name="Ellipse 16">
            <a:extLst>
              <a:ext uri="{FF2B5EF4-FFF2-40B4-BE49-F238E27FC236}">
                <a16:creationId xmlns:a16="http://schemas.microsoft.com/office/drawing/2014/main" id="{00000000-0008-0000-0400-000011000000}"/>
              </a:ext>
            </a:extLst>
          </xdr:cNvPr>
          <xdr:cNvSpPr>
            <a:spLocks noChangeAspect="1"/>
          </xdr:cNvSpPr>
        </xdr:nvSpPr>
        <xdr:spPr>
          <a:xfrm>
            <a:off x="5524500" y="2982126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1">
              <a:shade val="80000"/>
              <a:hueOff val="306246"/>
              <a:satOff val="-4392"/>
              <a:lumOff val="25615"/>
              <a:alphaOff val="0"/>
            </a:schemeClr>
          </a:fillRef>
          <a:effectRef idx="2">
            <a:schemeClr val="accent1">
              <a:shade val="80000"/>
              <a:hueOff val="306246"/>
              <a:satOff val="-4392"/>
              <a:lumOff val="25615"/>
              <a:alphaOff val="0"/>
            </a:schemeClr>
          </a:effectRef>
          <a:fontRef idx="minor">
            <a:schemeClr val="lt1"/>
          </a:fontRef>
        </xdr:style>
      </xdr:sp>
      <xdr:sp macro="" textlink="' '!A42">
        <xdr:nvSpPr>
          <xdr:cNvPr id="18" name="Freihandform 17">
            <a:extLst>
              <a:ext uri="{FF2B5EF4-FFF2-40B4-BE49-F238E27FC236}">
                <a16:creationId xmlns:a16="http://schemas.microsoft.com/office/drawing/2014/main" id="{00000000-0008-0000-0400-000012000000}"/>
              </a:ext>
            </a:extLst>
          </xdr:cNvPr>
          <xdr:cNvSpPr/>
        </xdr:nvSpPr>
        <xdr:spPr>
          <a:xfrm>
            <a:off x="5785951" y="2933700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CD5DFB06-1860-4FC5-AE7B-29739EDAC06D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Portfeuil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oneCellAnchor>
    <xdr:from>
      <xdr:col>6</xdr:col>
      <xdr:colOff>419100</xdr:colOff>
      <xdr:row>3</xdr:row>
      <xdr:rowOff>123825</xdr:rowOff>
    </xdr:from>
    <xdr:ext cx="1478184" cy="253659"/>
    <xdr:sp macro="" textlink="' '!A38">
      <xdr:nvSpPr>
        <xdr:cNvPr id="31" name="Freihandform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/>
      </xdr:nvSpPr>
      <xdr:spPr>
        <a:xfrm>
          <a:off x="4114800" y="1143000"/>
          <a:ext cx="1478184" cy="253659"/>
        </a:xfrm>
        <a:custGeom>
          <a:avLst/>
          <a:gdLst>
            <a:gd name="connsiteX0" fmla="*/ 0 w 1478184"/>
            <a:gd name="connsiteY0" fmla="*/ 0 h 2010507"/>
            <a:gd name="connsiteX1" fmla="*/ 1478184 w 1478184"/>
            <a:gd name="connsiteY1" fmla="*/ 0 h 2010507"/>
            <a:gd name="connsiteX2" fmla="*/ 1478184 w 1478184"/>
            <a:gd name="connsiteY2" fmla="*/ 2010507 h 2010507"/>
            <a:gd name="connsiteX3" fmla="*/ 0 w 1478184"/>
            <a:gd name="connsiteY3" fmla="*/ 2010507 h 2010507"/>
            <a:gd name="connsiteX4" fmla="*/ 0 w 1478184"/>
            <a:gd name="connsiteY4" fmla="*/ 0 h 20105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478184" h="2010507">
              <a:moveTo>
                <a:pt x="0" y="0"/>
              </a:moveTo>
              <a:lnTo>
                <a:pt x="1478184" y="0"/>
              </a:lnTo>
              <a:lnTo>
                <a:pt x="1478184" y="2010507"/>
              </a:lnTo>
              <a:lnTo>
                <a:pt x="0" y="2010507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0" tIns="0" rIns="0" bIns="0" numCol="1" spcCol="1270" anchor="t" anchorCtr="0">
          <a:spAutoFit/>
        </a:bodyPr>
        <a:lstStyle/>
        <a:p>
          <a:pPr marL="0" lvl="0" indent="0" algn="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fld id="{94D4CE79-8189-4B56-BD1D-6770E78D075C}" type="TxLink">
            <a:rPr lang="en-US" sz="1800" kern="1200">
              <a:solidFill>
                <a:schemeClr val="accent1">
                  <a:lumMod val="50000"/>
                </a:schemeClr>
              </a:solidFill>
              <a:latin typeface="+mn-lt"/>
              <a:ea typeface="+mn-ea"/>
              <a:cs typeface="+mn-cs"/>
            </a:rPr>
            <a:pPr marL="0" lvl="0" indent="0" algn="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t>Controlling</a:t>
          </a:fld>
          <a:endParaRPr lang="de-CH" sz="1800" kern="1200">
            <a:solidFill>
              <a:schemeClr val="accent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5</xdr:col>
      <xdr:colOff>676275</xdr:colOff>
      <xdr:row>14</xdr:row>
      <xdr:rowOff>104775</xdr:rowOff>
    </xdr:from>
    <xdr:to>
      <xdr:col>8</xdr:col>
      <xdr:colOff>26575</xdr:colOff>
      <xdr:row>16</xdr:row>
      <xdr:rowOff>628</xdr:rowOff>
    </xdr:to>
    <xdr:grpSp>
      <xdr:nvGrpSpPr>
        <xdr:cNvPr id="30" name="Gruppieren 29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GrpSpPr/>
      </xdr:nvGrpSpPr>
      <xdr:grpSpPr>
        <a:xfrm>
          <a:off x="3693795" y="3152775"/>
          <a:ext cx="1704880" cy="261613"/>
          <a:chOff x="3590925" y="3219450"/>
          <a:chExt cx="1636300" cy="276853"/>
        </a:xfrm>
      </xdr:grpSpPr>
      <xdr:sp macro="" textlink="">
        <xdr:nvSpPr>
          <xdr:cNvPr id="40" name="Ellipse 39">
            <a:extLst>
              <a:ext uri="{FF2B5EF4-FFF2-40B4-BE49-F238E27FC236}">
                <a16:creationId xmlns:a16="http://schemas.microsoft.com/office/drawing/2014/main" id="{00000000-0008-0000-0400-000028000000}"/>
              </a:ext>
            </a:extLst>
          </xdr:cNvPr>
          <xdr:cNvSpPr>
            <a:spLocks noChangeAspect="1"/>
          </xdr:cNvSpPr>
        </xdr:nvSpPr>
        <xdr:spPr>
          <a:xfrm>
            <a:off x="3590925" y="3267876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1">
              <a:shade val="80000"/>
              <a:hueOff val="229684"/>
              <a:satOff val="-3294"/>
              <a:lumOff val="19211"/>
              <a:alphaOff val="0"/>
            </a:schemeClr>
          </a:fillRef>
          <a:effectRef idx="2">
            <a:schemeClr val="accent1">
              <a:shade val="80000"/>
              <a:hueOff val="229684"/>
              <a:satOff val="-3294"/>
              <a:lumOff val="19211"/>
              <a:alphaOff val="0"/>
            </a:schemeClr>
          </a:effectRef>
          <a:fontRef idx="minor">
            <a:schemeClr val="lt1"/>
          </a:fontRef>
        </xdr:style>
      </xdr:sp>
      <xdr:sp macro="" textlink="' '!A40">
        <xdr:nvSpPr>
          <xdr:cNvPr id="41" name="Freihandform 40">
            <a:extLst>
              <a:ext uri="{FF2B5EF4-FFF2-40B4-BE49-F238E27FC236}">
                <a16:creationId xmlns:a16="http://schemas.microsoft.com/office/drawing/2014/main" id="{00000000-0008-0000-0400-000029000000}"/>
              </a:ext>
            </a:extLst>
          </xdr:cNvPr>
          <xdr:cNvSpPr/>
        </xdr:nvSpPr>
        <xdr:spPr>
          <a:xfrm>
            <a:off x="3852376" y="3219450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EADE5788-9373-427E-BFB0-B7B03712718F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Tableau de bord innovation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3</xdr:col>
      <xdr:colOff>552450</xdr:colOff>
      <xdr:row>18</xdr:row>
      <xdr:rowOff>57150</xdr:rowOff>
    </xdr:from>
    <xdr:to>
      <xdr:col>5</xdr:col>
      <xdr:colOff>664750</xdr:colOff>
      <xdr:row>19</xdr:row>
      <xdr:rowOff>143503</xdr:rowOff>
    </xdr:to>
    <xdr:grpSp>
      <xdr:nvGrpSpPr>
        <xdr:cNvPr id="38" name="Gruppieren 3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GrpSpPr/>
      </xdr:nvGrpSpPr>
      <xdr:grpSpPr>
        <a:xfrm>
          <a:off x="2000250" y="3836670"/>
          <a:ext cx="1682020" cy="269233"/>
          <a:chOff x="2028825" y="3981450"/>
          <a:chExt cx="1636300" cy="276853"/>
        </a:xfrm>
      </xdr:grpSpPr>
      <xdr:sp macro="" textlink="">
        <xdr:nvSpPr>
          <xdr:cNvPr id="44" name="Ellipse 43">
            <a:extLst>
              <a:ext uri="{FF2B5EF4-FFF2-40B4-BE49-F238E27FC236}">
                <a16:creationId xmlns:a16="http://schemas.microsoft.com/office/drawing/2014/main" id="{00000000-0008-0000-0400-00002C000000}"/>
              </a:ext>
            </a:extLst>
          </xdr:cNvPr>
          <xdr:cNvSpPr>
            <a:spLocks noChangeAspect="1"/>
          </xdr:cNvSpPr>
        </xdr:nvSpPr>
        <xdr:spPr>
          <a:xfrm>
            <a:off x="2028825" y="4029876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1">
              <a:shade val="80000"/>
              <a:hueOff val="153123"/>
              <a:satOff val="-2196"/>
              <a:lumOff val="12807"/>
              <a:alphaOff val="0"/>
            </a:schemeClr>
          </a:fillRef>
          <a:effectRef idx="2">
            <a:schemeClr val="accent1">
              <a:shade val="80000"/>
              <a:hueOff val="153123"/>
              <a:satOff val="-2196"/>
              <a:lumOff val="12807"/>
              <a:alphaOff val="0"/>
            </a:schemeClr>
          </a:effectRef>
          <a:fontRef idx="minor">
            <a:schemeClr val="lt1"/>
          </a:fontRef>
        </xdr:style>
      </xdr:sp>
      <xdr:sp macro="" textlink="' '!A39">
        <xdr:nvSpPr>
          <xdr:cNvPr id="45" name="Freihandform 44">
            <a:extLst>
              <a:ext uri="{FF2B5EF4-FFF2-40B4-BE49-F238E27FC236}">
                <a16:creationId xmlns:a16="http://schemas.microsoft.com/office/drawing/2014/main" id="{00000000-0008-0000-0400-00002D000000}"/>
              </a:ext>
            </a:extLst>
          </xdr:cNvPr>
          <xdr:cNvSpPr/>
        </xdr:nvSpPr>
        <xdr:spPr>
          <a:xfrm>
            <a:off x="2290276" y="3981450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45F5BE29-A8CE-43BE-ACE5-6584B0069DB5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Gestion de projets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8</xdr:col>
      <xdr:colOff>266700</xdr:colOff>
      <xdr:row>16</xdr:row>
      <xdr:rowOff>171450</xdr:rowOff>
    </xdr:from>
    <xdr:to>
      <xdr:col>10</xdr:col>
      <xdr:colOff>379000</xdr:colOff>
      <xdr:row>18</xdr:row>
      <xdr:rowOff>67303</xdr:rowOff>
    </xdr:to>
    <xdr:grpSp>
      <xdr:nvGrpSpPr>
        <xdr:cNvPr id="47" name="Gruppieren 4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GrpSpPr/>
      </xdr:nvGrpSpPr>
      <xdr:grpSpPr>
        <a:xfrm>
          <a:off x="5638800" y="3585210"/>
          <a:ext cx="1682020" cy="261613"/>
          <a:chOff x="5524500" y="2933700"/>
          <a:chExt cx="1636300" cy="276853"/>
        </a:xfrm>
      </xdr:grpSpPr>
      <xdr:sp macro="" textlink="">
        <xdr:nvSpPr>
          <xdr:cNvPr id="48" name="Ellipse 47">
            <a:extLst>
              <a:ext uri="{FF2B5EF4-FFF2-40B4-BE49-F238E27FC236}">
                <a16:creationId xmlns:a16="http://schemas.microsoft.com/office/drawing/2014/main" id="{00000000-0008-0000-0400-000030000000}"/>
              </a:ext>
            </a:extLst>
          </xdr:cNvPr>
          <xdr:cNvSpPr>
            <a:spLocks noChangeAspect="1"/>
          </xdr:cNvSpPr>
        </xdr:nvSpPr>
        <xdr:spPr>
          <a:xfrm>
            <a:off x="5524500" y="2982126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1">
              <a:shade val="80000"/>
              <a:hueOff val="306246"/>
              <a:satOff val="-4392"/>
              <a:lumOff val="25615"/>
              <a:alphaOff val="0"/>
            </a:schemeClr>
          </a:fillRef>
          <a:effectRef idx="2">
            <a:schemeClr val="accent1">
              <a:shade val="80000"/>
              <a:hueOff val="306246"/>
              <a:satOff val="-4392"/>
              <a:lumOff val="25615"/>
              <a:alphaOff val="0"/>
            </a:schemeClr>
          </a:effectRef>
          <a:fontRef idx="minor">
            <a:schemeClr val="lt1"/>
          </a:fontRef>
        </xdr:style>
      </xdr:sp>
      <xdr:sp macro="" textlink="' '!A45">
        <xdr:nvSpPr>
          <xdr:cNvPr id="49" name="Freihandform 48">
            <a:extLst>
              <a:ext uri="{FF2B5EF4-FFF2-40B4-BE49-F238E27FC236}">
                <a16:creationId xmlns:a16="http://schemas.microsoft.com/office/drawing/2014/main" id="{00000000-0008-0000-0400-000031000000}"/>
              </a:ext>
            </a:extLst>
          </xdr:cNvPr>
          <xdr:cNvSpPr/>
        </xdr:nvSpPr>
        <xdr:spPr>
          <a:xfrm>
            <a:off x="5785951" y="2933700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91D43FDF-8DC4-466F-A7EE-31C1615E2575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Balanced Scorecard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8</xdr:col>
      <xdr:colOff>266699</xdr:colOff>
      <xdr:row>18</xdr:row>
      <xdr:rowOff>104775</xdr:rowOff>
    </xdr:from>
    <xdr:to>
      <xdr:col>10</xdr:col>
      <xdr:colOff>619125</xdr:colOff>
      <xdr:row>20</xdr:row>
      <xdr:rowOff>628</xdr:rowOff>
    </xdr:to>
    <xdr:grpSp>
      <xdr:nvGrpSpPr>
        <xdr:cNvPr id="50" name="Gruppieren 4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GrpSpPr/>
      </xdr:nvGrpSpPr>
      <xdr:grpSpPr>
        <a:xfrm>
          <a:off x="5638799" y="3884295"/>
          <a:ext cx="1922146" cy="261613"/>
          <a:chOff x="5524500" y="2933700"/>
          <a:chExt cx="1828800" cy="276853"/>
        </a:xfrm>
      </xdr:grpSpPr>
      <xdr:sp macro="" textlink="">
        <xdr:nvSpPr>
          <xdr:cNvPr id="51" name="Ellipse 50">
            <a:extLst>
              <a:ext uri="{FF2B5EF4-FFF2-40B4-BE49-F238E27FC236}">
                <a16:creationId xmlns:a16="http://schemas.microsoft.com/office/drawing/2014/main" id="{00000000-0008-0000-0400-000033000000}"/>
              </a:ext>
            </a:extLst>
          </xdr:cNvPr>
          <xdr:cNvSpPr>
            <a:spLocks noChangeAspect="1"/>
          </xdr:cNvSpPr>
        </xdr:nvSpPr>
        <xdr:spPr>
          <a:xfrm>
            <a:off x="5524500" y="2982126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1">
              <a:shade val="80000"/>
              <a:hueOff val="306246"/>
              <a:satOff val="-4392"/>
              <a:lumOff val="25615"/>
              <a:alphaOff val="0"/>
            </a:schemeClr>
          </a:fillRef>
          <a:effectRef idx="2">
            <a:schemeClr val="accent1">
              <a:shade val="80000"/>
              <a:hueOff val="306246"/>
              <a:satOff val="-4392"/>
              <a:lumOff val="25615"/>
              <a:alphaOff val="0"/>
            </a:schemeClr>
          </a:effectRef>
          <a:fontRef idx="minor">
            <a:schemeClr val="lt1"/>
          </a:fontRef>
        </xdr:style>
      </xdr:sp>
      <xdr:sp macro="" textlink="' '!A46">
        <xdr:nvSpPr>
          <xdr:cNvPr id="52" name="Freihandform 51">
            <a:extLst>
              <a:ext uri="{FF2B5EF4-FFF2-40B4-BE49-F238E27FC236}">
                <a16:creationId xmlns:a16="http://schemas.microsoft.com/office/drawing/2014/main" id="{00000000-0008-0000-0400-000034000000}"/>
              </a:ext>
            </a:extLst>
          </xdr:cNvPr>
          <xdr:cNvSpPr/>
        </xdr:nvSpPr>
        <xdr:spPr>
          <a:xfrm>
            <a:off x="5785951" y="2933700"/>
            <a:ext cx="15673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1F9C9B3A-652E-40A5-9547-99950019260B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Tableau de bord direction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8</xdr:col>
      <xdr:colOff>266700</xdr:colOff>
      <xdr:row>13</xdr:row>
      <xdr:rowOff>114300</xdr:rowOff>
    </xdr:from>
    <xdr:to>
      <xdr:col>10</xdr:col>
      <xdr:colOff>379000</xdr:colOff>
      <xdr:row>15</xdr:row>
      <xdr:rowOff>10153</xdr:rowOff>
    </xdr:to>
    <xdr:grpSp>
      <xdr:nvGrpSpPr>
        <xdr:cNvPr id="53" name="Gruppieren 5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GrpSpPr/>
      </xdr:nvGrpSpPr>
      <xdr:grpSpPr>
        <a:xfrm>
          <a:off x="5638800" y="2979420"/>
          <a:ext cx="1682020" cy="261613"/>
          <a:chOff x="5524500" y="2933700"/>
          <a:chExt cx="1636300" cy="276853"/>
        </a:xfrm>
      </xdr:grpSpPr>
      <xdr:sp macro="" textlink="">
        <xdr:nvSpPr>
          <xdr:cNvPr id="54" name="Ellipse 53">
            <a:extLst>
              <a:ext uri="{FF2B5EF4-FFF2-40B4-BE49-F238E27FC236}">
                <a16:creationId xmlns:a16="http://schemas.microsoft.com/office/drawing/2014/main" id="{00000000-0008-0000-0400-000036000000}"/>
              </a:ext>
            </a:extLst>
          </xdr:cNvPr>
          <xdr:cNvSpPr>
            <a:spLocks noChangeAspect="1"/>
          </xdr:cNvSpPr>
        </xdr:nvSpPr>
        <xdr:spPr>
          <a:xfrm>
            <a:off x="5524500" y="2982126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1">
              <a:shade val="80000"/>
              <a:hueOff val="306246"/>
              <a:satOff val="-4392"/>
              <a:lumOff val="25615"/>
              <a:alphaOff val="0"/>
            </a:schemeClr>
          </a:fillRef>
          <a:effectRef idx="2">
            <a:schemeClr val="accent1">
              <a:shade val="80000"/>
              <a:hueOff val="306246"/>
              <a:satOff val="-4392"/>
              <a:lumOff val="25615"/>
              <a:alphaOff val="0"/>
            </a:schemeClr>
          </a:effectRef>
          <a:fontRef idx="minor">
            <a:schemeClr val="lt1"/>
          </a:fontRef>
        </xdr:style>
      </xdr:sp>
      <xdr:sp macro="" textlink="' '!A43">
        <xdr:nvSpPr>
          <xdr:cNvPr id="55" name="Freihandform 54">
            <a:extLst>
              <a:ext uri="{FF2B5EF4-FFF2-40B4-BE49-F238E27FC236}">
                <a16:creationId xmlns:a16="http://schemas.microsoft.com/office/drawing/2014/main" id="{00000000-0008-0000-0400-000037000000}"/>
              </a:ext>
            </a:extLst>
          </xdr:cNvPr>
          <xdr:cNvSpPr/>
        </xdr:nvSpPr>
        <xdr:spPr>
          <a:xfrm>
            <a:off x="5785951" y="2933700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4D5E2FB7-E7E8-4F7A-B374-D97C12F3EFC5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Gestion du risque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8</xdr:col>
      <xdr:colOff>266700</xdr:colOff>
      <xdr:row>15</xdr:row>
      <xdr:rowOff>47625</xdr:rowOff>
    </xdr:from>
    <xdr:to>
      <xdr:col>10</xdr:col>
      <xdr:colOff>379000</xdr:colOff>
      <xdr:row>16</xdr:row>
      <xdr:rowOff>133978</xdr:rowOff>
    </xdr:to>
    <xdr:grpSp>
      <xdr:nvGrpSpPr>
        <xdr:cNvPr id="56" name="Gruppieren 5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GrpSpPr/>
      </xdr:nvGrpSpPr>
      <xdr:grpSpPr>
        <a:xfrm>
          <a:off x="5638800" y="3278505"/>
          <a:ext cx="1682020" cy="269233"/>
          <a:chOff x="5524500" y="2933700"/>
          <a:chExt cx="1636300" cy="276853"/>
        </a:xfrm>
      </xdr:grpSpPr>
      <xdr:sp macro="" textlink="">
        <xdr:nvSpPr>
          <xdr:cNvPr id="57" name="Ellipse 56">
            <a:extLst>
              <a:ext uri="{FF2B5EF4-FFF2-40B4-BE49-F238E27FC236}">
                <a16:creationId xmlns:a16="http://schemas.microsoft.com/office/drawing/2014/main" id="{00000000-0008-0000-0400-000039000000}"/>
              </a:ext>
            </a:extLst>
          </xdr:cNvPr>
          <xdr:cNvSpPr>
            <a:spLocks noChangeAspect="1"/>
          </xdr:cNvSpPr>
        </xdr:nvSpPr>
        <xdr:spPr>
          <a:xfrm>
            <a:off x="5524500" y="2982126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1">
              <a:shade val="80000"/>
              <a:hueOff val="306246"/>
              <a:satOff val="-4392"/>
              <a:lumOff val="25615"/>
              <a:alphaOff val="0"/>
            </a:schemeClr>
          </a:fillRef>
          <a:effectRef idx="2">
            <a:schemeClr val="accent1">
              <a:shade val="80000"/>
              <a:hueOff val="306246"/>
              <a:satOff val="-4392"/>
              <a:lumOff val="25615"/>
              <a:alphaOff val="0"/>
            </a:schemeClr>
          </a:effectRef>
          <a:fontRef idx="minor">
            <a:schemeClr val="lt1"/>
          </a:fontRef>
        </xdr:style>
      </xdr:sp>
      <xdr:sp macro="" textlink="' '!A44">
        <xdr:nvSpPr>
          <xdr:cNvPr id="58" name="Freihandform 57">
            <a:extLst>
              <a:ext uri="{FF2B5EF4-FFF2-40B4-BE49-F238E27FC236}">
                <a16:creationId xmlns:a16="http://schemas.microsoft.com/office/drawing/2014/main" id="{00000000-0008-0000-0400-00003A000000}"/>
              </a:ext>
            </a:extLst>
          </xdr:cNvPr>
          <xdr:cNvSpPr/>
        </xdr:nvSpPr>
        <xdr:spPr>
          <a:xfrm>
            <a:off x="5785951" y="2933700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6E06EE88-AB13-475F-91EF-505933EA0C45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Diagramme de Pareto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5</xdr:col>
      <xdr:colOff>676275</xdr:colOff>
      <xdr:row>16</xdr:row>
      <xdr:rowOff>38100</xdr:rowOff>
    </xdr:from>
    <xdr:to>
      <xdr:col>8</xdr:col>
      <xdr:colOff>26575</xdr:colOff>
      <xdr:row>17</xdr:row>
      <xdr:rowOff>124453</xdr:rowOff>
    </xdr:to>
    <xdr:grpSp>
      <xdr:nvGrpSpPr>
        <xdr:cNvPr id="59" name="Gruppieren 5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GrpSpPr/>
      </xdr:nvGrpSpPr>
      <xdr:grpSpPr>
        <a:xfrm>
          <a:off x="3693795" y="3451860"/>
          <a:ext cx="1704880" cy="269233"/>
          <a:chOff x="3590925" y="3219450"/>
          <a:chExt cx="1636300" cy="276853"/>
        </a:xfrm>
      </xdr:grpSpPr>
      <xdr:sp macro="" textlink="">
        <xdr:nvSpPr>
          <xdr:cNvPr id="60" name="Ellipse 59">
            <a:extLst>
              <a:ext uri="{FF2B5EF4-FFF2-40B4-BE49-F238E27FC236}">
                <a16:creationId xmlns:a16="http://schemas.microsoft.com/office/drawing/2014/main" id="{00000000-0008-0000-0400-00003C000000}"/>
              </a:ext>
            </a:extLst>
          </xdr:cNvPr>
          <xdr:cNvSpPr>
            <a:spLocks noChangeAspect="1"/>
          </xdr:cNvSpPr>
        </xdr:nvSpPr>
        <xdr:spPr>
          <a:xfrm>
            <a:off x="3590925" y="3267876"/>
            <a:ext cx="180000" cy="180000"/>
          </a:xfrm>
          <a:prstGeom prst="ellipse">
            <a:avLst/>
          </a:prstGeom>
        </xdr:spPr>
        <xdr:style>
          <a:lnRef idx="0">
            <a:schemeClr val="lt1">
              <a:hueOff val="0"/>
              <a:satOff val="0"/>
              <a:lumOff val="0"/>
              <a:alphaOff val="0"/>
            </a:schemeClr>
          </a:lnRef>
          <a:fillRef idx="3">
            <a:schemeClr val="accent1">
              <a:shade val="80000"/>
              <a:hueOff val="229684"/>
              <a:satOff val="-3294"/>
              <a:lumOff val="19211"/>
              <a:alphaOff val="0"/>
            </a:schemeClr>
          </a:fillRef>
          <a:effectRef idx="2">
            <a:schemeClr val="accent1">
              <a:shade val="80000"/>
              <a:hueOff val="229684"/>
              <a:satOff val="-3294"/>
              <a:lumOff val="19211"/>
              <a:alphaOff val="0"/>
            </a:schemeClr>
          </a:effectRef>
          <a:fontRef idx="minor">
            <a:schemeClr val="lt1"/>
          </a:fontRef>
        </xdr:style>
      </xdr:sp>
      <xdr:sp macro="" textlink="' '!A41">
        <xdr:nvSpPr>
          <xdr:cNvPr id="61" name="Freihandform 60">
            <a:extLst>
              <a:ext uri="{FF2B5EF4-FFF2-40B4-BE49-F238E27FC236}">
                <a16:creationId xmlns:a16="http://schemas.microsoft.com/office/drawing/2014/main" id="{00000000-0008-0000-0400-00003D000000}"/>
              </a:ext>
            </a:extLst>
          </xdr:cNvPr>
          <xdr:cNvSpPr/>
        </xdr:nvSpPr>
        <xdr:spPr>
          <a:xfrm>
            <a:off x="3852376" y="3219450"/>
            <a:ext cx="1374849" cy="276853"/>
          </a:xfrm>
          <a:custGeom>
            <a:avLst/>
            <a:gdLst>
              <a:gd name="connsiteX0" fmla="*/ 0 w 1478184"/>
              <a:gd name="connsiteY0" fmla="*/ 0 h 2010507"/>
              <a:gd name="connsiteX1" fmla="*/ 1478184 w 1478184"/>
              <a:gd name="connsiteY1" fmla="*/ 0 h 2010507"/>
              <a:gd name="connsiteX2" fmla="*/ 1478184 w 1478184"/>
              <a:gd name="connsiteY2" fmla="*/ 2010507 h 2010507"/>
              <a:gd name="connsiteX3" fmla="*/ 0 w 1478184"/>
              <a:gd name="connsiteY3" fmla="*/ 2010507 h 2010507"/>
              <a:gd name="connsiteX4" fmla="*/ 0 w 1478184"/>
              <a:gd name="connsiteY4" fmla="*/ 0 h 20105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478184" h="2010507">
                <a:moveTo>
                  <a:pt x="0" y="0"/>
                </a:moveTo>
                <a:lnTo>
                  <a:pt x="1478184" y="0"/>
                </a:lnTo>
                <a:lnTo>
                  <a:pt x="1478184" y="2010507"/>
                </a:lnTo>
                <a:lnTo>
                  <a:pt x="0" y="2010507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/>
          <a:p>
            <a:pPr lvl="0" algn="l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08944543-DFCE-4525-8BA0-1CD53A84D0E5}" type="TxLink">
              <a:rPr lang="en-US" sz="1200" b="0" i="0" u="none" strike="noStrike" kern="1200">
                <a:solidFill>
                  <a:srgbClr val="000000"/>
                </a:solidFill>
                <a:latin typeface="Calibri"/>
              </a:rPr>
              <a:pPr lvl="0" algn="l" defTabSz="5334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Communication</a:t>
            </a:fld>
            <a:endParaRPr lang="de-CH" sz="1200" kern="12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2</xdr:col>
      <xdr:colOff>419100</xdr:colOff>
      <xdr:row>21</xdr:row>
      <xdr:rowOff>85725</xdr:rowOff>
    </xdr:from>
    <xdr:to>
      <xdr:col>10</xdr:col>
      <xdr:colOff>676274</xdr:colOff>
      <xdr:row>25</xdr:row>
      <xdr:rowOff>132140</xdr:rowOff>
    </xdr:to>
    <xdr:sp macro="" textlink="' '!A49">
      <xdr:nvSpPr>
        <xdr:cNvPr id="42" name="Textfeld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 txBox="1"/>
      </xdr:nvSpPr>
      <xdr:spPr>
        <a:xfrm>
          <a:off x="1066800" y="4533900"/>
          <a:ext cx="6353174" cy="8084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fld id="{C8B93804-D27C-4E24-ACF4-6D182479A3B1}" type="TxLink">
            <a:rPr lang="en-US" sz="4400" b="0" i="0" u="none" strike="noStrike">
              <a:ln>
                <a:noFill/>
              </a:ln>
              <a:solidFill>
                <a:schemeClr val="bg1">
                  <a:lumMod val="75000"/>
                </a:schemeClr>
              </a:solidFill>
              <a:latin typeface="Calibri"/>
              <a:ea typeface="+mn-ea"/>
              <a:cs typeface="+mn-cs"/>
            </a:rPr>
            <a:pPr algn="r"/>
            <a:t>Intéligence créative</a:t>
          </a:fld>
          <a:endParaRPr lang="de-CH" sz="4400" b="0" i="0" u="none" strike="noStrike">
            <a:ln>
              <a:noFill/>
            </a:ln>
            <a:solidFill>
              <a:schemeClr val="bg1">
                <a:lumMod val="75000"/>
              </a:schemeClr>
            </a:solidFill>
            <a:latin typeface="Calibri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60960</xdr:colOff>
          <xdr:row>0</xdr:row>
          <xdr:rowOff>7620</xdr:rowOff>
        </xdr:from>
        <xdr:to>
          <xdr:col>13</xdr:col>
          <xdr:colOff>3810</xdr:colOff>
          <xdr:row>0</xdr:row>
          <xdr:rowOff>541020</xdr:rowOff>
        </xdr:to>
        <xdr:pic>
          <xdr:nvPicPr>
            <xdr:cNvPr id="43" name="Grafik 45">
              <a:extLst>
                <a:ext uri="{FF2B5EF4-FFF2-40B4-BE49-F238E27FC236}">
                  <a16:creationId xmlns:a16="http://schemas.microsoft.com/office/drawing/2014/main" id="{00000000-0008-0000-0400-00002B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21865"/>
                </a:ext>
              </a:extLst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6217920" y="762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396418</xdr:colOff>
      <xdr:row>11</xdr:row>
      <xdr:rowOff>183124</xdr:rowOff>
    </xdr:from>
    <xdr:to>
      <xdr:col>5</xdr:col>
      <xdr:colOff>258462</xdr:colOff>
      <xdr:row>25</xdr:row>
      <xdr:rowOff>138595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167943" y="3402574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398447</xdr:colOff>
      <xdr:row>25</xdr:row>
      <xdr:rowOff>183932</xdr:rowOff>
    </xdr:from>
    <xdr:to>
      <xdr:col>5</xdr:col>
      <xdr:colOff>260491</xdr:colOff>
      <xdr:row>39</xdr:row>
      <xdr:rowOff>139403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169972" y="6070382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302306</xdr:colOff>
      <xdr:row>11</xdr:row>
      <xdr:rowOff>183124</xdr:rowOff>
    </xdr:from>
    <xdr:to>
      <xdr:col>6</xdr:col>
      <xdr:colOff>2621800</xdr:colOff>
      <xdr:row>25</xdr:row>
      <xdr:rowOff>138595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4102781" y="3402574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301166</xdr:colOff>
      <xdr:row>25</xdr:row>
      <xdr:rowOff>183932</xdr:rowOff>
    </xdr:from>
    <xdr:to>
      <xdr:col>6</xdr:col>
      <xdr:colOff>2620660</xdr:colOff>
      <xdr:row>39</xdr:row>
      <xdr:rowOff>139403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4101641" y="6070382"/>
          <a:ext cx="2890994" cy="2622471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oneCellAnchor>
    <xdr:from>
      <xdr:col>0</xdr:col>
      <xdr:colOff>392744</xdr:colOff>
      <xdr:row>11</xdr:row>
      <xdr:rowOff>152400</xdr:rowOff>
    </xdr:from>
    <xdr:ext cx="342786" cy="5400675"/>
    <xdr:sp macro="" textlink="' '!A145">
      <xdr:nvSpPr>
        <xdr:cNvPr id="7" name="Textfeld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/>
      </xdr:nvSpPr>
      <xdr:spPr>
        <a:xfrm rot="16200000">
          <a:off x="-2136201" y="5900795"/>
          <a:ext cx="540067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E7877B9E-68C7-4D37-9A04-A520E2A3B924}" type="TxLink">
            <a:rPr lang="de-CH" sz="1600" b="1"/>
            <a:pPr algn="ctr"/>
            <a:t>Demande du produit</a:t>
          </a:fld>
          <a:endParaRPr lang="de-CH" sz="1600" b="1"/>
        </a:p>
      </xdr:txBody>
    </xdr:sp>
    <xdr:clientData/>
  </xdr:oneCellAnchor>
  <xdr:twoCellAnchor editAs="oneCell">
    <xdr:from>
      <xdr:col>2</xdr:col>
      <xdr:colOff>285750</xdr:colOff>
      <xdr:row>41</xdr:row>
      <xdr:rowOff>188200</xdr:rowOff>
    </xdr:from>
    <xdr:to>
      <xdr:col>6</xdr:col>
      <xdr:colOff>2609850</xdr:colOff>
      <xdr:row>45</xdr:row>
      <xdr:rowOff>45839</xdr:rowOff>
    </xdr:to>
    <xdr:sp macro="" textlink="' '!A146">
      <xdr:nvSpPr>
        <xdr:cNvPr id="8" name="Textfeld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/>
      </xdr:nvSpPr>
      <xdr:spPr>
        <a:xfrm>
          <a:off x="1057275" y="9122650"/>
          <a:ext cx="5924550" cy="4386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fld id="{AC5B187C-0D25-46E2-9365-38F40309E2AD}" type="TxLink">
            <a:rPr lang="de-CH" sz="1600" b="1"/>
            <a:pPr algn="ctr"/>
            <a:t>Argument publicitaire unique (USP)</a:t>
          </a:fld>
          <a:endParaRPr lang="de-CH" sz="1600" b="1"/>
        </a:p>
      </xdr:txBody>
    </xdr:sp>
    <xdr:clientData/>
  </xdr:twoCellAnchor>
  <xdr:oneCellAnchor>
    <xdr:from>
      <xdr:col>1</xdr:col>
      <xdr:colOff>41163</xdr:colOff>
      <xdr:row>11</xdr:row>
      <xdr:rowOff>133350</xdr:rowOff>
    </xdr:from>
    <xdr:ext cx="311496" cy="1009650"/>
    <xdr:sp macro="" textlink="' '!A155">
      <xdr:nvSpPr>
        <xdr:cNvPr id="9" name="Textfeld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/>
      </xdr:nvSpPr>
      <xdr:spPr>
        <a:xfrm rot="16200000">
          <a:off x="158811" y="3701877"/>
          <a:ext cx="100965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indent="0" algn="ctr"/>
          <a:fld id="{44390AD1-6B72-4DAA-98AB-D2B6D9971924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grande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1533526</xdr:colOff>
      <xdr:row>41</xdr:row>
      <xdr:rowOff>95515</xdr:rowOff>
    </xdr:from>
    <xdr:ext cx="1095374" cy="311496"/>
    <xdr:sp macro="" textlink="' '!A155">
      <xdr:nvSpPr>
        <xdr:cNvPr id="11" name="Textfeld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/>
      </xdr:nvSpPr>
      <xdr:spPr>
        <a:xfrm>
          <a:off x="5905501" y="9029965"/>
          <a:ext cx="109537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F06EC2DE-7B1A-48D7-8378-98EBA738638F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grande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336768</xdr:colOff>
      <xdr:row>41</xdr:row>
      <xdr:rowOff>105040</xdr:rowOff>
    </xdr:from>
    <xdr:ext cx="1053881" cy="264560"/>
    <xdr:sp macro="" textlink="' '!A156">
      <xdr:nvSpPr>
        <xdr:cNvPr id="12" name="Textfeld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1108293" y="9039490"/>
          <a:ext cx="105388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A66AB689-0933-4E9D-8AD3-B35DA6AE47B4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petit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 editAs="oneCell">
    <xdr:from>
      <xdr:col>7</xdr:col>
      <xdr:colOff>295275</xdr:colOff>
      <xdr:row>1</xdr:row>
      <xdr:rowOff>57150</xdr:rowOff>
    </xdr:from>
    <xdr:to>
      <xdr:col>7</xdr:col>
      <xdr:colOff>475275</xdr:colOff>
      <xdr:row>1</xdr:row>
      <xdr:rowOff>237150</xdr:rowOff>
    </xdr:to>
    <xdr:grpSp>
      <xdr:nvGrpSpPr>
        <xdr:cNvPr id="13" name="Gruppieren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GrpSpPr>
          <a:grpSpLocks noChangeAspect="1"/>
        </xdr:cNvGrpSpPr>
      </xdr:nvGrpSpPr>
      <xdr:grpSpPr>
        <a:xfrm>
          <a:off x="7770495" y="621030"/>
          <a:ext cx="180000" cy="180000"/>
          <a:chOff x="8105775" y="571500"/>
          <a:chExt cx="172800" cy="172800"/>
        </a:xfrm>
      </xdr:grpSpPr>
      <xdr:sp macro="" textlink="">
        <xdr:nvSpPr>
          <xdr:cNvPr id="14" name="Rechteck 13">
            <a:extLst>
              <a:ext uri="{FF2B5EF4-FFF2-40B4-BE49-F238E27FC236}">
                <a16:creationId xmlns:a16="http://schemas.microsoft.com/office/drawing/2014/main" id="{00000000-0008-0000-0500-00000E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" name="Textfeld 14">
            <a:extLst>
              <a:ext uri="{FF2B5EF4-FFF2-40B4-BE49-F238E27FC236}">
                <a16:creationId xmlns:a16="http://schemas.microsoft.com/office/drawing/2014/main" id="{00000000-0008-0000-0500-00000F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oneCellAnchor>
    <xdr:from>
      <xdr:col>1</xdr:col>
      <xdr:colOff>50688</xdr:colOff>
      <xdr:row>35</xdr:row>
      <xdr:rowOff>28575</xdr:rowOff>
    </xdr:from>
    <xdr:ext cx="311496" cy="971550"/>
    <xdr:sp macro="" textlink="' '!A156">
      <xdr:nvSpPr>
        <xdr:cNvPr id="34" name="Textfeld 33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 txBox="1"/>
      </xdr:nvSpPr>
      <xdr:spPr>
        <a:xfrm rot="16200000">
          <a:off x="187386" y="8150052"/>
          <a:ext cx="97155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indent="0" algn="ctr"/>
          <a:fld id="{751126F7-0F36-4572-859E-ECE12823598D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petit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 editAs="oneCell">
    <xdr:from>
      <xdr:col>0</xdr:col>
      <xdr:colOff>76200</xdr:colOff>
      <xdr:row>0</xdr:row>
      <xdr:rowOff>95250</xdr:rowOff>
    </xdr:from>
    <xdr:to>
      <xdr:col>0</xdr:col>
      <xdr:colOff>400200</xdr:colOff>
      <xdr:row>0</xdr:row>
      <xdr:rowOff>420715</xdr:rowOff>
    </xdr:to>
    <xdr:grpSp>
      <xdr:nvGrpSpPr>
        <xdr:cNvPr id="36" name="Gruppieren 3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GrpSpPr/>
      </xdr:nvGrpSpPr>
      <xdr:grpSpPr>
        <a:xfrm>
          <a:off x="76200" y="95250"/>
          <a:ext cx="324000" cy="325465"/>
          <a:chOff x="9191625" y="3009900"/>
          <a:chExt cx="324000" cy="325465"/>
        </a:xfrm>
      </xdr:grpSpPr>
      <xdr:sp macro="" textlink="">
        <xdr:nvSpPr>
          <xdr:cNvPr id="37" name="Rechteck 36">
            <a:extLst>
              <a:ext uri="{FF2B5EF4-FFF2-40B4-BE49-F238E27FC236}">
                <a16:creationId xmlns:a16="http://schemas.microsoft.com/office/drawing/2014/main" id="{00000000-0008-0000-0500-00002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8" name="Pfeil nach links 37">
            <a:extLst>
              <a:ext uri="{FF2B5EF4-FFF2-40B4-BE49-F238E27FC236}">
                <a16:creationId xmlns:a16="http://schemas.microsoft.com/office/drawing/2014/main" id="{00000000-0008-0000-0500-00002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276225</xdr:colOff>
      <xdr:row>11</xdr:row>
      <xdr:rowOff>1</xdr:rowOff>
    </xdr:from>
    <xdr:to>
      <xdr:col>7</xdr:col>
      <xdr:colOff>0</xdr:colOff>
      <xdr:row>42</xdr:row>
      <xdr:rowOff>1</xdr:rowOff>
    </xdr:to>
    <xdr:graphicFrame macro="">
      <xdr:nvGraphicFramePr>
        <xdr:cNvPr id="35" name="Diagramm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1630680</xdr:colOff>
          <xdr:row>0</xdr:row>
          <xdr:rowOff>83820</xdr:rowOff>
        </xdr:from>
        <xdr:to>
          <xdr:col>8</xdr:col>
          <xdr:colOff>3810</xdr:colOff>
          <xdr:row>0</xdr:row>
          <xdr:rowOff>516477</xdr:rowOff>
        </xdr:to>
        <xdr:pic>
          <xdr:nvPicPr>
            <xdr:cNvPr id="19" name="Grafik 45">
              <a:extLst>
                <a:ext uri="{FF2B5EF4-FFF2-40B4-BE49-F238E27FC236}">
                  <a16:creationId xmlns:a16="http://schemas.microsoft.com/office/drawing/2014/main" id="{00000000-0008-0000-0500-00001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22887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6126480" y="83820"/>
              <a:ext cx="1832610" cy="432657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25</xdr:row>
      <xdr:rowOff>28575</xdr:rowOff>
    </xdr:from>
    <xdr:to>
      <xdr:col>7</xdr:col>
      <xdr:colOff>466725</xdr:colOff>
      <xdr:row>54</xdr:row>
      <xdr:rowOff>76200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316230</xdr:colOff>
      <xdr:row>1</xdr:row>
      <xdr:rowOff>57150</xdr:rowOff>
    </xdr:from>
    <xdr:to>
      <xdr:col>7</xdr:col>
      <xdr:colOff>489030</xdr:colOff>
      <xdr:row>2</xdr:row>
      <xdr:rowOff>48975</xdr:rowOff>
    </xdr:to>
    <xdr:grpSp>
      <xdr:nvGrpSpPr>
        <xdr:cNvPr id="3" name="Gruppier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/>
      </xdr:nvGrpSpPr>
      <xdr:grpSpPr>
        <a:xfrm>
          <a:off x="8294370" y="621030"/>
          <a:ext cx="172800" cy="167085"/>
          <a:chOff x="8105775" y="571500"/>
          <a:chExt cx="172800" cy="172800"/>
        </a:xfrm>
      </xdr:grpSpPr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" name="Textfeld 4">
            <a:extLst>
              <a:ext uri="{FF2B5EF4-FFF2-40B4-BE49-F238E27FC236}">
                <a16:creationId xmlns:a16="http://schemas.microsoft.com/office/drawing/2014/main" id="{00000000-0008-0000-0600-00000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6" name="Gruppieren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0600-00000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" name="Pfeil nach links 7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76200</xdr:colOff>
      <xdr:row>3</xdr:row>
      <xdr:rowOff>0</xdr:rowOff>
    </xdr:from>
    <xdr:to>
      <xdr:col>0</xdr:col>
      <xdr:colOff>400200</xdr:colOff>
      <xdr:row>3</xdr:row>
      <xdr:rowOff>325465</xdr:rowOff>
    </xdr:to>
    <xdr:grpSp>
      <xdr:nvGrpSpPr>
        <xdr:cNvPr id="9" name="Gruppieren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GrpSpPr/>
      </xdr:nvGrpSpPr>
      <xdr:grpSpPr>
        <a:xfrm>
          <a:off x="76200" y="868680"/>
          <a:ext cx="324000" cy="325465"/>
          <a:chOff x="12382500" y="2152650"/>
          <a:chExt cx="324000" cy="325465"/>
        </a:xfrm>
      </xdr:grpSpPr>
      <xdr:sp macro="" textlink="">
        <xdr:nvSpPr>
          <xdr:cNvPr id="10" name="Rechteck 9">
            <a:extLst>
              <a:ext uri="{FF2B5EF4-FFF2-40B4-BE49-F238E27FC236}">
                <a16:creationId xmlns:a16="http://schemas.microsoft.com/office/drawing/2014/main" id="{00000000-0008-0000-0600-00000A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1" name="Grafik 10">
            <a:extLst>
              <a:ext uri="{FF2B5EF4-FFF2-40B4-BE49-F238E27FC236}">
                <a16:creationId xmlns:a16="http://schemas.microsoft.com/office/drawing/2014/main" id="{00000000-0008-0000-06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76200</xdr:colOff>
      <xdr:row>52</xdr:row>
      <xdr:rowOff>114300</xdr:rowOff>
    </xdr:from>
    <xdr:to>
      <xdr:col>0</xdr:col>
      <xdr:colOff>400200</xdr:colOff>
      <xdr:row>54</xdr:row>
      <xdr:rowOff>58765</xdr:rowOff>
    </xdr:to>
    <xdr:grpSp>
      <xdr:nvGrpSpPr>
        <xdr:cNvPr id="12" name="Gruppieren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GrpSpPr/>
      </xdr:nvGrpSpPr>
      <xdr:grpSpPr>
        <a:xfrm>
          <a:off x="76200" y="12466320"/>
          <a:ext cx="324000" cy="310225"/>
          <a:chOff x="66675" y="4972050"/>
          <a:chExt cx="324000" cy="325465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0600-00000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" name="Pfeil nach oben 13">
            <a:extLst>
              <a:ext uri="{FF2B5EF4-FFF2-40B4-BE49-F238E27FC236}">
                <a16:creationId xmlns:a16="http://schemas.microsoft.com/office/drawing/2014/main" id="{00000000-0008-0000-0600-00000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99060</xdr:colOff>
          <xdr:row>0</xdr:row>
          <xdr:rowOff>7620</xdr:rowOff>
        </xdr:from>
        <xdr:to>
          <xdr:col>8</xdr:col>
          <xdr:colOff>3810</xdr:colOff>
          <xdr:row>0</xdr:row>
          <xdr:rowOff>541020</xdr:rowOff>
        </xdr:to>
        <xdr:pic>
          <xdr:nvPicPr>
            <xdr:cNvPr id="15" name="Grafik 45">
              <a:extLst>
                <a:ext uri="{FF2B5EF4-FFF2-40B4-BE49-F238E27FC236}">
                  <a16:creationId xmlns:a16="http://schemas.microsoft.com/office/drawing/2014/main" id="{00000000-0008-0000-0600-00000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23911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6233160" y="762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25</xdr:row>
      <xdr:rowOff>28575</xdr:rowOff>
    </xdr:from>
    <xdr:to>
      <xdr:col>8</xdr:col>
      <xdr:colOff>466725</xdr:colOff>
      <xdr:row>54</xdr:row>
      <xdr:rowOff>76200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308610</xdr:colOff>
      <xdr:row>1</xdr:row>
      <xdr:rowOff>57150</xdr:rowOff>
    </xdr:from>
    <xdr:to>
      <xdr:col>8</xdr:col>
      <xdr:colOff>481410</xdr:colOff>
      <xdr:row>2</xdr:row>
      <xdr:rowOff>48975</xdr:rowOff>
    </xdr:to>
    <xdr:grpSp>
      <xdr:nvGrpSpPr>
        <xdr:cNvPr id="3" name="Gruppier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/>
      </xdr:nvGrpSpPr>
      <xdr:grpSpPr>
        <a:xfrm>
          <a:off x="11319510" y="621030"/>
          <a:ext cx="172800" cy="167085"/>
          <a:chOff x="8105775" y="571500"/>
          <a:chExt cx="172800" cy="172800"/>
        </a:xfrm>
      </xdr:grpSpPr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" name="Textfeld 4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6" name="Gruppieren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0700-00000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" name="Pfeil nach links 7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76200</xdr:colOff>
      <xdr:row>3</xdr:row>
      <xdr:rowOff>0</xdr:rowOff>
    </xdr:from>
    <xdr:to>
      <xdr:col>0</xdr:col>
      <xdr:colOff>400200</xdr:colOff>
      <xdr:row>3</xdr:row>
      <xdr:rowOff>325465</xdr:rowOff>
    </xdr:to>
    <xdr:grpSp>
      <xdr:nvGrpSpPr>
        <xdr:cNvPr id="9" name="Gruppieren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GrpSpPr/>
      </xdr:nvGrpSpPr>
      <xdr:grpSpPr>
        <a:xfrm>
          <a:off x="76200" y="868680"/>
          <a:ext cx="324000" cy="325465"/>
          <a:chOff x="12382500" y="2152650"/>
          <a:chExt cx="324000" cy="325465"/>
        </a:xfrm>
      </xdr:grpSpPr>
      <xdr:sp macro="" textlink="">
        <xdr:nvSpPr>
          <xdr:cNvPr id="10" name="Rechteck 9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1" name="Grafik 10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76200</xdr:colOff>
      <xdr:row>52</xdr:row>
      <xdr:rowOff>114300</xdr:rowOff>
    </xdr:from>
    <xdr:to>
      <xdr:col>0</xdr:col>
      <xdr:colOff>400200</xdr:colOff>
      <xdr:row>54</xdr:row>
      <xdr:rowOff>58765</xdr:rowOff>
    </xdr:to>
    <xdr:grpSp>
      <xdr:nvGrpSpPr>
        <xdr:cNvPr id="12" name="Gruppieren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GrpSpPr/>
      </xdr:nvGrpSpPr>
      <xdr:grpSpPr>
        <a:xfrm>
          <a:off x="76200" y="12466320"/>
          <a:ext cx="324000" cy="310225"/>
          <a:chOff x="66675" y="4972050"/>
          <a:chExt cx="324000" cy="325465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0700-00000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" name="Pfeil nach oben 13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1699260</xdr:colOff>
          <xdr:row>0</xdr:row>
          <xdr:rowOff>7620</xdr:rowOff>
        </xdr:from>
        <xdr:to>
          <xdr:col>8</xdr:col>
          <xdr:colOff>506730</xdr:colOff>
          <xdr:row>0</xdr:row>
          <xdr:rowOff>541020</xdr:rowOff>
        </xdr:to>
        <xdr:pic>
          <xdr:nvPicPr>
            <xdr:cNvPr id="15" name="Grafik 45">
              <a:extLst>
                <a:ext uri="{FF2B5EF4-FFF2-40B4-BE49-F238E27FC236}">
                  <a16:creationId xmlns:a16="http://schemas.microsoft.com/office/drawing/2014/main" id="{00000000-0008-0000-0700-00000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24935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9258300" y="762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140804</xdr:colOff>
      <xdr:row>10</xdr:row>
      <xdr:rowOff>78802</xdr:rowOff>
    </xdr:from>
    <xdr:to>
      <xdr:col>5</xdr:col>
      <xdr:colOff>200024</xdr:colOff>
      <xdr:row>12</xdr:row>
      <xdr:rowOff>232494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70000" contrast="-70000"/>
          <a:extLst>
            <a:ext uri="{28A0092B-C50C-407E-A947-70E740481C1C}">
              <a14:useLocalDpi xmlns:a14="http://schemas.microsoft.com/office/drawing/2010/main"/>
            </a:ext>
          </a:extLst>
        </a:blip>
        <a:srcRect l="3721" t="27295" r="5139" b="28064"/>
        <a:stretch/>
      </xdr:blipFill>
      <xdr:spPr>
        <a:xfrm flipH="1">
          <a:off x="607529" y="3090607"/>
          <a:ext cx="1173645" cy="6680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absolute">
    <xdr:from>
      <xdr:col>3</xdr:col>
      <xdr:colOff>235226</xdr:colOff>
      <xdr:row>3</xdr:row>
      <xdr:rowOff>58972</xdr:rowOff>
    </xdr:from>
    <xdr:to>
      <xdr:col>26</xdr:col>
      <xdr:colOff>638175</xdr:colOff>
      <xdr:row>19</xdr:row>
      <xdr:rowOff>99558</xdr:rowOff>
    </xdr:to>
    <xdr:grpSp>
      <xdr:nvGrpSpPr>
        <xdr:cNvPr id="3" name="Gruppieren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pSpPr/>
      </xdr:nvGrpSpPr>
      <xdr:grpSpPr>
        <a:xfrm>
          <a:off x="1370606" y="1301032"/>
          <a:ext cx="6445609" cy="4223966"/>
          <a:chOff x="2438400" y="1457325"/>
          <a:chExt cx="5919460" cy="5600702"/>
        </a:xfrm>
      </xdr:grpSpPr>
      <xdr:sp macro="" textlink="">
        <xdr:nvSpPr>
          <xdr:cNvPr id="4" name="Line 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2438400" y="4257675"/>
            <a:ext cx="5919460" cy="0"/>
          </a:xfrm>
          <a:prstGeom prst="line">
            <a:avLst/>
          </a:prstGeom>
          <a:ln>
            <a:headEnd/>
            <a:tailEnd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sp>
      <xdr:sp macro="" textlink="">
        <xdr:nvSpPr>
          <xdr:cNvPr id="5" name="Line 25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>
            <a:spLocks noChangeShapeType="1"/>
          </xdr:cNvSpPr>
        </xdr:nvSpPr>
        <xdr:spPr bwMode="auto">
          <a:xfrm>
            <a:off x="3613898" y="1457325"/>
            <a:ext cx="933450" cy="2800352"/>
          </a:xfrm>
          <a:prstGeom prst="line">
            <a:avLst/>
          </a:prstGeom>
          <a:ln>
            <a:headEnd/>
            <a:tailEnd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sp>
      <xdr:sp macro="" textlink="">
        <xdr:nvSpPr>
          <xdr:cNvPr id="6" name="Line 26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5347449" y="1457325"/>
            <a:ext cx="933450" cy="2800352"/>
          </a:xfrm>
          <a:prstGeom prst="line">
            <a:avLst/>
          </a:prstGeom>
          <a:ln>
            <a:headEnd/>
            <a:tailEnd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sp>
      <xdr:sp macro="" textlink="">
        <xdr:nvSpPr>
          <xdr:cNvPr id="7" name="Line 27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7080999" y="1457325"/>
            <a:ext cx="933450" cy="2800352"/>
          </a:xfrm>
          <a:prstGeom prst="line">
            <a:avLst/>
          </a:prstGeom>
          <a:ln>
            <a:headEnd/>
            <a:tailEnd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sp>
      <xdr:sp macro="" textlink="">
        <xdr:nvSpPr>
          <xdr:cNvPr id="8" name="Line 28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>
            <a:spLocks noChangeShapeType="1"/>
          </xdr:cNvSpPr>
        </xdr:nvSpPr>
        <xdr:spPr bwMode="auto">
          <a:xfrm flipH="1">
            <a:off x="3613898" y="4257675"/>
            <a:ext cx="933450" cy="2800352"/>
          </a:xfrm>
          <a:prstGeom prst="line">
            <a:avLst/>
          </a:prstGeom>
          <a:ln>
            <a:headEnd/>
            <a:tailEnd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sp>
      <xdr:sp macro="" textlink="">
        <xdr:nvSpPr>
          <xdr:cNvPr id="9" name="Line 29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>
            <a:spLocks noChangeShapeType="1"/>
          </xdr:cNvSpPr>
        </xdr:nvSpPr>
        <xdr:spPr bwMode="auto">
          <a:xfrm flipH="1">
            <a:off x="5347449" y="4257675"/>
            <a:ext cx="933450" cy="2800350"/>
          </a:xfrm>
          <a:prstGeom prst="line">
            <a:avLst/>
          </a:prstGeom>
          <a:ln>
            <a:headEnd/>
            <a:tailEnd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sp>
      <xdr:sp macro="" textlink="">
        <xdr:nvSpPr>
          <xdr:cNvPr id="10" name="Line 30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>
            <a:spLocks noChangeShapeType="1"/>
          </xdr:cNvSpPr>
        </xdr:nvSpPr>
        <xdr:spPr bwMode="auto">
          <a:xfrm flipH="1">
            <a:off x="7080999" y="4257675"/>
            <a:ext cx="933450" cy="2800350"/>
          </a:xfrm>
          <a:prstGeom prst="line">
            <a:avLst/>
          </a:prstGeom>
          <a:ln>
            <a:headEnd/>
            <a:tailEnd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sp>
    </xdr:grpSp>
    <xdr:clientData/>
  </xdr:twoCellAnchor>
  <xdr:twoCellAnchor>
    <xdr:from>
      <xdr:col>0</xdr:col>
      <xdr:colOff>314324</xdr:colOff>
      <xdr:row>4</xdr:row>
      <xdr:rowOff>238522</xdr:rowOff>
    </xdr:from>
    <xdr:to>
      <xdr:col>2</xdr:col>
      <xdr:colOff>19049</xdr:colOff>
      <xdr:row>18</xdr:row>
      <xdr:rowOff>185928</xdr:rowOff>
    </xdr:to>
    <xdr:sp macro="" textlink="">
      <xdr:nvSpPr>
        <xdr:cNvPr id="11" name="Rechteck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/>
      </xdr:nvSpPr>
      <xdr:spPr>
        <a:xfrm rot="16200000">
          <a:off x="-1283391" y="3274512"/>
          <a:ext cx="3547856" cy="352425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de-CH" sz="1600" baseline="0">
              <a:solidFill>
                <a:schemeClr val="bg1">
                  <a:lumMod val="50000"/>
                </a:schemeClr>
              </a:solidFill>
            </a:rPr>
            <a:t>Fishbone Diagram</a:t>
          </a:r>
        </a:p>
      </xdr:txBody>
    </xdr:sp>
    <xdr:clientData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12" name="Gruppieren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" name="Pfeil nach links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27</xdr:col>
      <xdr:colOff>811696</xdr:colOff>
      <xdr:row>1</xdr:row>
      <xdr:rowOff>41414</xdr:rowOff>
    </xdr:from>
    <xdr:to>
      <xdr:col>27</xdr:col>
      <xdr:colOff>991696</xdr:colOff>
      <xdr:row>1</xdr:row>
      <xdr:rowOff>221414</xdr:rowOff>
    </xdr:to>
    <xdr:grpSp>
      <xdr:nvGrpSpPr>
        <xdr:cNvPr id="15" name="Gruppieren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GrpSpPr>
          <a:grpSpLocks noChangeAspect="1"/>
        </xdr:cNvGrpSpPr>
      </xdr:nvGrpSpPr>
      <xdr:grpSpPr>
        <a:xfrm>
          <a:off x="8843176" y="605294"/>
          <a:ext cx="180000" cy="180000"/>
          <a:chOff x="8105775" y="571500"/>
          <a:chExt cx="172800" cy="172800"/>
        </a:xfrm>
      </xdr:grpSpPr>
      <xdr:sp macro="" textlink="">
        <xdr:nvSpPr>
          <xdr:cNvPr id="16" name="Rechteck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" name="Textfeld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106680</xdr:colOff>
          <xdr:row>0</xdr:row>
          <xdr:rowOff>7620</xdr:rowOff>
        </xdr:from>
        <xdr:to>
          <xdr:col>28</xdr:col>
          <xdr:colOff>3810</xdr:colOff>
          <xdr:row>0</xdr:row>
          <xdr:rowOff>541020</xdr:rowOff>
        </xdr:to>
        <xdr:pic>
          <xdr:nvPicPr>
            <xdr:cNvPr id="18" name="Grafik 45">
              <a:extLst>
                <a:ext uri="{FF2B5EF4-FFF2-40B4-BE49-F238E27FC236}">
                  <a16:creationId xmlns:a16="http://schemas.microsoft.com/office/drawing/2014/main" id="{00000000-0008-0000-0800-00001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25959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6781800" y="762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3</xdr:row>
      <xdr:rowOff>9525</xdr:rowOff>
    </xdr:from>
    <xdr:to>
      <xdr:col>0</xdr:col>
      <xdr:colOff>390675</xdr:colOff>
      <xdr:row>3</xdr:row>
      <xdr:rowOff>334990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/>
      </xdr:nvGrpSpPr>
      <xdr:grpSpPr>
        <a:xfrm>
          <a:off x="66675" y="878205"/>
          <a:ext cx="324000" cy="325465"/>
          <a:chOff x="12382500" y="2152650"/>
          <a:chExt cx="324000" cy="325465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3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9</xdr:col>
      <xdr:colOff>295275</xdr:colOff>
      <xdr:row>1</xdr:row>
      <xdr:rowOff>57149</xdr:rowOff>
    </xdr:from>
    <xdr:to>
      <xdr:col>9</xdr:col>
      <xdr:colOff>475275</xdr:colOff>
      <xdr:row>2</xdr:row>
      <xdr:rowOff>61889</xdr:rowOff>
    </xdr:to>
    <xdr:grpSp>
      <xdr:nvGrpSpPr>
        <xdr:cNvPr id="5" name="Gruppieren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GrpSpPr>
          <a:grpSpLocks noChangeAspect="1"/>
        </xdr:cNvGrpSpPr>
      </xdr:nvGrpSpPr>
      <xdr:grpSpPr>
        <a:xfrm>
          <a:off x="10757535" y="621029"/>
          <a:ext cx="180000" cy="180000"/>
          <a:chOff x="8105775" y="571500"/>
          <a:chExt cx="172800" cy="172800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" name="Textfeld 6">
            <a:extLst>
              <a:ext uri="{FF2B5EF4-FFF2-40B4-BE49-F238E27FC236}">
                <a16:creationId xmlns:a16="http://schemas.microsoft.com/office/drawing/2014/main" id="{00000000-0008-0000-0900-000007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2</xdr:col>
      <xdr:colOff>378283</xdr:colOff>
      <xdr:row>26</xdr:row>
      <xdr:rowOff>37657</xdr:rowOff>
    </xdr:from>
    <xdr:to>
      <xdr:col>4</xdr:col>
      <xdr:colOff>682857</xdr:colOff>
      <xdr:row>36</xdr:row>
      <xdr:rowOff>132157</xdr:rowOff>
    </xdr:to>
    <xdr:sp macro="" textlink="">
      <xdr:nvSpPr>
        <xdr:cNvPr id="8" name="Rechteck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Aspect="1"/>
        </xdr:cNvSpPr>
      </xdr:nvSpPr>
      <xdr:spPr>
        <a:xfrm>
          <a:off x="1149808" y="7705282"/>
          <a:ext cx="2952524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378283</xdr:colOff>
      <xdr:row>36</xdr:row>
      <xdr:rowOff>179307</xdr:rowOff>
    </xdr:from>
    <xdr:to>
      <xdr:col>4</xdr:col>
      <xdr:colOff>682857</xdr:colOff>
      <xdr:row>46</xdr:row>
      <xdr:rowOff>273807</xdr:rowOff>
    </xdr:to>
    <xdr:sp macro="" textlink="">
      <xdr:nvSpPr>
        <xdr:cNvPr id="9" name="Rechteck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Aspect="1"/>
        </xdr:cNvSpPr>
      </xdr:nvSpPr>
      <xdr:spPr>
        <a:xfrm>
          <a:off x="1149808" y="10704432"/>
          <a:ext cx="2952524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715488</xdr:colOff>
      <xdr:row>26</xdr:row>
      <xdr:rowOff>37657</xdr:rowOff>
    </xdr:from>
    <xdr:to>
      <xdr:col>7</xdr:col>
      <xdr:colOff>23298</xdr:colOff>
      <xdr:row>36</xdr:row>
      <xdr:rowOff>132157</xdr:rowOff>
    </xdr:to>
    <xdr:sp macro="" textlink="">
      <xdr:nvSpPr>
        <xdr:cNvPr id="10" name="Rechteck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Aspect="1"/>
        </xdr:cNvSpPr>
      </xdr:nvSpPr>
      <xdr:spPr>
        <a:xfrm>
          <a:off x="4134963" y="7705282"/>
          <a:ext cx="2955885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715488</xdr:colOff>
      <xdr:row>36</xdr:row>
      <xdr:rowOff>179307</xdr:rowOff>
    </xdr:from>
    <xdr:to>
      <xdr:col>7</xdr:col>
      <xdr:colOff>23298</xdr:colOff>
      <xdr:row>46</xdr:row>
      <xdr:rowOff>273807</xdr:rowOff>
    </xdr:to>
    <xdr:sp macro="" textlink="">
      <xdr:nvSpPr>
        <xdr:cNvPr id="11" name="Rechteck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Aspect="1"/>
        </xdr:cNvSpPr>
      </xdr:nvSpPr>
      <xdr:spPr>
        <a:xfrm>
          <a:off x="4134963" y="10704432"/>
          <a:ext cx="2955885" cy="2952000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1</xdr:col>
      <xdr:colOff>29421</xdr:colOff>
      <xdr:row>26</xdr:row>
      <xdr:rowOff>28574</xdr:rowOff>
    </xdr:from>
    <xdr:to>
      <xdr:col>2</xdr:col>
      <xdr:colOff>67407</xdr:colOff>
      <xdr:row>47</xdr:row>
      <xdr:rowOff>9527</xdr:rowOff>
    </xdr:to>
    <xdr:sp macro="" textlink="' '!A464">
      <xdr:nvSpPr>
        <xdr:cNvPr id="12" name="Textfeld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 txBox="1"/>
      </xdr:nvSpPr>
      <xdr:spPr>
        <a:xfrm rot="16200000">
          <a:off x="-2323313" y="10506133"/>
          <a:ext cx="5981703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A4AA879E-452A-4A1F-BB83-E5BC17EDCE5F}" type="TxLink">
            <a:rPr lang="en-US" sz="1600" b="1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Influence des parties prenantes</a:t>
          </a:fld>
          <a:endParaRPr lang="de-CH" sz="1600" b="1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314326</xdr:colOff>
      <xdr:row>48</xdr:row>
      <xdr:rowOff>28178</xdr:rowOff>
    </xdr:from>
    <xdr:to>
      <xdr:col>7</xdr:col>
      <xdr:colOff>57151</xdr:colOff>
      <xdr:row>50</xdr:row>
      <xdr:rowOff>75689</xdr:rowOff>
    </xdr:to>
    <xdr:sp macro="" textlink="' '!A467">
      <xdr:nvSpPr>
        <xdr:cNvPr id="13" name="Textfeld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 txBox="1"/>
      </xdr:nvSpPr>
      <xdr:spPr>
        <a:xfrm>
          <a:off x="1085851" y="13972778"/>
          <a:ext cx="60388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AB568988-F718-4F9B-A148-16CBE8BC4C06}" type="TxLink">
            <a:rPr lang="en-US" sz="1600" b="1">
              <a:solidFill>
                <a:schemeClr val="tx2"/>
              </a:solidFill>
              <a:latin typeface="+mn-lt"/>
              <a:ea typeface="+mn-ea"/>
              <a:cs typeface="+mn-cs"/>
            </a:rPr>
            <a:pPr marL="0" indent="0" algn="ctr"/>
            <a:t>Intérêt des parties prenantes</a:t>
          </a:fld>
          <a:endParaRPr lang="de-CH" sz="1600" b="1">
            <a:solidFill>
              <a:schemeClr val="tx2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130543</xdr:colOff>
      <xdr:row>25</xdr:row>
      <xdr:rowOff>266213</xdr:rowOff>
    </xdr:from>
    <xdr:to>
      <xdr:col>2</xdr:col>
      <xdr:colOff>137239</xdr:colOff>
      <xdr:row>29</xdr:row>
      <xdr:rowOff>257177</xdr:rowOff>
    </xdr:to>
    <xdr:sp macro="" textlink="' '!A462">
      <xdr:nvSpPr>
        <xdr:cNvPr id="14" name="Textfeld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/>
      </xdr:nvSpPr>
      <xdr:spPr>
        <a:xfrm rot="16200000">
          <a:off x="186034" y="8049797"/>
          <a:ext cx="113396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D0F97199-A56F-4F68-9EBA-1F4AF7F1342F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grande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130542</xdr:colOff>
      <xdr:row>43</xdr:row>
      <xdr:rowOff>85725</xdr:rowOff>
    </xdr:from>
    <xdr:to>
      <xdr:col>2</xdr:col>
      <xdr:colOff>137238</xdr:colOff>
      <xdr:row>47</xdr:row>
      <xdr:rowOff>95034</xdr:rowOff>
    </xdr:to>
    <xdr:sp macro="" textlink="' '!A465">
      <xdr:nvSpPr>
        <xdr:cNvPr id="15" name="Textfeld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/>
      </xdr:nvSpPr>
      <xdr:spPr>
        <a:xfrm rot="16200000">
          <a:off x="176860" y="13021982"/>
          <a:ext cx="115230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FA956C40-01A9-43EE-9B05-4F3406588709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petite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1800225</xdr:colOff>
      <xdr:row>47</xdr:row>
      <xdr:rowOff>225032</xdr:rowOff>
    </xdr:from>
    <xdr:to>
      <xdr:col>7</xdr:col>
      <xdr:colOff>66675</xdr:colOff>
      <xdr:row>48</xdr:row>
      <xdr:rowOff>250778</xdr:rowOff>
    </xdr:to>
    <xdr:sp macro="" textlink="' '!A463">
      <xdr:nvSpPr>
        <xdr:cNvPr id="16" name="Textfeld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/>
      </xdr:nvSpPr>
      <xdr:spPr>
        <a:xfrm>
          <a:off x="6010275" y="13883882"/>
          <a:ext cx="112395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85C45170-6500-4E1D-BACB-C71B14BA1CBB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grand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334985</xdr:colOff>
      <xdr:row>47</xdr:row>
      <xdr:rowOff>225032</xdr:rowOff>
    </xdr:from>
    <xdr:to>
      <xdr:col>2</xdr:col>
      <xdr:colOff>1409700</xdr:colOff>
      <xdr:row>48</xdr:row>
      <xdr:rowOff>250778</xdr:rowOff>
    </xdr:to>
    <xdr:sp macro="" textlink="' '!A466">
      <xdr:nvSpPr>
        <xdr:cNvPr id="17" name="Textfeld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/>
      </xdr:nvSpPr>
      <xdr:spPr>
        <a:xfrm>
          <a:off x="1106510" y="13883882"/>
          <a:ext cx="107471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756FD359-713C-4057-932A-63E350E52D1F}" type="TxLink">
            <a:rPr lang="en-US" sz="1400" b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petit</a:t>
          </a:fld>
          <a:endParaRPr lang="de-CH" sz="1400" b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66675</xdr:colOff>
      <xdr:row>23</xdr:row>
      <xdr:rowOff>0</xdr:rowOff>
    </xdr:from>
    <xdr:to>
      <xdr:col>0</xdr:col>
      <xdr:colOff>390675</xdr:colOff>
      <xdr:row>24</xdr:row>
      <xdr:rowOff>30190</xdr:rowOff>
    </xdr:to>
    <xdr:grpSp>
      <xdr:nvGrpSpPr>
        <xdr:cNvPr id="66" name="Gruppieren 6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GrpSpPr/>
      </xdr:nvGrpSpPr>
      <xdr:grpSpPr>
        <a:xfrm>
          <a:off x="66675" y="6941820"/>
          <a:ext cx="324000" cy="327370"/>
          <a:chOff x="66675" y="4972050"/>
          <a:chExt cx="324000" cy="325465"/>
        </a:xfrm>
      </xdr:grpSpPr>
      <xdr:sp macro="" textlink="">
        <xdr:nvSpPr>
          <xdr:cNvPr id="67" name="Rechteck 66">
            <a:extLst>
              <a:ext uri="{FF2B5EF4-FFF2-40B4-BE49-F238E27FC236}">
                <a16:creationId xmlns:a16="http://schemas.microsoft.com/office/drawing/2014/main" id="{00000000-0008-0000-0900-000043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8" name="Pfeil nach oben 67">
            <a:extLst>
              <a:ext uri="{FF2B5EF4-FFF2-40B4-BE49-F238E27FC236}">
                <a16:creationId xmlns:a16="http://schemas.microsoft.com/office/drawing/2014/main" id="{00000000-0008-0000-0900-000044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46</xdr:row>
      <xdr:rowOff>219075</xdr:rowOff>
    </xdr:from>
    <xdr:to>
      <xdr:col>0</xdr:col>
      <xdr:colOff>390675</xdr:colOff>
      <xdr:row>47</xdr:row>
      <xdr:rowOff>258790</xdr:rowOff>
    </xdr:to>
    <xdr:grpSp>
      <xdr:nvGrpSpPr>
        <xdr:cNvPr id="69" name="Gruppieren 6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GrpSpPr/>
      </xdr:nvGrpSpPr>
      <xdr:grpSpPr>
        <a:xfrm>
          <a:off x="66675" y="13561695"/>
          <a:ext cx="324000" cy="321655"/>
          <a:chOff x="66675" y="4972050"/>
          <a:chExt cx="324000" cy="325465"/>
        </a:xfrm>
      </xdr:grpSpPr>
      <xdr:sp macro="" textlink="">
        <xdr:nvSpPr>
          <xdr:cNvPr id="70" name="Rechteck 69">
            <a:extLst>
              <a:ext uri="{FF2B5EF4-FFF2-40B4-BE49-F238E27FC236}">
                <a16:creationId xmlns:a16="http://schemas.microsoft.com/office/drawing/2014/main" id="{00000000-0008-0000-0900-00004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1" name="Pfeil nach oben 70">
            <a:extLst>
              <a:ext uri="{FF2B5EF4-FFF2-40B4-BE49-F238E27FC236}">
                <a16:creationId xmlns:a16="http://schemas.microsoft.com/office/drawing/2014/main" id="{00000000-0008-0000-0900-00004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114300</xdr:rowOff>
    </xdr:from>
    <xdr:to>
      <xdr:col>0</xdr:col>
      <xdr:colOff>400200</xdr:colOff>
      <xdr:row>0</xdr:row>
      <xdr:rowOff>439765</xdr:rowOff>
    </xdr:to>
    <xdr:grpSp>
      <xdr:nvGrpSpPr>
        <xdr:cNvPr id="79" name="Gruppieren 7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GrpSpPr/>
      </xdr:nvGrpSpPr>
      <xdr:grpSpPr>
        <a:xfrm>
          <a:off x="76200" y="114300"/>
          <a:ext cx="324000" cy="325465"/>
          <a:chOff x="9191625" y="3009900"/>
          <a:chExt cx="324000" cy="325465"/>
        </a:xfrm>
      </xdr:grpSpPr>
      <xdr:sp macro="" textlink="">
        <xdr:nvSpPr>
          <xdr:cNvPr id="80" name="Rechteck 79">
            <a:extLst>
              <a:ext uri="{FF2B5EF4-FFF2-40B4-BE49-F238E27FC236}">
                <a16:creationId xmlns:a16="http://schemas.microsoft.com/office/drawing/2014/main" id="{00000000-0008-0000-0900-00005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1" name="Pfeil nach links 80">
            <a:extLst>
              <a:ext uri="{FF2B5EF4-FFF2-40B4-BE49-F238E27FC236}">
                <a16:creationId xmlns:a16="http://schemas.microsoft.com/office/drawing/2014/main" id="{00000000-0008-0000-0900-00005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136337</xdr:colOff>
      <xdr:row>25</xdr:row>
      <xdr:rowOff>190500</xdr:rowOff>
    </xdr:from>
    <xdr:to>
      <xdr:col>7</xdr:col>
      <xdr:colOff>250453</xdr:colOff>
      <xdr:row>48</xdr:row>
      <xdr:rowOff>38100</xdr:rowOff>
    </xdr:to>
    <xdr:graphicFrame macro="">
      <xdr:nvGraphicFramePr>
        <xdr:cNvPr id="75" name="Diagramm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1424940</xdr:colOff>
          <xdr:row>0</xdr:row>
          <xdr:rowOff>7620</xdr:rowOff>
        </xdr:from>
        <xdr:to>
          <xdr:col>10</xdr:col>
          <xdr:colOff>3810</xdr:colOff>
          <xdr:row>0</xdr:row>
          <xdr:rowOff>541020</xdr:rowOff>
        </xdr:to>
        <xdr:pic>
          <xdr:nvPicPr>
            <xdr:cNvPr id="28" name="Grafik 45">
              <a:extLst>
                <a:ext uri="{FF2B5EF4-FFF2-40B4-BE49-F238E27FC236}">
                  <a16:creationId xmlns:a16="http://schemas.microsoft.com/office/drawing/2014/main" id="{00000000-0008-0000-0900-00001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18794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686800" y="762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25</xdr:row>
      <xdr:rowOff>28575</xdr:rowOff>
    </xdr:from>
    <xdr:to>
      <xdr:col>8</xdr:col>
      <xdr:colOff>466725</xdr:colOff>
      <xdr:row>54</xdr:row>
      <xdr:rowOff>76200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308610</xdr:colOff>
      <xdr:row>1</xdr:row>
      <xdr:rowOff>57150</xdr:rowOff>
    </xdr:from>
    <xdr:to>
      <xdr:col>8</xdr:col>
      <xdr:colOff>481410</xdr:colOff>
      <xdr:row>2</xdr:row>
      <xdr:rowOff>48975</xdr:rowOff>
    </xdr:to>
    <xdr:grpSp>
      <xdr:nvGrpSpPr>
        <xdr:cNvPr id="3" name="Gruppier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pSpPr/>
      </xdr:nvGrpSpPr>
      <xdr:grpSpPr>
        <a:xfrm>
          <a:off x="11319510" y="621030"/>
          <a:ext cx="172800" cy="167085"/>
          <a:chOff x="8105775" y="571500"/>
          <a:chExt cx="172800" cy="172800"/>
        </a:xfrm>
      </xdr:grpSpPr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0A00-000004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" name="Textfeld 4">
            <a:extLst>
              <a:ext uri="{FF2B5EF4-FFF2-40B4-BE49-F238E27FC236}">
                <a16:creationId xmlns:a16="http://schemas.microsoft.com/office/drawing/2014/main" id="{00000000-0008-0000-0A00-00000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6" name="Gruppieren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0A00-00000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" name="Pfeil nach links 7">
            <a:extLst>
              <a:ext uri="{FF2B5EF4-FFF2-40B4-BE49-F238E27FC236}">
                <a16:creationId xmlns:a16="http://schemas.microsoft.com/office/drawing/2014/main" id="{00000000-0008-0000-0A00-00000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76200</xdr:colOff>
      <xdr:row>3</xdr:row>
      <xdr:rowOff>0</xdr:rowOff>
    </xdr:from>
    <xdr:to>
      <xdr:col>0</xdr:col>
      <xdr:colOff>400200</xdr:colOff>
      <xdr:row>3</xdr:row>
      <xdr:rowOff>325465</xdr:rowOff>
    </xdr:to>
    <xdr:grpSp>
      <xdr:nvGrpSpPr>
        <xdr:cNvPr id="9" name="Gruppieren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GrpSpPr/>
      </xdr:nvGrpSpPr>
      <xdr:grpSpPr>
        <a:xfrm>
          <a:off x="76200" y="868680"/>
          <a:ext cx="324000" cy="325465"/>
          <a:chOff x="12382500" y="2152650"/>
          <a:chExt cx="324000" cy="325465"/>
        </a:xfrm>
      </xdr:grpSpPr>
      <xdr:sp macro="" textlink="">
        <xdr:nvSpPr>
          <xdr:cNvPr id="10" name="Rechteck 9">
            <a:extLst>
              <a:ext uri="{FF2B5EF4-FFF2-40B4-BE49-F238E27FC236}">
                <a16:creationId xmlns:a16="http://schemas.microsoft.com/office/drawing/2014/main" id="{00000000-0008-0000-0A00-00000A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1" name="Grafik 10">
            <a:extLst>
              <a:ext uri="{FF2B5EF4-FFF2-40B4-BE49-F238E27FC236}">
                <a16:creationId xmlns:a16="http://schemas.microsoft.com/office/drawing/2014/main" id="{00000000-0008-0000-0A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76200</xdr:colOff>
      <xdr:row>52</xdr:row>
      <xdr:rowOff>114300</xdr:rowOff>
    </xdr:from>
    <xdr:to>
      <xdr:col>0</xdr:col>
      <xdr:colOff>400200</xdr:colOff>
      <xdr:row>54</xdr:row>
      <xdr:rowOff>58765</xdr:rowOff>
    </xdr:to>
    <xdr:grpSp>
      <xdr:nvGrpSpPr>
        <xdr:cNvPr id="12" name="Gruppieren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GrpSpPr/>
      </xdr:nvGrpSpPr>
      <xdr:grpSpPr>
        <a:xfrm>
          <a:off x="76200" y="12466320"/>
          <a:ext cx="324000" cy="310225"/>
          <a:chOff x="66675" y="4972050"/>
          <a:chExt cx="324000" cy="325465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0A00-00000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" name="Pfeil nach oben 13">
            <a:extLst>
              <a:ext uri="{FF2B5EF4-FFF2-40B4-BE49-F238E27FC236}">
                <a16:creationId xmlns:a16="http://schemas.microsoft.com/office/drawing/2014/main" id="{00000000-0008-0000-0A00-00000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1699260</xdr:colOff>
          <xdr:row>0</xdr:row>
          <xdr:rowOff>7620</xdr:rowOff>
        </xdr:from>
        <xdr:to>
          <xdr:col>8</xdr:col>
          <xdr:colOff>506730</xdr:colOff>
          <xdr:row>0</xdr:row>
          <xdr:rowOff>541020</xdr:rowOff>
        </xdr:to>
        <xdr:pic>
          <xdr:nvPicPr>
            <xdr:cNvPr id="15" name="Grafik 45">
              <a:extLst>
                <a:ext uri="{FF2B5EF4-FFF2-40B4-BE49-F238E27FC236}">
                  <a16:creationId xmlns:a16="http://schemas.microsoft.com/office/drawing/2014/main" id="{00000000-0008-0000-0A00-00000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28007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9258300" y="762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2</xdr:row>
          <xdr:rowOff>560155</xdr:rowOff>
        </xdr:from>
        <xdr:to>
          <xdr:col>7</xdr:col>
          <xdr:colOff>2381250</xdr:colOff>
          <xdr:row>34</xdr:row>
          <xdr:rowOff>152403</xdr:rowOff>
        </xdr:to>
        <xdr:pic>
          <xdr:nvPicPr>
            <xdr:cNvPr id="2" name="Grafik 1">
              <a:extLst>
                <a:ext uri="{FF2B5EF4-FFF2-40B4-BE49-F238E27FC236}">
                  <a16:creationId xmlns:a16="http://schemas.microsoft.com/office/drawing/2014/main" id="{00000000-0008-0000-0B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D$49:$I$60" spid="_x0000_s38238"/>
                </a:ext>
              </a:extLst>
            </xdr:cNvPicPr>
          </xdr:nvPicPr>
          <xdr:blipFill>
            <a:blip xmlns:r="http://schemas.openxmlformats.org/officeDocument/2006/relationships" r:embed="rId1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 rot="5400000">
              <a:off x="1570713" y="3971017"/>
              <a:ext cx="7545623" cy="21907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3</xdr:col>
      <xdr:colOff>76197</xdr:colOff>
      <xdr:row>49</xdr:row>
      <xdr:rowOff>14287</xdr:rowOff>
    </xdr:from>
    <xdr:to>
      <xdr:col>9</xdr:col>
      <xdr:colOff>0</xdr:colOff>
      <xdr:row>58</xdr:row>
      <xdr:rowOff>133350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PrintsWithSheet="0"/>
  </xdr:twoCellAnchor>
  <xdr:twoCellAnchor>
    <xdr:from>
      <xdr:col>3</xdr:col>
      <xdr:colOff>285750</xdr:colOff>
      <xdr:row>53</xdr:row>
      <xdr:rowOff>38100</xdr:rowOff>
    </xdr:from>
    <xdr:to>
      <xdr:col>9</xdr:col>
      <xdr:colOff>0</xdr:colOff>
      <xdr:row>53</xdr:row>
      <xdr:rowOff>38100</xdr:rowOff>
    </xdr:to>
    <xdr:cxnSp macro="">
      <xdr:nvCxnSpPr>
        <xdr:cNvPr id="4" name="Gerade Verbindung 7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CxnSpPr/>
      </xdr:nvCxnSpPr>
      <xdr:spPr>
        <a:xfrm>
          <a:off x="1181100" y="18059400"/>
          <a:ext cx="8562975" cy="0"/>
        </a:xfrm>
        <a:prstGeom prst="line">
          <a:avLst/>
        </a:prstGeom>
        <a:ln w="15875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3049905</xdr:colOff>
      <xdr:row>1</xdr:row>
      <xdr:rowOff>57149</xdr:rowOff>
    </xdr:from>
    <xdr:to>
      <xdr:col>8</xdr:col>
      <xdr:colOff>3229905</xdr:colOff>
      <xdr:row>2</xdr:row>
      <xdr:rowOff>39029</xdr:rowOff>
    </xdr:to>
    <xdr:grpSp>
      <xdr:nvGrpSpPr>
        <xdr:cNvPr id="8" name="Gruppieren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GrpSpPr>
          <a:grpSpLocks noChangeAspect="1"/>
        </xdr:cNvGrpSpPr>
      </xdr:nvGrpSpPr>
      <xdr:grpSpPr>
        <a:xfrm>
          <a:off x="9831705" y="621029"/>
          <a:ext cx="180000" cy="180000"/>
          <a:chOff x="8105775" y="571500"/>
          <a:chExt cx="172800" cy="172800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Textfeld 9">
            <a:extLst>
              <a:ext uri="{FF2B5EF4-FFF2-40B4-BE49-F238E27FC236}">
                <a16:creationId xmlns:a16="http://schemas.microsoft.com/office/drawing/2014/main" id="{00000000-0008-0000-0B00-00000A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114300</xdr:rowOff>
    </xdr:from>
    <xdr:to>
      <xdr:col>0</xdr:col>
      <xdr:colOff>400200</xdr:colOff>
      <xdr:row>0</xdr:row>
      <xdr:rowOff>439765</xdr:rowOff>
    </xdr:to>
    <xdr:grpSp>
      <xdr:nvGrpSpPr>
        <xdr:cNvPr id="11" name="Gruppieren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GrpSpPr/>
      </xdr:nvGrpSpPr>
      <xdr:grpSpPr>
        <a:xfrm>
          <a:off x="76200" y="114300"/>
          <a:ext cx="324000" cy="325465"/>
          <a:chOff x="9191625" y="300990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links 12">
            <a:extLst>
              <a:ext uri="{FF2B5EF4-FFF2-40B4-BE49-F238E27FC236}">
                <a16:creationId xmlns:a16="http://schemas.microsoft.com/office/drawing/2014/main" id="{00000000-0008-0000-0B00-00000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990600</xdr:colOff>
          <xdr:row>0</xdr:row>
          <xdr:rowOff>7620</xdr:rowOff>
        </xdr:from>
        <xdr:to>
          <xdr:col>9</xdr:col>
          <xdr:colOff>3810</xdr:colOff>
          <xdr:row>0</xdr:row>
          <xdr:rowOff>541020</xdr:rowOff>
        </xdr:to>
        <xdr:pic>
          <xdr:nvPicPr>
            <xdr:cNvPr id="14" name="Grafik 45">
              <a:extLst>
                <a:ext uri="{FF2B5EF4-FFF2-40B4-BE49-F238E27FC236}">
                  <a16:creationId xmlns:a16="http://schemas.microsoft.com/office/drawing/2014/main" id="{00000000-0008-0000-0B00-00000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38239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772400" y="762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466725</xdr:colOff>
      <xdr:row>6</xdr:row>
      <xdr:rowOff>112395</xdr:rowOff>
    </xdr:from>
    <xdr:to>
      <xdr:col>6</xdr:col>
      <xdr:colOff>695325</xdr:colOff>
      <xdr:row>13</xdr:row>
      <xdr:rowOff>2751662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614695</xdr:colOff>
      <xdr:row>10</xdr:row>
      <xdr:rowOff>171450</xdr:rowOff>
    </xdr:from>
    <xdr:to>
      <xdr:col>6</xdr:col>
      <xdr:colOff>586720</xdr:colOff>
      <xdr:row>13</xdr:row>
      <xdr:rowOff>3570</xdr:rowOff>
    </xdr:to>
    <xdr:sp macro="" textlink="">
      <xdr:nvSpPr>
        <xdr:cNvPr id="3" name="Abgerundetes Rechteck 2">
          <a:hlinkClick xmlns:r="http://schemas.openxmlformats.org/officeDocument/2006/relationships" r:id="rId2" tooltip="Pestle - Ökonomisch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6053470" y="2228850"/>
          <a:ext cx="1296000" cy="396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/>
            <a:t>Economic</a:t>
          </a:r>
        </a:p>
      </xdr:txBody>
    </xdr:sp>
    <xdr:clientData/>
  </xdr:twoCellAnchor>
  <xdr:twoCellAnchor editAs="oneCell">
    <xdr:from>
      <xdr:col>4</xdr:col>
      <xdr:colOff>619300</xdr:colOff>
      <xdr:row>13</xdr:row>
      <xdr:rowOff>1647825</xdr:rowOff>
    </xdr:from>
    <xdr:to>
      <xdr:col>6</xdr:col>
      <xdr:colOff>591325</xdr:colOff>
      <xdr:row>13</xdr:row>
      <xdr:rowOff>2043825</xdr:rowOff>
    </xdr:to>
    <xdr:sp macro="" textlink="">
      <xdr:nvSpPr>
        <xdr:cNvPr id="4" name="Abgerundetes Rechteck 3">
          <a:hlinkClick xmlns:r="http://schemas.openxmlformats.org/officeDocument/2006/relationships" r:id="rId3" tooltip="Pestle - Soziologisch"/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6058075" y="4276725"/>
          <a:ext cx="1296000" cy="396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/>
            <a:t>Social</a:t>
          </a:r>
        </a:p>
      </xdr:txBody>
    </xdr:sp>
    <xdr:clientData/>
  </xdr:twoCellAnchor>
  <xdr:twoCellAnchor editAs="oneCell">
    <xdr:from>
      <xdr:col>3</xdr:col>
      <xdr:colOff>924004</xdr:colOff>
      <xdr:row>13</xdr:row>
      <xdr:rowOff>2838450</xdr:rowOff>
    </xdr:from>
    <xdr:to>
      <xdr:col>3</xdr:col>
      <xdr:colOff>2220004</xdr:colOff>
      <xdr:row>13</xdr:row>
      <xdr:rowOff>3234450</xdr:rowOff>
    </xdr:to>
    <xdr:sp macro="" textlink="">
      <xdr:nvSpPr>
        <xdr:cNvPr id="5" name="Abgerundetes Rechteck 4">
          <a:hlinkClick xmlns:r="http://schemas.openxmlformats.org/officeDocument/2006/relationships" r:id="rId4" tooltip="Pestle - Technologisch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3743404" y="5467350"/>
          <a:ext cx="1296000" cy="396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300" b="0"/>
            <a:t>Technological</a:t>
          </a:r>
        </a:p>
      </xdr:txBody>
    </xdr:sp>
    <xdr:clientData/>
  </xdr:twoCellAnchor>
  <xdr:twoCellAnchor editAs="oneCell">
    <xdr:from>
      <xdr:col>2</xdr:col>
      <xdr:colOff>709470</xdr:colOff>
      <xdr:row>13</xdr:row>
      <xdr:rowOff>1647825</xdr:rowOff>
    </xdr:from>
    <xdr:to>
      <xdr:col>2</xdr:col>
      <xdr:colOff>2005470</xdr:colOff>
      <xdr:row>13</xdr:row>
      <xdr:rowOff>2043825</xdr:rowOff>
    </xdr:to>
    <xdr:sp macro="" textlink="">
      <xdr:nvSpPr>
        <xdr:cNvPr id="6" name="Abgerundetes Rechteck 5">
          <a:hlinkClick xmlns:r="http://schemas.openxmlformats.org/officeDocument/2006/relationships" r:id="rId5" tooltip="Pestle - Rechtlich"/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/>
      </xdr:nvSpPr>
      <xdr:spPr>
        <a:xfrm>
          <a:off x="1433370" y="4276725"/>
          <a:ext cx="1296000" cy="3960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400" b="0"/>
            <a:t>Environmental</a:t>
          </a:r>
        </a:p>
      </xdr:txBody>
    </xdr:sp>
    <xdr:clientData/>
  </xdr:twoCellAnchor>
  <xdr:twoCellAnchor editAs="oneCell">
    <xdr:from>
      <xdr:col>2</xdr:col>
      <xdr:colOff>699787</xdr:colOff>
      <xdr:row>10</xdr:row>
      <xdr:rowOff>171450</xdr:rowOff>
    </xdr:from>
    <xdr:to>
      <xdr:col>2</xdr:col>
      <xdr:colOff>1995787</xdr:colOff>
      <xdr:row>13</xdr:row>
      <xdr:rowOff>3570</xdr:rowOff>
    </xdr:to>
    <xdr:sp macro="" textlink="">
      <xdr:nvSpPr>
        <xdr:cNvPr id="7" name="Abgerundetes Rechteck 6">
          <a:hlinkClick xmlns:r="http://schemas.openxmlformats.org/officeDocument/2006/relationships" r:id="rId6" tooltip="Pestle - Ökologisch"/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/>
      </xdr:nvSpPr>
      <xdr:spPr>
        <a:xfrm>
          <a:off x="1423687" y="2228850"/>
          <a:ext cx="1296000" cy="396000"/>
        </a:xfrm>
        <a:prstGeom prst="roundRect">
          <a:avLst/>
        </a:prstGeom>
        <a:gradFill flip="none" rotWithShape="1">
          <a:gsLst>
            <a:gs pos="0">
              <a:schemeClr val="bg2">
                <a:lumMod val="75000"/>
              </a:schemeClr>
            </a:gs>
            <a:gs pos="0">
              <a:schemeClr val="bg2">
                <a:lumMod val="75000"/>
              </a:schemeClr>
            </a:gs>
            <a:gs pos="100000">
              <a:schemeClr val="bg2">
                <a:lumMod val="75000"/>
                <a:tint val="44500"/>
                <a:satMod val="160000"/>
              </a:schemeClr>
            </a:gs>
          </a:gsLst>
          <a:lin ang="16200000" scaled="1"/>
          <a:tileRect/>
        </a:gradFill>
        <a:ln>
          <a:solidFill>
            <a:schemeClr val="bg2">
              <a:lumMod val="50000"/>
            </a:schemeClr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/>
            <a:t>Legal</a:t>
          </a:r>
        </a:p>
      </xdr:txBody>
    </xdr:sp>
    <xdr:clientData/>
  </xdr:twoCellAnchor>
  <xdr:twoCellAnchor editAs="oneCell">
    <xdr:from>
      <xdr:col>3</xdr:col>
      <xdr:colOff>895904</xdr:colOff>
      <xdr:row>3</xdr:row>
      <xdr:rowOff>133350</xdr:rowOff>
    </xdr:from>
    <xdr:to>
      <xdr:col>3</xdr:col>
      <xdr:colOff>2191904</xdr:colOff>
      <xdr:row>5</xdr:row>
      <xdr:rowOff>148350</xdr:rowOff>
    </xdr:to>
    <xdr:sp macro="" textlink="">
      <xdr:nvSpPr>
        <xdr:cNvPr id="8" name="Abgerundetes Rechteck 7">
          <a:hlinkClick xmlns:r="http://schemas.openxmlformats.org/officeDocument/2006/relationships" r:id="rId7" tooltip="Pestle - Politisch"/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/>
      </xdr:nvSpPr>
      <xdr:spPr>
        <a:xfrm>
          <a:off x="3715304" y="857250"/>
          <a:ext cx="1296000" cy="396000"/>
        </a:xfrm>
        <a:prstGeom prst="roundRect">
          <a:avLst/>
        </a:prstGeom>
        <a:ln>
          <a:solidFill>
            <a:schemeClr val="accent2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de-CH" sz="1600" b="0"/>
            <a:t>Political</a:t>
          </a:r>
        </a:p>
      </xdr:txBody>
    </xdr:sp>
    <xdr:clientData/>
  </xdr:twoCellAnchor>
  <xdr:twoCellAnchor>
    <xdr:from>
      <xdr:col>3</xdr:col>
      <xdr:colOff>931904</xdr:colOff>
      <xdr:row>6</xdr:row>
      <xdr:rowOff>36740</xdr:rowOff>
    </xdr:from>
    <xdr:to>
      <xdr:col>3</xdr:col>
      <xdr:colOff>2155904</xdr:colOff>
      <xdr:row>6</xdr:row>
      <xdr:rowOff>180740</xdr:rowOff>
    </xdr:to>
    <xdr:grpSp>
      <xdr:nvGrpSpPr>
        <xdr:cNvPr id="9" name="Gruppieren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GrpSpPr/>
      </xdr:nvGrpSpPr>
      <xdr:grpSpPr>
        <a:xfrm>
          <a:off x="3835124" y="1332140"/>
          <a:ext cx="1224000" cy="144000"/>
          <a:chOff x="10779915" y="1913165"/>
          <a:chExt cx="1224000" cy="144000"/>
        </a:xfrm>
      </xdr:grpSpPr>
      <xdr:sp macro="" textlink="$I$16">
        <xdr:nvSpPr>
          <xdr:cNvPr id="10" name="Abgerundetes Rechteck 9">
            <a:extLst>
              <a:ext uri="{FF2B5EF4-FFF2-40B4-BE49-F238E27FC236}">
                <a16:creationId xmlns:a16="http://schemas.microsoft.com/office/drawing/2014/main" id="{00000000-0008-0000-0C00-00000A000000}"/>
              </a:ext>
            </a:extLst>
          </xdr:cNvPr>
          <xdr:cNvSpPr/>
        </xdr:nvSpPr>
        <xdr:spPr>
          <a:xfrm>
            <a:off x="10779915" y="1914017"/>
            <a:ext cx="325047" cy="143148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88F29EF-9E60-4D4D-91DE-0097530F6B33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17">
        <xdr:nvSpPr>
          <xdr:cNvPr id="11" name="Abgerundetes Rechteck 10">
            <a:extLst>
              <a:ext uri="{FF2B5EF4-FFF2-40B4-BE49-F238E27FC236}">
                <a16:creationId xmlns:a16="http://schemas.microsoft.com/office/drawing/2014/main" id="{00000000-0008-0000-0C00-00000B000000}"/>
              </a:ext>
            </a:extLst>
          </xdr:cNvPr>
          <xdr:cNvSpPr/>
        </xdr:nvSpPr>
        <xdr:spPr>
          <a:xfrm>
            <a:off x="11234591" y="1914017"/>
            <a:ext cx="325047" cy="143148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DF93A93C-C7C3-45A2-9555-81986BC03151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18">
        <xdr:nvSpPr>
          <xdr:cNvPr id="12" name="Abgerundetes Rechteck 11">
            <a:extLst>
              <a:ext uri="{FF2B5EF4-FFF2-40B4-BE49-F238E27FC236}">
                <a16:creationId xmlns:a16="http://schemas.microsoft.com/office/drawing/2014/main" id="{00000000-0008-0000-0C00-00000C000000}"/>
              </a:ext>
            </a:extLst>
          </xdr:cNvPr>
          <xdr:cNvSpPr/>
        </xdr:nvSpPr>
        <xdr:spPr>
          <a:xfrm>
            <a:off x="11678868" y="1913165"/>
            <a:ext cx="325047" cy="143148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FBF65BD-38F7-46BA-8412-CD81F661A2BF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4</xdr:col>
      <xdr:colOff>650695</xdr:colOff>
      <xdr:row>13</xdr:row>
      <xdr:rowOff>65314</xdr:rowOff>
    </xdr:from>
    <xdr:to>
      <xdr:col>6</xdr:col>
      <xdr:colOff>550720</xdr:colOff>
      <xdr:row>13</xdr:row>
      <xdr:rowOff>209314</xdr:rowOff>
    </xdr:to>
    <xdr:grpSp>
      <xdr:nvGrpSpPr>
        <xdr:cNvPr id="13" name="Gruppieren 1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GrpSpPr/>
      </xdr:nvGrpSpPr>
      <xdr:grpSpPr>
        <a:xfrm>
          <a:off x="6251395" y="2640874"/>
          <a:ext cx="1264005" cy="144000"/>
          <a:chOff x="492917" y="1313089"/>
          <a:chExt cx="860818" cy="229961"/>
        </a:xfrm>
      </xdr:grpSpPr>
      <xdr:sp macro="" textlink="$I$30">
        <xdr:nvSpPr>
          <xdr:cNvPr id="14" name="Abgerundetes Rechteck 13">
            <a:extLst>
              <a:ext uri="{FF2B5EF4-FFF2-40B4-BE49-F238E27FC236}">
                <a16:creationId xmlns:a16="http://schemas.microsoft.com/office/drawing/2014/main" id="{00000000-0008-0000-0C00-00000E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3610C9D3-9A18-428F-A9E7-0C46188E9069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31">
        <xdr:nvSpPr>
          <xdr:cNvPr id="15" name="Abgerundetes Rechteck 14">
            <a:extLst>
              <a:ext uri="{FF2B5EF4-FFF2-40B4-BE49-F238E27FC236}">
                <a16:creationId xmlns:a16="http://schemas.microsoft.com/office/drawing/2014/main" id="{00000000-0008-0000-0C00-00000F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EEA97A55-8E00-4DAB-8C41-1ED2B78FE1D7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32">
        <xdr:nvSpPr>
          <xdr:cNvPr id="16" name="Abgerundetes Rechteck 15">
            <a:extLst>
              <a:ext uri="{FF2B5EF4-FFF2-40B4-BE49-F238E27FC236}">
                <a16:creationId xmlns:a16="http://schemas.microsoft.com/office/drawing/2014/main" id="{00000000-0008-0000-0C00-000010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13869140-84FF-4691-AA10-52986F5ABE9F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</xdr:grpSp>
    <xdr:clientData/>
  </xdr:twoCellAnchor>
  <xdr:twoCellAnchor editAs="oneCell">
    <xdr:from>
      <xdr:col>4</xdr:col>
      <xdr:colOff>655300</xdr:colOff>
      <xdr:row>13</xdr:row>
      <xdr:rowOff>2113189</xdr:rowOff>
    </xdr:from>
    <xdr:to>
      <xdr:col>6</xdr:col>
      <xdr:colOff>555325</xdr:colOff>
      <xdr:row>13</xdr:row>
      <xdr:rowOff>2257189</xdr:rowOff>
    </xdr:to>
    <xdr:grpSp>
      <xdr:nvGrpSpPr>
        <xdr:cNvPr id="17" name="Gruppieren 16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GrpSpPr/>
      </xdr:nvGrpSpPr>
      <xdr:grpSpPr>
        <a:xfrm>
          <a:off x="6256000" y="4688749"/>
          <a:ext cx="1264005" cy="144000"/>
          <a:chOff x="492917" y="1313089"/>
          <a:chExt cx="860818" cy="229961"/>
        </a:xfrm>
      </xdr:grpSpPr>
      <xdr:sp macro="" textlink="$I$44">
        <xdr:nvSpPr>
          <xdr:cNvPr id="18" name="Abgerundetes Rechteck 17">
            <a:extLst>
              <a:ext uri="{FF2B5EF4-FFF2-40B4-BE49-F238E27FC236}">
                <a16:creationId xmlns:a16="http://schemas.microsoft.com/office/drawing/2014/main" id="{00000000-0008-0000-0C00-000012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6C544E59-7E92-40F3-8CED-83B3D2A235E0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45">
        <xdr:nvSpPr>
          <xdr:cNvPr id="19" name="Abgerundetes Rechteck 18">
            <a:extLst>
              <a:ext uri="{FF2B5EF4-FFF2-40B4-BE49-F238E27FC236}">
                <a16:creationId xmlns:a16="http://schemas.microsoft.com/office/drawing/2014/main" id="{00000000-0008-0000-0C00-000013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2CC4D263-956E-4C0A-9D77-08DA53E74FCE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46">
        <xdr:nvSpPr>
          <xdr:cNvPr id="20" name="Abgerundetes Rechteck 19">
            <a:extLst>
              <a:ext uri="{FF2B5EF4-FFF2-40B4-BE49-F238E27FC236}">
                <a16:creationId xmlns:a16="http://schemas.microsoft.com/office/drawing/2014/main" id="{00000000-0008-0000-0C00-000014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6EB6DFE-31B6-463C-A26D-810E7C88169E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3</xdr:col>
      <xdr:colOff>960004</xdr:colOff>
      <xdr:row>13</xdr:row>
      <xdr:rowOff>3303814</xdr:rowOff>
    </xdr:from>
    <xdr:to>
      <xdr:col>3</xdr:col>
      <xdr:colOff>2184004</xdr:colOff>
      <xdr:row>13</xdr:row>
      <xdr:rowOff>3447814</xdr:rowOff>
    </xdr:to>
    <xdr:grpSp>
      <xdr:nvGrpSpPr>
        <xdr:cNvPr id="21" name="Gruppieren 20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GrpSpPr/>
      </xdr:nvGrpSpPr>
      <xdr:grpSpPr>
        <a:xfrm>
          <a:off x="3863224" y="5879374"/>
          <a:ext cx="1224000" cy="144000"/>
          <a:chOff x="492917" y="1313089"/>
          <a:chExt cx="860818" cy="229961"/>
        </a:xfrm>
      </xdr:grpSpPr>
      <xdr:sp macro="" textlink="$I$58">
        <xdr:nvSpPr>
          <xdr:cNvPr id="22" name="Abgerundetes Rechteck 21">
            <a:extLst>
              <a:ext uri="{FF2B5EF4-FFF2-40B4-BE49-F238E27FC236}">
                <a16:creationId xmlns:a16="http://schemas.microsoft.com/office/drawing/2014/main" id="{00000000-0008-0000-0C00-000016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ED7C980-14DB-4B90-AC8E-FF17E8E79CEA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1</a:t>
            </a:fld>
            <a:endParaRPr lang="de-CH" sz="800"/>
          </a:p>
        </xdr:txBody>
      </xdr:sp>
      <xdr:sp macro="" textlink="$I$59">
        <xdr:nvSpPr>
          <xdr:cNvPr id="23" name="Abgerundetes Rechteck 22">
            <a:extLst>
              <a:ext uri="{FF2B5EF4-FFF2-40B4-BE49-F238E27FC236}">
                <a16:creationId xmlns:a16="http://schemas.microsoft.com/office/drawing/2014/main" id="{00000000-0008-0000-0C00-000017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9CD38212-3649-4BFD-9ACA-EC55D8EFD12B}" type="TxLink">
              <a:rPr lang="de-CH" sz="800"/>
              <a:pPr algn="ctr"/>
              <a:t>0</a:t>
            </a:fld>
            <a:endParaRPr lang="de-CH" sz="800"/>
          </a:p>
        </xdr:txBody>
      </xdr:sp>
      <xdr:sp macro="" textlink="$I$60">
        <xdr:nvSpPr>
          <xdr:cNvPr id="24" name="Abgerundetes Rechteck 23">
            <a:extLst>
              <a:ext uri="{FF2B5EF4-FFF2-40B4-BE49-F238E27FC236}">
                <a16:creationId xmlns:a16="http://schemas.microsoft.com/office/drawing/2014/main" id="{00000000-0008-0000-0C00-000018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9ACE488-2BE1-4F10-AA51-D3C55ED71A24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2</xdr:col>
      <xdr:colOff>745470</xdr:colOff>
      <xdr:row>13</xdr:row>
      <xdr:rowOff>2113189</xdr:rowOff>
    </xdr:from>
    <xdr:to>
      <xdr:col>2</xdr:col>
      <xdr:colOff>1969470</xdr:colOff>
      <xdr:row>13</xdr:row>
      <xdr:rowOff>2257189</xdr:rowOff>
    </xdr:to>
    <xdr:grpSp>
      <xdr:nvGrpSpPr>
        <xdr:cNvPr id="25" name="Gruppieren 24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GrpSpPr/>
      </xdr:nvGrpSpPr>
      <xdr:grpSpPr>
        <a:xfrm>
          <a:off x="1492230" y="4688749"/>
          <a:ext cx="1224000" cy="144000"/>
          <a:chOff x="492917" y="1313089"/>
          <a:chExt cx="860818" cy="229961"/>
        </a:xfrm>
      </xdr:grpSpPr>
      <xdr:sp macro="" textlink="$I$72">
        <xdr:nvSpPr>
          <xdr:cNvPr id="26" name="Abgerundetes Rechteck 25">
            <a:extLst>
              <a:ext uri="{FF2B5EF4-FFF2-40B4-BE49-F238E27FC236}">
                <a16:creationId xmlns:a16="http://schemas.microsoft.com/office/drawing/2014/main" id="{00000000-0008-0000-0C00-00001A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530C97E4-F747-43AA-8F93-442151DD7576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2</a:t>
            </a:fld>
            <a:endParaRPr lang="de-CH" sz="800"/>
          </a:p>
        </xdr:txBody>
      </xdr:sp>
      <xdr:sp macro="" textlink="$I$73">
        <xdr:nvSpPr>
          <xdr:cNvPr id="27" name="Abgerundetes Rechteck 26">
            <a:extLst>
              <a:ext uri="{FF2B5EF4-FFF2-40B4-BE49-F238E27FC236}">
                <a16:creationId xmlns:a16="http://schemas.microsoft.com/office/drawing/2014/main" id="{00000000-0008-0000-0C00-00001B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386224A5-B5DC-4A33-B1F5-4103F5C1F590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74">
        <xdr:nvSpPr>
          <xdr:cNvPr id="28" name="Abgerundetes Rechteck 27">
            <a:extLst>
              <a:ext uri="{FF2B5EF4-FFF2-40B4-BE49-F238E27FC236}">
                <a16:creationId xmlns:a16="http://schemas.microsoft.com/office/drawing/2014/main" id="{00000000-0008-0000-0C00-00001C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BCFBB495-BC5F-4A2A-A21C-0537562CDE51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2</xdr:col>
      <xdr:colOff>735787</xdr:colOff>
      <xdr:row>13</xdr:row>
      <xdr:rowOff>65314</xdr:rowOff>
    </xdr:from>
    <xdr:to>
      <xdr:col>2</xdr:col>
      <xdr:colOff>1959787</xdr:colOff>
      <xdr:row>13</xdr:row>
      <xdr:rowOff>209314</xdr:rowOff>
    </xdr:to>
    <xdr:grpSp>
      <xdr:nvGrpSpPr>
        <xdr:cNvPr id="29" name="Gruppieren 28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GrpSpPr/>
      </xdr:nvGrpSpPr>
      <xdr:grpSpPr>
        <a:xfrm>
          <a:off x="1482547" y="2640874"/>
          <a:ext cx="1224000" cy="144000"/>
          <a:chOff x="492917" y="1313089"/>
          <a:chExt cx="860818" cy="229961"/>
        </a:xfrm>
      </xdr:grpSpPr>
      <xdr:sp macro="" textlink="$I$86">
        <xdr:nvSpPr>
          <xdr:cNvPr id="30" name="Abgerundetes Rechteck 29">
            <a:extLst>
              <a:ext uri="{FF2B5EF4-FFF2-40B4-BE49-F238E27FC236}">
                <a16:creationId xmlns:a16="http://schemas.microsoft.com/office/drawing/2014/main" id="{00000000-0008-0000-0C00-00001E000000}"/>
              </a:ext>
            </a:extLst>
          </xdr:cNvPr>
          <xdr:cNvSpPr/>
        </xdr:nvSpPr>
        <xdr:spPr>
          <a:xfrm>
            <a:off x="492917" y="1314450"/>
            <a:ext cx="228600" cy="228600"/>
          </a:xfrm>
          <a:prstGeom prst="roundRect">
            <a:avLst/>
          </a:prstGeom>
          <a:solidFill>
            <a:srgbClr val="CCFFCC"/>
          </a:solidFill>
          <a:ln>
            <a:solidFill>
              <a:srgbClr val="00B05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2CE79A6A-F34D-46C0-929D-E64521BCEFF4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87">
        <xdr:nvSpPr>
          <xdr:cNvPr id="31" name="Abgerundetes Rechteck 30">
            <a:extLst>
              <a:ext uri="{FF2B5EF4-FFF2-40B4-BE49-F238E27FC236}">
                <a16:creationId xmlns:a16="http://schemas.microsoft.com/office/drawing/2014/main" id="{00000000-0008-0000-0C00-00001F000000}"/>
              </a:ext>
            </a:extLst>
          </xdr:cNvPr>
          <xdr:cNvSpPr/>
        </xdr:nvSpPr>
        <xdr:spPr>
          <a:xfrm>
            <a:off x="812683" y="1314450"/>
            <a:ext cx="228600" cy="228600"/>
          </a:xfrm>
          <a:prstGeom prst="roundRect">
            <a:avLst/>
          </a:prstGeom>
          <a:solidFill>
            <a:srgbClr val="FFFF99"/>
          </a:solidFill>
          <a:ln>
            <a:solidFill>
              <a:srgbClr val="FFC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EDED8762-6206-4124-AB7A-FC1D99EE7E1A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  <xdr:sp macro="" textlink="$I$88">
        <xdr:nvSpPr>
          <xdr:cNvPr id="32" name="Abgerundetes Rechteck 31">
            <a:extLst>
              <a:ext uri="{FF2B5EF4-FFF2-40B4-BE49-F238E27FC236}">
                <a16:creationId xmlns:a16="http://schemas.microsoft.com/office/drawing/2014/main" id="{00000000-0008-0000-0C00-000020000000}"/>
              </a:ext>
            </a:extLst>
          </xdr:cNvPr>
          <xdr:cNvSpPr/>
        </xdr:nvSpPr>
        <xdr:spPr>
          <a:xfrm>
            <a:off x="1125135" y="1313089"/>
            <a:ext cx="228600" cy="228600"/>
          </a:xfrm>
          <a:prstGeom prst="roundRect">
            <a:avLst/>
          </a:prstGeom>
          <a:solidFill>
            <a:srgbClr val="FF9999"/>
          </a:solidFill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1003">
            <a:schemeClr val="lt2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36000" tIns="36000" rIns="36000" bIns="36000" rtlCol="0" anchor="ctr" anchorCtr="0"/>
          <a:lstStyle/>
          <a:p>
            <a:pPr algn="ctr"/>
            <a:fld id="{A1757B14-B799-463A-BC8C-6C756A235999}" type="TxLink">
              <a:rPr lang="de-CH" sz="800" b="0" i="0" u="none" strike="noStrike">
                <a:solidFill>
                  <a:srgbClr val="000000"/>
                </a:solidFill>
                <a:latin typeface="Calibri"/>
              </a:rPr>
              <a:pPr algn="ctr"/>
              <a:t>0</a:t>
            </a:fld>
            <a:endParaRPr lang="de-CH" sz="800"/>
          </a:p>
        </xdr:txBody>
      </xdr:sp>
    </xdr:grpSp>
    <xdr:clientData/>
  </xdr:twoCellAnchor>
  <xdr:twoCellAnchor editAs="oneCell">
    <xdr:from>
      <xdr:col>3</xdr:col>
      <xdr:colOff>900112</xdr:colOff>
      <xdr:row>2</xdr:row>
      <xdr:rowOff>28575</xdr:rowOff>
    </xdr:from>
    <xdr:to>
      <xdr:col>3</xdr:col>
      <xdr:colOff>2187696</xdr:colOff>
      <xdr:row>4</xdr:row>
      <xdr:rowOff>9525</xdr:rowOff>
    </xdr:to>
    <xdr:sp macro="" textlink="">
      <xdr:nvSpPr>
        <xdr:cNvPr id="33" name="Textfeld 32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SpPr txBox="1"/>
      </xdr:nvSpPr>
      <xdr:spPr>
        <a:xfrm>
          <a:off x="3719512" y="571500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P</a:t>
          </a:r>
        </a:p>
      </xdr:txBody>
    </xdr:sp>
    <xdr:clientData/>
  </xdr:twoCellAnchor>
  <xdr:twoCellAnchor editAs="oneCell">
    <xdr:from>
      <xdr:col>4</xdr:col>
      <xdr:colOff>618903</xdr:colOff>
      <xdr:row>9</xdr:row>
      <xdr:rowOff>66675</xdr:rowOff>
    </xdr:from>
    <xdr:to>
      <xdr:col>6</xdr:col>
      <xdr:colOff>582512</xdr:colOff>
      <xdr:row>11</xdr:row>
      <xdr:rowOff>38100</xdr:rowOff>
    </xdr:to>
    <xdr:sp macro="" textlink="">
      <xdr:nvSpPr>
        <xdr:cNvPr id="34" name="Textfeld 33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SpPr txBox="1"/>
      </xdr:nvSpPr>
      <xdr:spPr>
        <a:xfrm>
          <a:off x="6057678" y="1933575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E</a:t>
          </a:r>
        </a:p>
      </xdr:txBody>
    </xdr:sp>
    <xdr:clientData/>
  </xdr:twoCellAnchor>
  <xdr:twoCellAnchor editAs="oneCell">
    <xdr:from>
      <xdr:col>4</xdr:col>
      <xdr:colOff>623508</xdr:colOff>
      <xdr:row>13</xdr:row>
      <xdr:rowOff>1352550</xdr:rowOff>
    </xdr:from>
    <xdr:to>
      <xdr:col>6</xdr:col>
      <xdr:colOff>587117</xdr:colOff>
      <xdr:row>13</xdr:row>
      <xdr:rowOff>1704975</xdr:rowOff>
    </xdr:to>
    <xdr:sp macro="" textlink="">
      <xdr:nvSpPr>
        <xdr:cNvPr id="35" name="Textfeld 34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SpPr txBox="1"/>
      </xdr:nvSpPr>
      <xdr:spPr>
        <a:xfrm>
          <a:off x="6062283" y="3981450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S</a:t>
          </a:r>
        </a:p>
      </xdr:txBody>
    </xdr:sp>
    <xdr:clientData/>
  </xdr:twoCellAnchor>
  <xdr:twoCellAnchor editAs="oneCell">
    <xdr:from>
      <xdr:col>3</xdr:col>
      <xdr:colOff>928212</xdr:colOff>
      <xdr:row>13</xdr:row>
      <xdr:rowOff>2543175</xdr:rowOff>
    </xdr:from>
    <xdr:to>
      <xdr:col>3</xdr:col>
      <xdr:colOff>2215796</xdr:colOff>
      <xdr:row>13</xdr:row>
      <xdr:rowOff>2895600</xdr:rowOff>
    </xdr:to>
    <xdr:sp macro="" textlink="">
      <xdr:nvSpPr>
        <xdr:cNvPr id="36" name="Textfeld 35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 txBox="1"/>
      </xdr:nvSpPr>
      <xdr:spPr>
        <a:xfrm>
          <a:off x="3747612" y="5172075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T</a:t>
          </a:r>
        </a:p>
      </xdr:txBody>
    </xdr:sp>
    <xdr:clientData/>
  </xdr:twoCellAnchor>
  <xdr:twoCellAnchor editAs="oneCell">
    <xdr:from>
      <xdr:col>2</xdr:col>
      <xdr:colOff>713678</xdr:colOff>
      <xdr:row>13</xdr:row>
      <xdr:rowOff>1362075</xdr:rowOff>
    </xdr:from>
    <xdr:to>
      <xdr:col>2</xdr:col>
      <xdr:colOff>2001262</xdr:colOff>
      <xdr:row>13</xdr:row>
      <xdr:rowOff>1714500</xdr:rowOff>
    </xdr:to>
    <xdr:sp macro="" textlink="">
      <xdr:nvSpPr>
        <xdr:cNvPr id="37" name="Textfeld 36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SpPr txBox="1"/>
      </xdr:nvSpPr>
      <xdr:spPr>
        <a:xfrm>
          <a:off x="1437578" y="3990975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E</a:t>
          </a:r>
        </a:p>
      </xdr:txBody>
    </xdr:sp>
    <xdr:clientData/>
  </xdr:twoCellAnchor>
  <xdr:twoCellAnchor editAs="oneCell">
    <xdr:from>
      <xdr:col>2</xdr:col>
      <xdr:colOff>703995</xdr:colOff>
      <xdr:row>9</xdr:row>
      <xdr:rowOff>76200</xdr:rowOff>
    </xdr:from>
    <xdr:to>
      <xdr:col>2</xdr:col>
      <xdr:colOff>1991579</xdr:colOff>
      <xdr:row>11</xdr:row>
      <xdr:rowOff>47625</xdr:rowOff>
    </xdr:to>
    <xdr:sp macro="" textlink="">
      <xdr:nvSpPr>
        <xdr:cNvPr id="38" name="Textfeld 37">
          <a:extLst>
            <a:ext uri="{FF2B5EF4-FFF2-40B4-BE49-F238E27FC236}">
              <a16:creationId xmlns:a16="http://schemas.microsoft.com/office/drawing/2014/main" id="{00000000-0008-0000-0C00-000026000000}"/>
            </a:ext>
          </a:extLst>
        </xdr:cNvPr>
        <xdr:cNvSpPr txBox="1"/>
      </xdr:nvSpPr>
      <xdr:spPr>
        <a:xfrm>
          <a:off x="1427895" y="1943100"/>
          <a:ext cx="1287584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tIns="0" bIns="0" rtlCol="0" anchor="ctr">
          <a:noAutofit/>
        </a:bodyPr>
        <a:lstStyle/>
        <a:p>
          <a:pPr algn="ctr"/>
          <a:r>
            <a:rPr lang="de-CH" sz="4000">
              <a:solidFill>
                <a:schemeClr val="accent1">
                  <a:lumMod val="60000"/>
                  <a:lumOff val="40000"/>
                </a:schemeClr>
              </a:solidFill>
            </a:rPr>
            <a:t>L</a:t>
          </a:r>
        </a:p>
        <a:p>
          <a:pPr algn="ctr"/>
          <a:endParaRPr lang="de-CH" sz="4000">
            <a:solidFill>
              <a:schemeClr val="accent1">
                <a:lumMod val="60000"/>
                <a:lumOff val="40000"/>
              </a:schemeClr>
            </a:solidFill>
          </a:endParaRPr>
        </a:p>
      </xdr:txBody>
    </xdr:sp>
    <xdr:clientData/>
  </xdr:twoCellAnchor>
  <xdr:twoCellAnchor editAs="oneCell">
    <xdr:from>
      <xdr:col>0</xdr:col>
      <xdr:colOff>66675</xdr:colOff>
      <xdr:row>28</xdr:row>
      <xdr:rowOff>0</xdr:rowOff>
    </xdr:from>
    <xdr:to>
      <xdr:col>0</xdr:col>
      <xdr:colOff>390675</xdr:colOff>
      <xdr:row>29</xdr:row>
      <xdr:rowOff>58765</xdr:rowOff>
    </xdr:to>
    <xdr:grpSp>
      <xdr:nvGrpSpPr>
        <xdr:cNvPr id="39" name="Gruppieren 3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C00-000027000000}"/>
            </a:ext>
          </a:extLst>
        </xdr:cNvPr>
        <xdr:cNvGrpSpPr/>
      </xdr:nvGrpSpPr>
      <xdr:grpSpPr>
        <a:xfrm>
          <a:off x="66675" y="10226040"/>
          <a:ext cx="324000" cy="325465"/>
          <a:chOff x="66675" y="4972050"/>
          <a:chExt cx="324000" cy="325465"/>
        </a:xfrm>
      </xdr:grpSpPr>
      <xdr:sp macro="" textlink="">
        <xdr:nvSpPr>
          <xdr:cNvPr id="40" name="Rechteck 39">
            <a:extLst>
              <a:ext uri="{FF2B5EF4-FFF2-40B4-BE49-F238E27FC236}">
                <a16:creationId xmlns:a16="http://schemas.microsoft.com/office/drawing/2014/main" id="{00000000-0008-0000-0C00-000028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1" name="Pfeil nach oben 40">
            <a:extLst>
              <a:ext uri="{FF2B5EF4-FFF2-40B4-BE49-F238E27FC236}">
                <a16:creationId xmlns:a16="http://schemas.microsoft.com/office/drawing/2014/main" id="{00000000-0008-0000-0C00-000029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7</xdr:col>
      <xdr:colOff>238125</xdr:colOff>
      <xdr:row>2</xdr:row>
      <xdr:rowOff>47624</xdr:rowOff>
    </xdr:from>
    <xdr:to>
      <xdr:col>7</xdr:col>
      <xdr:colOff>418125</xdr:colOff>
      <xdr:row>3</xdr:row>
      <xdr:rowOff>52364</xdr:rowOff>
    </xdr:to>
    <xdr:grpSp>
      <xdr:nvGrpSpPr>
        <xdr:cNvPr id="45" name="Gruppieren 44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GrpSpPr>
          <a:grpSpLocks noChangeAspect="1"/>
        </xdr:cNvGrpSpPr>
      </xdr:nvGrpSpPr>
      <xdr:grpSpPr>
        <a:xfrm>
          <a:off x="9991725" y="619124"/>
          <a:ext cx="180000" cy="180000"/>
          <a:chOff x="8105775" y="571500"/>
          <a:chExt cx="172800" cy="172800"/>
        </a:xfrm>
      </xdr:grpSpPr>
      <xdr:sp macro="" textlink="">
        <xdr:nvSpPr>
          <xdr:cNvPr id="46" name="Rechteck 45">
            <a:extLst>
              <a:ext uri="{FF2B5EF4-FFF2-40B4-BE49-F238E27FC236}">
                <a16:creationId xmlns:a16="http://schemas.microsoft.com/office/drawing/2014/main" id="{00000000-0008-0000-0C00-00002E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7" name="Textfeld 46">
            <a:extLst>
              <a:ext uri="{FF2B5EF4-FFF2-40B4-BE49-F238E27FC236}">
                <a16:creationId xmlns:a16="http://schemas.microsoft.com/office/drawing/2014/main" id="{00000000-0008-0000-0C00-00002F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66675</xdr:colOff>
      <xdr:row>42</xdr:row>
      <xdr:rowOff>0</xdr:rowOff>
    </xdr:from>
    <xdr:to>
      <xdr:col>0</xdr:col>
      <xdr:colOff>390675</xdr:colOff>
      <xdr:row>43</xdr:row>
      <xdr:rowOff>58765</xdr:rowOff>
    </xdr:to>
    <xdr:grpSp>
      <xdr:nvGrpSpPr>
        <xdr:cNvPr id="48" name="Gruppieren 4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C00-000030000000}"/>
            </a:ext>
          </a:extLst>
        </xdr:cNvPr>
        <xdr:cNvGrpSpPr/>
      </xdr:nvGrpSpPr>
      <xdr:grpSpPr>
        <a:xfrm>
          <a:off x="66675" y="14180820"/>
          <a:ext cx="324000" cy="325465"/>
          <a:chOff x="66675" y="4972050"/>
          <a:chExt cx="324000" cy="325465"/>
        </a:xfrm>
      </xdr:grpSpPr>
      <xdr:sp macro="" textlink="">
        <xdr:nvSpPr>
          <xdr:cNvPr id="49" name="Rechteck 48">
            <a:extLst>
              <a:ext uri="{FF2B5EF4-FFF2-40B4-BE49-F238E27FC236}">
                <a16:creationId xmlns:a16="http://schemas.microsoft.com/office/drawing/2014/main" id="{00000000-0008-0000-0C00-000031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0" name="Pfeil nach oben 49">
            <a:extLst>
              <a:ext uri="{FF2B5EF4-FFF2-40B4-BE49-F238E27FC236}">
                <a16:creationId xmlns:a16="http://schemas.microsoft.com/office/drawing/2014/main" id="{00000000-0008-0000-0C00-000032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56</xdr:row>
      <xdr:rowOff>0</xdr:rowOff>
    </xdr:from>
    <xdr:to>
      <xdr:col>0</xdr:col>
      <xdr:colOff>390675</xdr:colOff>
      <xdr:row>57</xdr:row>
      <xdr:rowOff>58765</xdr:rowOff>
    </xdr:to>
    <xdr:grpSp>
      <xdr:nvGrpSpPr>
        <xdr:cNvPr id="51" name="Gruppieren 5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GrpSpPr/>
      </xdr:nvGrpSpPr>
      <xdr:grpSpPr>
        <a:xfrm>
          <a:off x="66675" y="18150840"/>
          <a:ext cx="324000" cy="325465"/>
          <a:chOff x="66675" y="4972050"/>
          <a:chExt cx="324000" cy="325465"/>
        </a:xfrm>
      </xdr:grpSpPr>
      <xdr:sp macro="" textlink="">
        <xdr:nvSpPr>
          <xdr:cNvPr id="52" name="Rechteck 51">
            <a:extLst>
              <a:ext uri="{FF2B5EF4-FFF2-40B4-BE49-F238E27FC236}">
                <a16:creationId xmlns:a16="http://schemas.microsoft.com/office/drawing/2014/main" id="{00000000-0008-0000-0C00-000034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3" name="Pfeil nach oben 52">
            <a:extLst>
              <a:ext uri="{FF2B5EF4-FFF2-40B4-BE49-F238E27FC236}">
                <a16:creationId xmlns:a16="http://schemas.microsoft.com/office/drawing/2014/main" id="{00000000-0008-0000-0C00-000035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70</xdr:row>
      <xdr:rowOff>0</xdr:rowOff>
    </xdr:from>
    <xdr:to>
      <xdr:col>0</xdr:col>
      <xdr:colOff>390675</xdr:colOff>
      <xdr:row>71</xdr:row>
      <xdr:rowOff>58765</xdr:rowOff>
    </xdr:to>
    <xdr:grpSp>
      <xdr:nvGrpSpPr>
        <xdr:cNvPr id="54" name="Gruppieren 5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C00-000036000000}"/>
            </a:ext>
          </a:extLst>
        </xdr:cNvPr>
        <xdr:cNvGrpSpPr/>
      </xdr:nvGrpSpPr>
      <xdr:grpSpPr>
        <a:xfrm>
          <a:off x="66675" y="22120860"/>
          <a:ext cx="324000" cy="325465"/>
          <a:chOff x="66675" y="4972050"/>
          <a:chExt cx="324000" cy="325465"/>
        </a:xfrm>
      </xdr:grpSpPr>
      <xdr:sp macro="" textlink="">
        <xdr:nvSpPr>
          <xdr:cNvPr id="55" name="Rechteck 54">
            <a:extLst>
              <a:ext uri="{FF2B5EF4-FFF2-40B4-BE49-F238E27FC236}">
                <a16:creationId xmlns:a16="http://schemas.microsoft.com/office/drawing/2014/main" id="{00000000-0008-0000-0C00-000037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6" name="Pfeil nach oben 55">
            <a:extLst>
              <a:ext uri="{FF2B5EF4-FFF2-40B4-BE49-F238E27FC236}">
                <a16:creationId xmlns:a16="http://schemas.microsoft.com/office/drawing/2014/main" id="{00000000-0008-0000-0C00-000038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84</xdr:row>
      <xdr:rowOff>0</xdr:rowOff>
    </xdr:from>
    <xdr:to>
      <xdr:col>0</xdr:col>
      <xdr:colOff>390675</xdr:colOff>
      <xdr:row>85</xdr:row>
      <xdr:rowOff>58765</xdr:rowOff>
    </xdr:to>
    <xdr:grpSp>
      <xdr:nvGrpSpPr>
        <xdr:cNvPr id="57" name="Gruppieren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C00-000039000000}"/>
            </a:ext>
          </a:extLst>
        </xdr:cNvPr>
        <xdr:cNvGrpSpPr/>
      </xdr:nvGrpSpPr>
      <xdr:grpSpPr>
        <a:xfrm>
          <a:off x="66675" y="26090880"/>
          <a:ext cx="324000" cy="325465"/>
          <a:chOff x="66675" y="4972050"/>
          <a:chExt cx="324000" cy="325465"/>
        </a:xfrm>
      </xdr:grpSpPr>
      <xdr:sp macro="" textlink="">
        <xdr:nvSpPr>
          <xdr:cNvPr id="58" name="Rechteck 57">
            <a:extLst>
              <a:ext uri="{FF2B5EF4-FFF2-40B4-BE49-F238E27FC236}">
                <a16:creationId xmlns:a16="http://schemas.microsoft.com/office/drawing/2014/main" id="{00000000-0008-0000-0C00-00003A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9" name="Pfeil nach oben 58">
            <a:extLst>
              <a:ext uri="{FF2B5EF4-FFF2-40B4-BE49-F238E27FC236}">
                <a16:creationId xmlns:a16="http://schemas.microsoft.com/office/drawing/2014/main" id="{00000000-0008-0000-0C00-00003B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0</xdr:colOff>
      <xdr:row>95</xdr:row>
      <xdr:rowOff>0</xdr:rowOff>
    </xdr:from>
    <xdr:to>
      <xdr:col>0</xdr:col>
      <xdr:colOff>324000</xdr:colOff>
      <xdr:row>96</xdr:row>
      <xdr:rowOff>30190</xdr:rowOff>
    </xdr:to>
    <xdr:grpSp>
      <xdr:nvGrpSpPr>
        <xdr:cNvPr id="60" name="Gruppieren 5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C00-00003C000000}"/>
            </a:ext>
          </a:extLst>
        </xdr:cNvPr>
        <xdr:cNvGrpSpPr/>
      </xdr:nvGrpSpPr>
      <xdr:grpSpPr>
        <a:xfrm>
          <a:off x="0" y="29397960"/>
          <a:ext cx="324000" cy="327370"/>
          <a:chOff x="66675" y="4972050"/>
          <a:chExt cx="324000" cy="325465"/>
        </a:xfrm>
      </xdr:grpSpPr>
      <xdr:sp macro="" textlink="">
        <xdr:nvSpPr>
          <xdr:cNvPr id="61" name="Rechteck 60">
            <a:extLst>
              <a:ext uri="{FF2B5EF4-FFF2-40B4-BE49-F238E27FC236}">
                <a16:creationId xmlns:a16="http://schemas.microsoft.com/office/drawing/2014/main" id="{00000000-0008-0000-0C00-00003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2" name="Pfeil nach oben 61">
            <a:extLst>
              <a:ext uri="{FF2B5EF4-FFF2-40B4-BE49-F238E27FC236}">
                <a16:creationId xmlns:a16="http://schemas.microsoft.com/office/drawing/2014/main" id="{00000000-0008-0000-0C00-00003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63" name="Gruppieren 6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C00-00003F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64" name="Rechteck 63">
            <a:extLst>
              <a:ext uri="{FF2B5EF4-FFF2-40B4-BE49-F238E27FC236}">
                <a16:creationId xmlns:a16="http://schemas.microsoft.com/office/drawing/2014/main" id="{00000000-0008-0000-0C00-00004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5" name="Pfeil nach links 64">
            <a:extLst>
              <a:ext uri="{FF2B5EF4-FFF2-40B4-BE49-F238E27FC236}">
                <a16:creationId xmlns:a16="http://schemas.microsoft.com/office/drawing/2014/main" id="{00000000-0008-0000-0C00-00004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975360</xdr:colOff>
          <xdr:row>0</xdr:row>
          <xdr:rowOff>7620</xdr:rowOff>
        </xdr:from>
        <xdr:to>
          <xdr:col>8</xdr:col>
          <xdr:colOff>0</xdr:colOff>
          <xdr:row>0</xdr:row>
          <xdr:rowOff>541020</xdr:rowOff>
        </xdr:to>
        <xdr:pic>
          <xdr:nvPicPr>
            <xdr:cNvPr id="66" name="Grafik 45">
              <a:extLst>
                <a:ext uri="{FF2B5EF4-FFF2-40B4-BE49-F238E27FC236}">
                  <a16:creationId xmlns:a16="http://schemas.microsoft.com/office/drawing/2014/main" id="{00000000-0008-0000-0C00-00004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3325"/>
                </a:ext>
              </a:extLst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7940040" y="7620"/>
              <a:ext cx="225552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2114551</xdr:colOff>
      <xdr:row>39</xdr:row>
      <xdr:rowOff>0</xdr:rowOff>
    </xdr:from>
    <xdr:to>
      <xdr:col>5</xdr:col>
      <xdr:colOff>133350</xdr:colOff>
      <xdr:row>40</xdr:row>
      <xdr:rowOff>19750</xdr:rowOff>
    </xdr:to>
    <xdr:sp macro="" textlink="">
      <xdr:nvSpPr>
        <xdr:cNvPr id="11" name="ZoneText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 txBox="1"/>
      </xdr:nvSpPr>
      <xdr:spPr>
        <a:xfrm>
          <a:off x="10934701" y="7829550"/>
          <a:ext cx="1724024" cy="21025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algn="l"/>
          <a:r>
            <a:rPr lang="fr-CH" sz="800" b="0" u="sng">
              <a:solidFill>
                <a:schemeClr val="tx1">
                  <a:lumMod val="50000"/>
                  <a:lumOff val="50000"/>
                </a:schemeClr>
              </a:solidFill>
            </a:rPr>
            <a:t>Source: www.trendwatching.com</a:t>
          </a:r>
        </a:p>
      </xdr:txBody>
    </xdr:sp>
    <xdr:clientData/>
  </xdr:twoCellAnchor>
  <xdr:oneCellAnchor>
    <xdr:from>
      <xdr:col>1</xdr:col>
      <xdr:colOff>76200</xdr:colOff>
      <xdr:row>6</xdr:row>
      <xdr:rowOff>85725</xdr:rowOff>
    </xdr:from>
    <xdr:ext cx="1428749" cy="504360"/>
    <xdr:sp macro="" textlink="' '!A514">
      <xdr:nvSpPr>
        <xdr:cNvPr id="15" name="Gefaltete Ecke 14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/>
      </xdr:nvSpPr>
      <xdr:spPr>
        <a:xfrm>
          <a:off x="742950" y="1562100"/>
          <a:ext cx="142874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F386E33F-09AB-4B0B-A414-F68435154486}" type="TxLink">
            <a:rPr lang="en-US" sz="9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What deep consumer needs &amp; desires does this trend address?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2</xdr:col>
      <xdr:colOff>104776</xdr:colOff>
      <xdr:row>6</xdr:row>
      <xdr:rowOff>76200</xdr:rowOff>
    </xdr:from>
    <xdr:ext cx="1381124" cy="336240"/>
    <xdr:sp macro="" textlink="' '!A515">
      <xdr:nvSpPr>
        <xdr:cNvPr id="17" name="Gefaltete Ecke 16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/>
      </xdr:nvSpPr>
      <xdr:spPr>
        <a:xfrm>
          <a:off x="4162426" y="1552575"/>
          <a:ext cx="1381124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F6066291-E2A2-4E8E-A882-A8A290955F62}" type="TxLink">
            <a:rPr lang="en-US" sz="9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Why is this trend emerging now? What’s changing?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2</xdr:col>
      <xdr:colOff>142876</xdr:colOff>
      <xdr:row>23</xdr:row>
      <xdr:rowOff>85725</xdr:rowOff>
    </xdr:from>
    <xdr:ext cx="1209674" cy="504360"/>
    <xdr:sp macro="" textlink="' '!A519">
      <xdr:nvSpPr>
        <xdr:cNvPr id="24" name="Gefaltete Ecke 23">
          <a:extLst>
            <a:ext uri="{FF2B5EF4-FFF2-40B4-BE49-F238E27FC236}">
              <a16:creationId xmlns:a16="http://schemas.microsoft.com/office/drawing/2014/main" id="{00000000-0008-0000-0D00-000018000000}"/>
            </a:ext>
          </a:extLst>
        </xdr:cNvPr>
        <xdr:cNvSpPr/>
      </xdr:nvSpPr>
      <xdr:spPr>
        <a:xfrm>
          <a:off x="4200526" y="4876800"/>
          <a:ext cx="1209674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CC10E9C7-F533-4956-8BCF-6973F5E407A9}" type="TxLink">
            <a:rPr lang="en-US" sz="9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How are other businesses applying this trend?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4</xdr:col>
      <xdr:colOff>142875</xdr:colOff>
      <xdr:row>23</xdr:row>
      <xdr:rowOff>104774</xdr:rowOff>
    </xdr:from>
    <xdr:ext cx="1400175" cy="672479"/>
    <xdr:sp macro="" textlink="' '!A521">
      <xdr:nvSpPr>
        <xdr:cNvPr id="28" name="Gefaltete Ecke 27">
          <a:extLst>
            <a:ext uri="{FF2B5EF4-FFF2-40B4-BE49-F238E27FC236}">
              <a16:creationId xmlns:a16="http://schemas.microsoft.com/office/drawing/2014/main" id="{00000000-0008-0000-0D00-00001C000000}"/>
            </a:ext>
          </a:extLst>
        </xdr:cNvPr>
        <xdr:cNvSpPr/>
      </xdr:nvSpPr>
      <xdr:spPr>
        <a:xfrm>
          <a:off x="8963025" y="4895849"/>
          <a:ext cx="1400175" cy="672479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CE11CFC0-1879-40DA-900D-2C4119EA666B}" type="TxLink">
            <a:rPr lang="en-US" sz="9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Which (new) customer groups could you apply this trend to? What would you have to change?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4</xdr:col>
      <xdr:colOff>152401</xdr:colOff>
      <xdr:row>6</xdr:row>
      <xdr:rowOff>85724</xdr:rowOff>
    </xdr:from>
    <xdr:ext cx="1200149" cy="504360"/>
    <xdr:sp macro="" textlink="' '!A520">
      <xdr:nvSpPr>
        <xdr:cNvPr id="30" name="Gefaltete Ecke 29">
          <a:extLst>
            <a:ext uri="{FF2B5EF4-FFF2-40B4-BE49-F238E27FC236}">
              <a16:creationId xmlns:a16="http://schemas.microsoft.com/office/drawing/2014/main" id="{00000000-0008-0000-0D00-00001E000000}"/>
            </a:ext>
          </a:extLst>
        </xdr:cNvPr>
        <xdr:cNvSpPr/>
      </xdr:nvSpPr>
      <xdr:spPr>
        <a:xfrm>
          <a:off x="8972551" y="1562099"/>
          <a:ext cx="120014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BE1FA7D6-B4DE-45E5-91C5-93F681D07FA0}" type="TxLink">
            <a:rPr lang="en-US" sz="9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How and where could you apply this trend to your business?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twoCellAnchor editAs="oneCell">
    <xdr:from>
      <xdr:col>4</xdr:col>
      <xdr:colOff>3495675</xdr:colOff>
      <xdr:row>2</xdr:row>
      <xdr:rowOff>9525</xdr:rowOff>
    </xdr:from>
    <xdr:to>
      <xdr:col>4</xdr:col>
      <xdr:colOff>3668475</xdr:colOff>
      <xdr:row>2</xdr:row>
      <xdr:rowOff>182325</xdr:rowOff>
    </xdr:to>
    <xdr:grpSp>
      <xdr:nvGrpSpPr>
        <xdr:cNvPr id="34" name="Gruppieren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22000000}"/>
            </a:ext>
          </a:extLst>
        </xdr:cNvPr>
        <xdr:cNvGrpSpPr/>
      </xdr:nvGrpSpPr>
      <xdr:grpSpPr>
        <a:xfrm>
          <a:off x="12571095" y="664845"/>
          <a:ext cx="172800" cy="172800"/>
          <a:chOff x="8105775" y="571500"/>
          <a:chExt cx="172800" cy="172800"/>
        </a:xfrm>
      </xdr:grpSpPr>
      <xdr:sp macro="" textlink="">
        <xdr:nvSpPr>
          <xdr:cNvPr id="35" name="Rechteck 34">
            <a:extLst>
              <a:ext uri="{FF2B5EF4-FFF2-40B4-BE49-F238E27FC236}">
                <a16:creationId xmlns:a16="http://schemas.microsoft.com/office/drawing/2014/main" id="{00000000-0008-0000-0D00-00002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6" name="Textfeld 35">
            <a:extLst>
              <a:ext uri="{FF2B5EF4-FFF2-40B4-BE49-F238E27FC236}">
                <a16:creationId xmlns:a16="http://schemas.microsoft.com/office/drawing/2014/main" id="{00000000-0008-0000-0D00-00002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114300</xdr:rowOff>
    </xdr:from>
    <xdr:to>
      <xdr:col>0</xdr:col>
      <xdr:colOff>400200</xdr:colOff>
      <xdr:row>0</xdr:row>
      <xdr:rowOff>439765</xdr:rowOff>
    </xdr:to>
    <xdr:grpSp>
      <xdr:nvGrpSpPr>
        <xdr:cNvPr id="130" name="Gruppieren 12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D00-000082000000}"/>
            </a:ext>
          </a:extLst>
        </xdr:cNvPr>
        <xdr:cNvGrpSpPr/>
      </xdr:nvGrpSpPr>
      <xdr:grpSpPr>
        <a:xfrm>
          <a:off x="76200" y="114300"/>
          <a:ext cx="324000" cy="325465"/>
          <a:chOff x="9191625" y="3009900"/>
          <a:chExt cx="324000" cy="325465"/>
        </a:xfrm>
      </xdr:grpSpPr>
      <xdr:sp macro="" textlink="">
        <xdr:nvSpPr>
          <xdr:cNvPr id="131" name="Rechteck 130">
            <a:extLst>
              <a:ext uri="{FF2B5EF4-FFF2-40B4-BE49-F238E27FC236}">
                <a16:creationId xmlns:a16="http://schemas.microsoft.com/office/drawing/2014/main" id="{00000000-0008-0000-0D00-00008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2" name="Pfeil nach links 131">
            <a:extLst>
              <a:ext uri="{FF2B5EF4-FFF2-40B4-BE49-F238E27FC236}">
                <a16:creationId xmlns:a16="http://schemas.microsoft.com/office/drawing/2014/main" id="{00000000-0008-0000-0D00-00008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2</xdr:col>
      <xdr:colOff>2305050</xdr:colOff>
      <xdr:row>7</xdr:row>
      <xdr:rowOff>114300</xdr:rowOff>
    </xdr:from>
    <xdr:to>
      <xdr:col>2</xdr:col>
      <xdr:colOff>2305050</xdr:colOff>
      <xdr:row>21</xdr:row>
      <xdr:rowOff>171450</xdr:rowOff>
    </xdr:to>
    <xdr:cxnSp macro="">
      <xdr:nvCxnSpPr>
        <xdr:cNvPr id="134" name="Gerader Verbinder 133">
          <a:extLst>
            <a:ext uri="{FF2B5EF4-FFF2-40B4-BE49-F238E27FC236}">
              <a16:creationId xmlns:a16="http://schemas.microsoft.com/office/drawing/2014/main" id="{00000000-0008-0000-0D00-000086000000}"/>
            </a:ext>
          </a:extLst>
        </xdr:cNvPr>
        <xdr:cNvCxnSpPr/>
      </xdr:nvCxnSpPr>
      <xdr:spPr>
        <a:xfrm>
          <a:off x="6362700" y="1781175"/>
          <a:ext cx="0" cy="2724150"/>
        </a:xfrm>
        <a:prstGeom prst="line">
          <a:avLst/>
        </a:prstGeom>
        <a:ln>
          <a:solidFill>
            <a:schemeClr val="accent2">
              <a:lumMod val="75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219075</xdr:colOff>
      <xdr:row>10</xdr:row>
      <xdr:rowOff>9523</xdr:rowOff>
    </xdr:from>
    <xdr:ext cx="936000" cy="576000"/>
    <xdr:sp macro="" textlink="" fLocksText="0">
      <xdr:nvSpPr>
        <xdr:cNvPr id="135" name="Gefaltete Ecke 134">
          <a:extLst>
            <a:ext uri="{FF2B5EF4-FFF2-40B4-BE49-F238E27FC236}">
              <a16:creationId xmlns:a16="http://schemas.microsoft.com/office/drawing/2014/main" id="{00000000-0008-0000-0D00-000087000000}"/>
            </a:ext>
          </a:extLst>
        </xdr:cNvPr>
        <xdr:cNvSpPr/>
      </xdr:nvSpPr>
      <xdr:spPr>
        <a:xfrm>
          <a:off x="885825" y="22478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2000250</xdr:colOff>
      <xdr:row>6</xdr:row>
      <xdr:rowOff>123823</xdr:rowOff>
    </xdr:from>
    <xdr:ext cx="936000" cy="576000"/>
    <xdr:sp macro="" textlink="" fLocksText="0">
      <xdr:nvSpPr>
        <xdr:cNvPr id="136" name="Gefaltete Ecke 135">
          <a:extLst>
            <a:ext uri="{FF2B5EF4-FFF2-40B4-BE49-F238E27FC236}">
              <a16:creationId xmlns:a16="http://schemas.microsoft.com/office/drawing/2014/main" id="{00000000-0008-0000-0D00-000088000000}"/>
            </a:ext>
          </a:extLst>
        </xdr:cNvPr>
        <xdr:cNvSpPr/>
      </xdr:nvSpPr>
      <xdr:spPr>
        <a:xfrm>
          <a:off x="2466975" y="15906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1381125</xdr:colOff>
      <xdr:row>10</xdr:row>
      <xdr:rowOff>95248</xdr:rowOff>
    </xdr:from>
    <xdr:ext cx="936000" cy="576000"/>
    <xdr:sp macro="" textlink="" fLocksText="0">
      <xdr:nvSpPr>
        <xdr:cNvPr id="137" name="Gefaltete Ecke 136">
          <a:extLst>
            <a:ext uri="{FF2B5EF4-FFF2-40B4-BE49-F238E27FC236}">
              <a16:creationId xmlns:a16="http://schemas.microsoft.com/office/drawing/2014/main" id="{00000000-0008-0000-0D00-000089000000}"/>
            </a:ext>
          </a:extLst>
        </xdr:cNvPr>
        <xdr:cNvSpPr/>
      </xdr:nvSpPr>
      <xdr:spPr>
        <a:xfrm>
          <a:off x="2047875" y="23336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2286000</xdr:colOff>
      <xdr:row>15</xdr:row>
      <xdr:rowOff>19048</xdr:rowOff>
    </xdr:from>
    <xdr:ext cx="936000" cy="576000"/>
    <xdr:sp macro="" textlink="" fLocksText="0">
      <xdr:nvSpPr>
        <xdr:cNvPr id="138" name="Gefaltete Ecke 137">
          <a:extLst>
            <a:ext uri="{FF2B5EF4-FFF2-40B4-BE49-F238E27FC236}">
              <a16:creationId xmlns:a16="http://schemas.microsoft.com/office/drawing/2014/main" id="{00000000-0008-0000-0D00-00008A000000}"/>
            </a:ext>
          </a:extLst>
        </xdr:cNvPr>
        <xdr:cNvSpPr/>
      </xdr:nvSpPr>
      <xdr:spPr>
        <a:xfrm>
          <a:off x="2952750" y="32099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962025</xdr:colOff>
      <xdr:row>14</xdr:row>
      <xdr:rowOff>57148</xdr:rowOff>
    </xdr:from>
    <xdr:ext cx="936000" cy="576000"/>
    <xdr:sp macro="" textlink="" fLocksText="0">
      <xdr:nvSpPr>
        <xdr:cNvPr id="139" name="Gefaltete Ecke 138">
          <a:extLst>
            <a:ext uri="{FF2B5EF4-FFF2-40B4-BE49-F238E27FC236}">
              <a16:creationId xmlns:a16="http://schemas.microsoft.com/office/drawing/2014/main" id="{00000000-0008-0000-0D00-00008B000000}"/>
            </a:ext>
          </a:extLst>
        </xdr:cNvPr>
        <xdr:cNvSpPr/>
      </xdr:nvSpPr>
      <xdr:spPr>
        <a:xfrm>
          <a:off x="1428750" y="30479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190500</xdr:colOff>
      <xdr:row>16</xdr:row>
      <xdr:rowOff>171448</xdr:rowOff>
    </xdr:from>
    <xdr:ext cx="936000" cy="576000"/>
    <xdr:sp macro="" textlink="" fLocksText="0">
      <xdr:nvSpPr>
        <xdr:cNvPr id="140" name="Gefaltete Ecke 139">
          <a:extLst>
            <a:ext uri="{FF2B5EF4-FFF2-40B4-BE49-F238E27FC236}">
              <a16:creationId xmlns:a16="http://schemas.microsoft.com/office/drawing/2014/main" id="{00000000-0008-0000-0D00-00008C000000}"/>
            </a:ext>
          </a:extLst>
        </xdr:cNvPr>
        <xdr:cNvSpPr/>
      </xdr:nvSpPr>
      <xdr:spPr>
        <a:xfrm>
          <a:off x="857250" y="35528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1581150</xdr:colOff>
      <xdr:row>18</xdr:row>
      <xdr:rowOff>57148</xdr:rowOff>
    </xdr:from>
    <xdr:ext cx="936000" cy="576000"/>
    <xdr:sp macro="" textlink="" fLocksText="0">
      <xdr:nvSpPr>
        <xdr:cNvPr id="141" name="Gefaltete Ecke 140">
          <a:extLst>
            <a:ext uri="{FF2B5EF4-FFF2-40B4-BE49-F238E27FC236}">
              <a16:creationId xmlns:a16="http://schemas.microsoft.com/office/drawing/2014/main" id="{00000000-0008-0000-0D00-00008D000000}"/>
            </a:ext>
          </a:extLst>
        </xdr:cNvPr>
        <xdr:cNvSpPr/>
      </xdr:nvSpPr>
      <xdr:spPr>
        <a:xfrm>
          <a:off x="2247900" y="38195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2400300</xdr:colOff>
      <xdr:row>11</xdr:row>
      <xdr:rowOff>133348</xdr:rowOff>
    </xdr:from>
    <xdr:ext cx="936000" cy="576000"/>
    <xdr:sp macro="" textlink="" fLocksText="0">
      <xdr:nvSpPr>
        <xdr:cNvPr id="142" name="Gefaltete Ecke 141">
          <a:extLst>
            <a:ext uri="{FF2B5EF4-FFF2-40B4-BE49-F238E27FC236}">
              <a16:creationId xmlns:a16="http://schemas.microsoft.com/office/drawing/2014/main" id="{00000000-0008-0000-0D00-00008E000000}"/>
            </a:ext>
          </a:extLst>
        </xdr:cNvPr>
        <xdr:cNvSpPr/>
      </xdr:nvSpPr>
      <xdr:spPr>
        <a:xfrm>
          <a:off x="3067050" y="25622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19050</xdr:colOff>
      <xdr:row>8</xdr:row>
      <xdr:rowOff>57150</xdr:rowOff>
    </xdr:from>
    <xdr:ext cx="2322431" cy="233205"/>
    <xdr:sp macro="" textlink="' '!A516">
      <xdr:nvSpPr>
        <xdr:cNvPr id="143" name="Textfeld 142">
          <a:extLst>
            <a:ext uri="{FF2B5EF4-FFF2-40B4-BE49-F238E27FC236}">
              <a16:creationId xmlns:a16="http://schemas.microsoft.com/office/drawing/2014/main" id="{00000000-0008-0000-0D00-00008F000000}"/>
            </a:ext>
          </a:extLst>
        </xdr:cNvPr>
        <xdr:cNvSpPr txBox="1"/>
      </xdr:nvSpPr>
      <xdr:spPr>
        <a:xfrm>
          <a:off x="4076700" y="1914525"/>
          <a:ext cx="2322431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fld id="{06D5EF91-BF5A-4A16-9E2A-9F948F9255F0}" type="TxLink">
            <a:rPr lang="en-US" sz="9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/>
            <a:t>Shifts: Long-term, widespread macro changes</a:t>
          </a:fld>
          <a:endParaRPr lang="de-CH" sz="900" b="0" i="0" u="none" strike="noStrike" baseline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2247900</xdr:colOff>
      <xdr:row>8</xdr:row>
      <xdr:rowOff>47625</xdr:rowOff>
    </xdr:from>
    <xdr:ext cx="2665666" cy="233205"/>
    <xdr:sp macro="" textlink="' '!A517">
      <xdr:nvSpPr>
        <xdr:cNvPr id="144" name="Textfeld 143">
          <a:extLst>
            <a:ext uri="{FF2B5EF4-FFF2-40B4-BE49-F238E27FC236}">
              <a16:creationId xmlns:a16="http://schemas.microsoft.com/office/drawing/2014/main" id="{00000000-0008-0000-0D00-000090000000}"/>
            </a:ext>
          </a:extLst>
        </xdr:cNvPr>
        <xdr:cNvSpPr txBox="1"/>
      </xdr:nvSpPr>
      <xdr:spPr>
        <a:xfrm>
          <a:off x="6305550" y="1905000"/>
          <a:ext cx="2665666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fld id="{6C93401E-6FA7-458A-ADD6-E50FA62156CF}" type="TxLink">
            <a:rPr lang="en-US" sz="9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/>
            <a:t>Triggers: Recent, short-term changes or technologies</a:t>
          </a:fld>
          <a:endParaRPr lang="de-CH" sz="900" b="0" i="0" u="none" strike="noStrike" baseline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133350</xdr:colOff>
      <xdr:row>9</xdr:row>
      <xdr:rowOff>161923</xdr:rowOff>
    </xdr:from>
    <xdr:ext cx="936000" cy="576000"/>
    <xdr:sp macro="" textlink="" fLocksText="0">
      <xdr:nvSpPr>
        <xdr:cNvPr id="145" name="Gefaltete Ecke 144">
          <a:extLst>
            <a:ext uri="{FF2B5EF4-FFF2-40B4-BE49-F238E27FC236}">
              <a16:creationId xmlns:a16="http://schemas.microsoft.com/office/drawing/2014/main" id="{00000000-0008-0000-0D00-000091000000}"/>
            </a:ext>
          </a:extLst>
        </xdr:cNvPr>
        <xdr:cNvSpPr/>
      </xdr:nvSpPr>
      <xdr:spPr>
        <a:xfrm>
          <a:off x="4191000" y="22097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1219200</xdr:colOff>
      <xdr:row>11</xdr:row>
      <xdr:rowOff>38098</xdr:rowOff>
    </xdr:from>
    <xdr:ext cx="936000" cy="576000"/>
    <xdr:sp macro="" textlink="" fLocksText="0">
      <xdr:nvSpPr>
        <xdr:cNvPr id="146" name="Gefaltete Ecke 145">
          <a:extLst>
            <a:ext uri="{FF2B5EF4-FFF2-40B4-BE49-F238E27FC236}">
              <a16:creationId xmlns:a16="http://schemas.microsoft.com/office/drawing/2014/main" id="{00000000-0008-0000-0D00-000092000000}"/>
            </a:ext>
          </a:extLst>
        </xdr:cNvPr>
        <xdr:cNvSpPr/>
      </xdr:nvSpPr>
      <xdr:spPr>
        <a:xfrm>
          <a:off x="5276850" y="24669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352425</xdr:colOff>
      <xdr:row>14</xdr:row>
      <xdr:rowOff>85723</xdr:rowOff>
    </xdr:from>
    <xdr:ext cx="936000" cy="576000"/>
    <xdr:sp macro="" textlink="" fLocksText="0">
      <xdr:nvSpPr>
        <xdr:cNvPr id="147" name="Gefaltete Ecke 146">
          <a:extLst>
            <a:ext uri="{FF2B5EF4-FFF2-40B4-BE49-F238E27FC236}">
              <a16:creationId xmlns:a16="http://schemas.microsoft.com/office/drawing/2014/main" id="{00000000-0008-0000-0D00-000093000000}"/>
            </a:ext>
          </a:extLst>
        </xdr:cNvPr>
        <xdr:cNvSpPr/>
      </xdr:nvSpPr>
      <xdr:spPr>
        <a:xfrm>
          <a:off x="4410075" y="30860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1190625</xdr:colOff>
      <xdr:row>15</xdr:row>
      <xdr:rowOff>28573</xdr:rowOff>
    </xdr:from>
    <xdr:ext cx="936000" cy="576000"/>
    <xdr:sp macro="" textlink="" fLocksText="0">
      <xdr:nvSpPr>
        <xdr:cNvPr id="148" name="Gefaltete Ecke 147">
          <a:extLst>
            <a:ext uri="{FF2B5EF4-FFF2-40B4-BE49-F238E27FC236}">
              <a16:creationId xmlns:a16="http://schemas.microsoft.com/office/drawing/2014/main" id="{00000000-0008-0000-0D00-000094000000}"/>
            </a:ext>
          </a:extLst>
        </xdr:cNvPr>
        <xdr:cNvSpPr/>
      </xdr:nvSpPr>
      <xdr:spPr>
        <a:xfrm>
          <a:off x="5248275" y="321944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123825</xdr:colOff>
      <xdr:row>18</xdr:row>
      <xdr:rowOff>76198</xdr:rowOff>
    </xdr:from>
    <xdr:ext cx="936000" cy="576000"/>
    <xdr:sp macro="" textlink="" fLocksText="0">
      <xdr:nvSpPr>
        <xdr:cNvPr id="149" name="Gefaltete Ecke 148">
          <a:extLst>
            <a:ext uri="{FF2B5EF4-FFF2-40B4-BE49-F238E27FC236}">
              <a16:creationId xmlns:a16="http://schemas.microsoft.com/office/drawing/2014/main" id="{00000000-0008-0000-0D00-000095000000}"/>
            </a:ext>
          </a:extLst>
        </xdr:cNvPr>
        <xdr:cNvSpPr/>
      </xdr:nvSpPr>
      <xdr:spPr>
        <a:xfrm>
          <a:off x="4181475" y="38385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2447925</xdr:colOff>
      <xdr:row>9</xdr:row>
      <xdr:rowOff>133348</xdr:rowOff>
    </xdr:from>
    <xdr:ext cx="936000" cy="576000"/>
    <xdr:sp macro="" textlink="" fLocksText="0">
      <xdr:nvSpPr>
        <xdr:cNvPr id="150" name="Gefaltete Ecke 149">
          <a:extLst>
            <a:ext uri="{FF2B5EF4-FFF2-40B4-BE49-F238E27FC236}">
              <a16:creationId xmlns:a16="http://schemas.microsoft.com/office/drawing/2014/main" id="{00000000-0008-0000-0D00-000096000000}"/>
            </a:ext>
          </a:extLst>
        </xdr:cNvPr>
        <xdr:cNvSpPr/>
      </xdr:nvSpPr>
      <xdr:spPr>
        <a:xfrm>
          <a:off x="6505575" y="21812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2590800</xdr:colOff>
      <xdr:row>13</xdr:row>
      <xdr:rowOff>190498</xdr:rowOff>
    </xdr:from>
    <xdr:ext cx="936000" cy="576000"/>
    <xdr:sp macro="" textlink="" fLocksText="0">
      <xdr:nvSpPr>
        <xdr:cNvPr id="151" name="Gefaltete Ecke 150">
          <a:extLst>
            <a:ext uri="{FF2B5EF4-FFF2-40B4-BE49-F238E27FC236}">
              <a16:creationId xmlns:a16="http://schemas.microsoft.com/office/drawing/2014/main" id="{00000000-0008-0000-0D00-000097000000}"/>
            </a:ext>
          </a:extLst>
        </xdr:cNvPr>
        <xdr:cNvSpPr/>
      </xdr:nvSpPr>
      <xdr:spPr>
        <a:xfrm>
          <a:off x="6448425" y="299084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3686175</xdr:colOff>
      <xdr:row>18</xdr:row>
      <xdr:rowOff>114298</xdr:rowOff>
    </xdr:from>
    <xdr:ext cx="936000" cy="576000"/>
    <xdr:sp macro="" textlink="" fLocksText="0">
      <xdr:nvSpPr>
        <xdr:cNvPr id="152" name="Gefaltete Ecke 151">
          <a:extLst>
            <a:ext uri="{FF2B5EF4-FFF2-40B4-BE49-F238E27FC236}">
              <a16:creationId xmlns:a16="http://schemas.microsoft.com/office/drawing/2014/main" id="{00000000-0008-0000-0D00-000098000000}"/>
            </a:ext>
          </a:extLst>
        </xdr:cNvPr>
        <xdr:cNvSpPr/>
      </xdr:nvSpPr>
      <xdr:spPr>
        <a:xfrm>
          <a:off x="7743825" y="38766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2400300</xdr:colOff>
      <xdr:row>18</xdr:row>
      <xdr:rowOff>9523</xdr:rowOff>
    </xdr:from>
    <xdr:ext cx="936000" cy="576000"/>
    <xdr:sp macro="" textlink="" fLocksText="0">
      <xdr:nvSpPr>
        <xdr:cNvPr id="153" name="Gefaltete Ecke 152">
          <a:extLst>
            <a:ext uri="{FF2B5EF4-FFF2-40B4-BE49-F238E27FC236}">
              <a16:creationId xmlns:a16="http://schemas.microsoft.com/office/drawing/2014/main" id="{00000000-0008-0000-0D00-000099000000}"/>
            </a:ext>
          </a:extLst>
        </xdr:cNvPr>
        <xdr:cNvSpPr/>
      </xdr:nvSpPr>
      <xdr:spPr>
        <a:xfrm>
          <a:off x="6457950" y="37718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3733800</xdr:colOff>
      <xdr:row>9</xdr:row>
      <xdr:rowOff>171448</xdr:rowOff>
    </xdr:from>
    <xdr:ext cx="936000" cy="576000"/>
    <xdr:sp macro="" textlink="" fLocksText="0">
      <xdr:nvSpPr>
        <xdr:cNvPr id="154" name="Gefaltete Ecke 153">
          <a:extLst>
            <a:ext uri="{FF2B5EF4-FFF2-40B4-BE49-F238E27FC236}">
              <a16:creationId xmlns:a16="http://schemas.microsoft.com/office/drawing/2014/main" id="{00000000-0008-0000-0D00-00009A000000}"/>
            </a:ext>
          </a:extLst>
        </xdr:cNvPr>
        <xdr:cNvSpPr/>
      </xdr:nvSpPr>
      <xdr:spPr>
        <a:xfrm>
          <a:off x="7791450" y="22193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3686175</xdr:colOff>
      <xdr:row>13</xdr:row>
      <xdr:rowOff>95248</xdr:rowOff>
    </xdr:from>
    <xdr:ext cx="936000" cy="576000"/>
    <xdr:sp macro="" textlink="" fLocksText="0">
      <xdr:nvSpPr>
        <xdr:cNvPr id="155" name="Gefaltete Ecke 154">
          <a:extLst>
            <a:ext uri="{FF2B5EF4-FFF2-40B4-BE49-F238E27FC236}">
              <a16:creationId xmlns:a16="http://schemas.microsoft.com/office/drawing/2014/main" id="{00000000-0008-0000-0D00-00009B000000}"/>
            </a:ext>
          </a:extLst>
        </xdr:cNvPr>
        <xdr:cNvSpPr/>
      </xdr:nvSpPr>
      <xdr:spPr>
        <a:xfrm>
          <a:off x="7743825" y="29051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1276350</xdr:colOff>
      <xdr:row>18</xdr:row>
      <xdr:rowOff>133348</xdr:rowOff>
    </xdr:from>
    <xdr:ext cx="936000" cy="576000"/>
    <xdr:sp macro="" textlink="" fLocksText="0">
      <xdr:nvSpPr>
        <xdr:cNvPr id="157" name="Gefaltete Ecke 156">
          <a:extLst>
            <a:ext uri="{FF2B5EF4-FFF2-40B4-BE49-F238E27FC236}">
              <a16:creationId xmlns:a16="http://schemas.microsoft.com/office/drawing/2014/main" id="{00000000-0008-0000-0D00-00009D000000}"/>
            </a:ext>
          </a:extLst>
        </xdr:cNvPr>
        <xdr:cNvSpPr/>
      </xdr:nvSpPr>
      <xdr:spPr>
        <a:xfrm>
          <a:off x="5334000" y="38957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76201</xdr:colOff>
      <xdr:row>23</xdr:row>
      <xdr:rowOff>114300</xdr:rowOff>
    </xdr:from>
    <xdr:ext cx="2152650" cy="672479"/>
    <xdr:sp macro="" textlink="' '!A518">
      <xdr:nvSpPr>
        <xdr:cNvPr id="158" name="Gefaltete Ecke 157">
          <a:extLst>
            <a:ext uri="{FF2B5EF4-FFF2-40B4-BE49-F238E27FC236}">
              <a16:creationId xmlns:a16="http://schemas.microsoft.com/office/drawing/2014/main" id="{00000000-0008-0000-0D00-00009E000000}"/>
            </a:ext>
          </a:extLst>
        </xdr:cNvPr>
        <xdr:cNvSpPr/>
      </xdr:nvSpPr>
      <xdr:spPr>
        <a:xfrm>
          <a:off x="742951" y="4905375"/>
          <a:ext cx="2152650" cy="672479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6DDBA9A5-6AFD-4146-A094-DB97820A0FF7}" type="TxLink">
            <a:rPr lang="en-US" sz="900" b="0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pPr marL="0" indent="0" algn="ctr"/>
            <a:t>What new consumer needs, wants and expectations are created by the changes identified above? Where and how does this trend satisfy them?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1</xdr:col>
      <xdr:colOff>161925</xdr:colOff>
      <xdr:row>27</xdr:row>
      <xdr:rowOff>152398</xdr:rowOff>
    </xdr:from>
    <xdr:ext cx="936000" cy="576000"/>
    <xdr:sp macro="" textlink="" fLocksText="0">
      <xdr:nvSpPr>
        <xdr:cNvPr id="159" name="Gefaltete Ecke 158">
          <a:extLst>
            <a:ext uri="{FF2B5EF4-FFF2-40B4-BE49-F238E27FC236}">
              <a16:creationId xmlns:a16="http://schemas.microsoft.com/office/drawing/2014/main" id="{00000000-0008-0000-0D00-00009F000000}"/>
            </a:ext>
          </a:extLst>
        </xdr:cNvPr>
        <xdr:cNvSpPr/>
      </xdr:nvSpPr>
      <xdr:spPr>
        <a:xfrm>
          <a:off x="828675" y="57054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2390775</xdr:colOff>
      <xdr:row>24</xdr:row>
      <xdr:rowOff>47623</xdr:rowOff>
    </xdr:from>
    <xdr:ext cx="936000" cy="576000"/>
    <xdr:sp macro="" textlink="" fLocksText="0">
      <xdr:nvSpPr>
        <xdr:cNvPr id="160" name="Gefaltete Ecke 159">
          <a:extLst>
            <a:ext uri="{FF2B5EF4-FFF2-40B4-BE49-F238E27FC236}">
              <a16:creationId xmlns:a16="http://schemas.microsoft.com/office/drawing/2014/main" id="{00000000-0008-0000-0D00-0000A0000000}"/>
            </a:ext>
          </a:extLst>
        </xdr:cNvPr>
        <xdr:cNvSpPr/>
      </xdr:nvSpPr>
      <xdr:spPr>
        <a:xfrm>
          <a:off x="3057525" y="50291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1333500</xdr:colOff>
      <xdr:row>27</xdr:row>
      <xdr:rowOff>152398</xdr:rowOff>
    </xdr:from>
    <xdr:ext cx="936000" cy="576000"/>
    <xdr:sp macro="" textlink="" fLocksText="0">
      <xdr:nvSpPr>
        <xdr:cNvPr id="161" name="Gefaltete Ecke 160">
          <a:extLst>
            <a:ext uri="{FF2B5EF4-FFF2-40B4-BE49-F238E27FC236}">
              <a16:creationId xmlns:a16="http://schemas.microsoft.com/office/drawing/2014/main" id="{00000000-0008-0000-0D00-0000A1000000}"/>
            </a:ext>
          </a:extLst>
        </xdr:cNvPr>
        <xdr:cNvSpPr/>
      </xdr:nvSpPr>
      <xdr:spPr>
        <a:xfrm>
          <a:off x="2000250" y="57054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2238375</xdr:colOff>
      <xdr:row>32</xdr:row>
      <xdr:rowOff>76198</xdr:rowOff>
    </xdr:from>
    <xdr:ext cx="936000" cy="576000"/>
    <xdr:sp macro="" textlink="" fLocksText="0">
      <xdr:nvSpPr>
        <xdr:cNvPr id="162" name="Gefaltete Ecke 161">
          <a:extLst>
            <a:ext uri="{FF2B5EF4-FFF2-40B4-BE49-F238E27FC236}">
              <a16:creationId xmlns:a16="http://schemas.microsoft.com/office/drawing/2014/main" id="{00000000-0008-0000-0D00-0000A2000000}"/>
            </a:ext>
          </a:extLst>
        </xdr:cNvPr>
        <xdr:cNvSpPr/>
      </xdr:nvSpPr>
      <xdr:spPr>
        <a:xfrm>
          <a:off x="2905125" y="65817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857250</xdr:colOff>
      <xdr:row>32</xdr:row>
      <xdr:rowOff>19048</xdr:rowOff>
    </xdr:from>
    <xdr:ext cx="936000" cy="576000"/>
    <xdr:sp macro="" textlink="" fLocksText="0">
      <xdr:nvSpPr>
        <xdr:cNvPr id="163" name="Gefaltete Ecke 162">
          <a:extLst>
            <a:ext uri="{FF2B5EF4-FFF2-40B4-BE49-F238E27FC236}">
              <a16:creationId xmlns:a16="http://schemas.microsoft.com/office/drawing/2014/main" id="{00000000-0008-0000-0D00-0000A3000000}"/>
            </a:ext>
          </a:extLst>
        </xdr:cNvPr>
        <xdr:cNvSpPr/>
      </xdr:nvSpPr>
      <xdr:spPr>
        <a:xfrm>
          <a:off x="1524000" y="65246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142875</xdr:colOff>
      <xdr:row>34</xdr:row>
      <xdr:rowOff>38098</xdr:rowOff>
    </xdr:from>
    <xdr:ext cx="936000" cy="576000"/>
    <xdr:sp macro="" textlink="" fLocksText="0">
      <xdr:nvSpPr>
        <xdr:cNvPr id="164" name="Gefaltete Ecke 163">
          <a:extLst>
            <a:ext uri="{FF2B5EF4-FFF2-40B4-BE49-F238E27FC236}">
              <a16:creationId xmlns:a16="http://schemas.microsoft.com/office/drawing/2014/main" id="{00000000-0008-0000-0D00-0000A4000000}"/>
            </a:ext>
          </a:extLst>
        </xdr:cNvPr>
        <xdr:cNvSpPr/>
      </xdr:nvSpPr>
      <xdr:spPr>
        <a:xfrm>
          <a:off x="809625" y="69246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1533525</xdr:colOff>
      <xdr:row>35</xdr:row>
      <xdr:rowOff>114298</xdr:rowOff>
    </xdr:from>
    <xdr:ext cx="936000" cy="576000"/>
    <xdr:sp macro="" textlink="" fLocksText="0">
      <xdr:nvSpPr>
        <xdr:cNvPr id="165" name="Gefaltete Ecke 164">
          <a:extLst>
            <a:ext uri="{FF2B5EF4-FFF2-40B4-BE49-F238E27FC236}">
              <a16:creationId xmlns:a16="http://schemas.microsoft.com/office/drawing/2014/main" id="{00000000-0008-0000-0D00-0000A5000000}"/>
            </a:ext>
          </a:extLst>
        </xdr:cNvPr>
        <xdr:cNvSpPr/>
      </xdr:nvSpPr>
      <xdr:spPr>
        <a:xfrm>
          <a:off x="2200275" y="71913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1</xdr:col>
      <xdr:colOff>2352675</xdr:colOff>
      <xdr:row>28</xdr:row>
      <xdr:rowOff>190498</xdr:rowOff>
    </xdr:from>
    <xdr:ext cx="936000" cy="576000"/>
    <xdr:sp macro="" textlink="" fLocksText="0">
      <xdr:nvSpPr>
        <xdr:cNvPr id="166" name="Gefaltete Ecke 165">
          <a:extLst>
            <a:ext uri="{FF2B5EF4-FFF2-40B4-BE49-F238E27FC236}">
              <a16:creationId xmlns:a16="http://schemas.microsoft.com/office/drawing/2014/main" id="{00000000-0008-0000-0D00-0000A6000000}"/>
            </a:ext>
          </a:extLst>
        </xdr:cNvPr>
        <xdr:cNvSpPr/>
      </xdr:nvSpPr>
      <xdr:spPr>
        <a:xfrm>
          <a:off x="3019425" y="59340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161925</xdr:colOff>
      <xdr:row>26</xdr:row>
      <xdr:rowOff>180973</xdr:rowOff>
    </xdr:from>
    <xdr:ext cx="936000" cy="576000"/>
    <xdr:sp macro="" textlink="" fLocksText="0">
      <xdr:nvSpPr>
        <xdr:cNvPr id="167" name="Gefaltete Ecke 166">
          <a:extLst>
            <a:ext uri="{FF2B5EF4-FFF2-40B4-BE49-F238E27FC236}">
              <a16:creationId xmlns:a16="http://schemas.microsoft.com/office/drawing/2014/main" id="{00000000-0008-0000-0D00-0000A7000000}"/>
            </a:ext>
          </a:extLst>
        </xdr:cNvPr>
        <xdr:cNvSpPr/>
      </xdr:nvSpPr>
      <xdr:spPr>
        <a:xfrm>
          <a:off x="4219575" y="554354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1619250</xdr:colOff>
      <xdr:row>24</xdr:row>
      <xdr:rowOff>104773</xdr:rowOff>
    </xdr:from>
    <xdr:ext cx="936000" cy="576000"/>
    <xdr:sp macro="" textlink="" fLocksText="0">
      <xdr:nvSpPr>
        <xdr:cNvPr id="168" name="Gefaltete Ecke 167">
          <a:extLst>
            <a:ext uri="{FF2B5EF4-FFF2-40B4-BE49-F238E27FC236}">
              <a16:creationId xmlns:a16="http://schemas.microsoft.com/office/drawing/2014/main" id="{00000000-0008-0000-0D00-0000A8000000}"/>
            </a:ext>
          </a:extLst>
        </xdr:cNvPr>
        <xdr:cNvSpPr/>
      </xdr:nvSpPr>
      <xdr:spPr>
        <a:xfrm>
          <a:off x="5676900" y="508634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381000</xdr:colOff>
      <xdr:row>31</xdr:row>
      <xdr:rowOff>104773</xdr:rowOff>
    </xdr:from>
    <xdr:ext cx="936000" cy="576000"/>
    <xdr:sp macro="" textlink="" fLocksText="0">
      <xdr:nvSpPr>
        <xdr:cNvPr id="169" name="Gefaltete Ecke 168">
          <a:extLst>
            <a:ext uri="{FF2B5EF4-FFF2-40B4-BE49-F238E27FC236}">
              <a16:creationId xmlns:a16="http://schemas.microsoft.com/office/drawing/2014/main" id="{00000000-0008-0000-0D00-0000A9000000}"/>
            </a:ext>
          </a:extLst>
        </xdr:cNvPr>
        <xdr:cNvSpPr/>
      </xdr:nvSpPr>
      <xdr:spPr>
        <a:xfrm>
          <a:off x="4438650" y="641984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1476375</xdr:colOff>
      <xdr:row>30</xdr:row>
      <xdr:rowOff>95248</xdr:rowOff>
    </xdr:from>
    <xdr:ext cx="936000" cy="576000"/>
    <xdr:sp macro="" textlink="" fLocksText="0">
      <xdr:nvSpPr>
        <xdr:cNvPr id="170" name="Gefaltete Ecke 169">
          <a:extLst>
            <a:ext uri="{FF2B5EF4-FFF2-40B4-BE49-F238E27FC236}">
              <a16:creationId xmlns:a16="http://schemas.microsoft.com/office/drawing/2014/main" id="{00000000-0008-0000-0D00-0000AA000000}"/>
            </a:ext>
          </a:extLst>
        </xdr:cNvPr>
        <xdr:cNvSpPr/>
      </xdr:nvSpPr>
      <xdr:spPr>
        <a:xfrm>
          <a:off x="5534025" y="62198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152400</xdr:colOff>
      <xdr:row>35</xdr:row>
      <xdr:rowOff>95248</xdr:rowOff>
    </xdr:from>
    <xdr:ext cx="936000" cy="576000"/>
    <xdr:sp macro="" textlink="" fLocksText="0">
      <xdr:nvSpPr>
        <xdr:cNvPr id="171" name="Gefaltete Ecke 170">
          <a:extLst>
            <a:ext uri="{FF2B5EF4-FFF2-40B4-BE49-F238E27FC236}">
              <a16:creationId xmlns:a16="http://schemas.microsoft.com/office/drawing/2014/main" id="{00000000-0008-0000-0D00-0000AB000000}"/>
            </a:ext>
          </a:extLst>
        </xdr:cNvPr>
        <xdr:cNvSpPr/>
      </xdr:nvSpPr>
      <xdr:spPr>
        <a:xfrm>
          <a:off x="4210050" y="71723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3324225</xdr:colOff>
      <xdr:row>23</xdr:row>
      <xdr:rowOff>133348</xdr:rowOff>
    </xdr:from>
    <xdr:ext cx="936000" cy="576000"/>
    <xdr:sp macro="" textlink="" fLocksText="0">
      <xdr:nvSpPr>
        <xdr:cNvPr id="172" name="Gefaltete Ecke 171">
          <a:extLst>
            <a:ext uri="{FF2B5EF4-FFF2-40B4-BE49-F238E27FC236}">
              <a16:creationId xmlns:a16="http://schemas.microsoft.com/office/drawing/2014/main" id="{00000000-0008-0000-0D00-0000AC000000}"/>
            </a:ext>
          </a:extLst>
        </xdr:cNvPr>
        <xdr:cNvSpPr/>
      </xdr:nvSpPr>
      <xdr:spPr>
        <a:xfrm>
          <a:off x="7181850" y="49148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2686050</xdr:colOff>
      <xdr:row>28</xdr:row>
      <xdr:rowOff>57148</xdr:rowOff>
    </xdr:from>
    <xdr:ext cx="936000" cy="576000"/>
    <xdr:sp macro="" textlink="" fLocksText="0">
      <xdr:nvSpPr>
        <xdr:cNvPr id="173" name="Gefaltete Ecke 172">
          <a:extLst>
            <a:ext uri="{FF2B5EF4-FFF2-40B4-BE49-F238E27FC236}">
              <a16:creationId xmlns:a16="http://schemas.microsoft.com/office/drawing/2014/main" id="{00000000-0008-0000-0D00-0000AD000000}"/>
            </a:ext>
          </a:extLst>
        </xdr:cNvPr>
        <xdr:cNvSpPr/>
      </xdr:nvSpPr>
      <xdr:spPr>
        <a:xfrm>
          <a:off x="6743700" y="58007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3486150</xdr:colOff>
      <xdr:row>34</xdr:row>
      <xdr:rowOff>180973</xdr:rowOff>
    </xdr:from>
    <xdr:ext cx="936000" cy="576000"/>
    <xdr:sp macro="" textlink="" fLocksText="0">
      <xdr:nvSpPr>
        <xdr:cNvPr id="174" name="Gefaltete Ecke 173">
          <a:extLst>
            <a:ext uri="{FF2B5EF4-FFF2-40B4-BE49-F238E27FC236}">
              <a16:creationId xmlns:a16="http://schemas.microsoft.com/office/drawing/2014/main" id="{00000000-0008-0000-0D00-0000AE000000}"/>
            </a:ext>
          </a:extLst>
        </xdr:cNvPr>
        <xdr:cNvSpPr/>
      </xdr:nvSpPr>
      <xdr:spPr>
        <a:xfrm>
          <a:off x="7543800" y="706754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3771900</xdr:colOff>
      <xdr:row>30</xdr:row>
      <xdr:rowOff>38098</xdr:rowOff>
    </xdr:from>
    <xdr:ext cx="936000" cy="576000"/>
    <xdr:sp macro="" textlink="" fLocksText="0">
      <xdr:nvSpPr>
        <xdr:cNvPr id="175" name="Gefaltete Ecke 174">
          <a:extLst>
            <a:ext uri="{FF2B5EF4-FFF2-40B4-BE49-F238E27FC236}">
              <a16:creationId xmlns:a16="http://schemas.microsoft.com/office/drawing/2014/main" id="{00000000-0008-0000-0D00-0000AF000000}"/>
            </a:ext>
          </a:extLst>
        </xdr:cNvPr>
        <xdr:cNvSpPr/>
      </xdr:nvSpPr>
      <xdr:spPr>
        <a:xfrm>
          <a:off x="7829550" y="61626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2286000</xdr:colOff>
      <xdr:row>34</xdr:row>
      <xdr:rowOff>76198</xdr:rowOff>
    </xdr:from>
    <xdr:ext cx="936000" cy="576000"/>
    <xdr:sp macro="" textlink="" fLocksText="0">
      <xdr:nvSpPr>
        <xdr:cNvPr id="176" name="Gefaltete Ecke 175">
          <a:extLst>
            <a:ext uri="{FF2B5EF4-FFF2-40B4-BE49-F238E27FC236}">
              <a16:creationId xmlns:a16="http://schemas.microsoft.com/office/drawing/2014/main" id="{00000000-0008-0000-0D00-0000B0000000}"/>
            </a:ext>
          </a:extLst>
        </xdr:cNvPr>
        <xdr:cNvSpPr/>
      </xdr:nvSpPr>
      <xdr:spPr>
        <a:xfrm>
          <a:off x="6343650" y="69627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1495425</xdr:colOff>
      <xdr:row>8</xdr:row>
      <xdr:rowOff>47623</xdr:rowOff>
    </xdr:from>
    <xdr:ext cx="936000" cy="576000"/>
    <xdr:sp macro="" textlink="" fLocksText="0">
      <xdr:nvSpPr>
        <xdr:cNvPr id="177" name="Gefaltete Ecke 176">
          <a:extLst>
            <a:ext uri="{FF2B5EF4-FFF2-40B4-BE49-F238E27FC236}">
              <a16:creationId xmlns:a16="http://schemas.microsoft.com/office/drawing/2014/main" id="{00000000-0008-0000-0D00-0000B1000000}"/>
            </a:ext>
          </a:extLst>
        </xdr:cNvPr>
        <xdr:cNvSpPr/>
      </xdr:nvSpPr>
      <xdr:spPr>
        <a:xfrm>
          <a:off x="10315575" y="19049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180975</xdr:colOff>
      <xdr:row>9</xdr:row>
      <xdr:rowOff>161923</xdr:rowOff>
    </xdr:from>
    <xdr:ext cx="936000" cy="576000"/>
    <xdr:sp macro="" textlink="" fLocksText="0">
      <xdr:nvSpPr>
        <xdr:cNvPr id="178" name="Gefaltete Ecke 177">
          <a:extLst>
            <a:ext uri="{FF2B5EF4-FFF2-40B4-BE49-F238E27FC236}">
              <a16:creationId xmlns:a16="http://schemas.microsoft.com/office/drawing/2014/main" id="{00000000-0008-0000-0D00-0000B2000000}"/>
            </a:ext>
          </a:extLst>
        </xdr:cNvPr>
        <xdr:cNvSpPr/>
      </xdr:nvSpPr>
      <xdr:spPr>
        <a:xfrm>
          <a:off x="9001125" y="22097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561975</xdr:colOff>
      <xdr:row>18</xdr:row>
      <xdr:rowOff>9523</xdr:rowOff>
    </xdr:from>
    <xdr:ext cx="936000" cy="576000"/>
    <xdr:sp macro="" textlink="" fLocksText="0">
      <xdr:nvSpPr>
        <xdr:cNvPr id="179" name="Gefaltete Ecke 178">
          <a:extLst>
            <a:ext uri="{FF2B5EF4-FFF2-40B4-BE49-F238E27FC236}">
              <a16:creationId xmlns:a16="http://schemas.microsoft.com/office/drawing/2014/main" id="{00000000-0008-0000-0D00-0000B3000000}"/>
            </a:ext>
          </a:extLst>
        </xdr:cNvPr>
        <xdr:cNvSpPr/>
      </xdr:nvSpPr>
      <xdr:spPr>
        <a:xfrm>
          <a:off x="9382125" y="37718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161925</xdr:colOff>
      <xdr:row>14</xdr:row>
      <xdr:rowOff>57148</xdr:rowOff>
    </xdr:from>
    <xdr:ext cx="936000" cy="576000"/>
    <xdr:sp macro="" textlink="" fLocksText="0">
      <xdr:nvSpPr>
        <xdr:cNvPr id="180" name="Gefaltete Ecke 179">
          <a:extLst>
            <a:ext uri="{FF2B5EF4-FFF2-40B4-BE49-F238E27FC236}">
              <a16:creationId xmlns:a16="http://schemas.microsoft.com/office/drawing/2014/main" id="{00000000-0008-0000-0D00-0000B4000000}"/>
            </a:ext>
          </a:extLst>
        </xdr:cNvPr>
        <xdr:cNvSpPr/>
      </xdr:nvSpPr>
      <xdr:spPr>
        <a:xfrm>
          <a:off x="8982075" y="30575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2743200</xdr:colOff>
      <xdr:row>7</xdr:row>
      <xdr:rowOff>161923</xdr:rowOff>
    </xdr:from>
    <xdr:ext cx="936000" cy="576000"/>
    <xdr:sp macro="" textlink="" fLocksText="0">
      <xdr:nvSpPr>
        <xdr:cNvPr id="181" name="Gefaltete Ecke 180">
          <a:extLst>
            <a:ext uri="{FF2B5EF4-FFF2-40B4-BE49-F238E27FC236}">
              <a16:creationId xmlns:a16="http://schemas.microsoft.com/office/drawing/2014/main" id="{00000000-0008-0000-0D00-0000B5000000}"/>
            </a:ext>
          </a:extLst>
        </xdr:cNvPr>
        <xdr:cNvSpPr/>
      </xdr:nvSpPr>
      <xdr:spPr>
        <a:xfrm>
          <a:off x="11563350" y="18287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1619250</xdr:colOff>
      <xdr:row>12</xdr:row>
      <xdr:rowOff>28573</xdr:rowOff>
    </xdr:from>
    <xdr:ext cx="936000" cy="576000"/>
    <xdr:sp macro="" textlink="" fLocksText="0">
      <xdr:nvSpPr>
        <xdr:cNvPr id="182" name="Gefaltete Ecke 181">
          <a:extLst>
            <a:ext uri="{FF2B5EF4-FFF2-40B4-BE49-F238E27FC236}">
              <a16:creationId xmlns:a16="http://schemas.microsoft.com/office/drawing/2014/main" id="{00000000-0008-0000-0D00-0000B6000000}"/>
            </a:ext>
          </a:extLst>
        </xdr:cNvPr>
        <xdr:cNvSpPr/>
      </xdr:nvSpPr>
      <xdr:spPr>
        <a:xfrm>
          <a:off x="10439400" y="264794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2695575</xdr:colOff>
      <xdr:row>28</xdr:row>
      <xdr:rowOff>9523</xdr:rowOff>
    </xdr:from>
    <xdr:ext cx="936000" cy="576000"/>
    <xdr:sp macro="" textlink="" fLocksText="0">
      <xdr:nvSpPr>
        <xdr:cNvPr id="183" name="Gefaltete Ecke 182">
          <a:extLst>
            <a:ext uri="{FF2B5EF4-FFF2-40B4-BE49-F238E27FC236}">
              <a16:creationId xmlns:a16="http://schemas.microsoft.com/office/drawing/2014/main" id="{00000000-0008-0000-0D00-0000B7000000}"/>
            </a:ext>
          </a:extLst>
        </xdr:cNvPr>
        <xdr:cNvSpPr/>
      </xdr:nvSpPr>
      <xdr:spPr>
        <a:xfrm>
          <a:off x="11515725" y="57530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219075</xdr:colOff>
      <xdr:row>29</xdr:row>
      <xdr:rowOff>19048</xdr:rowOff>
    </xdr:from>
    <xdr:ext cx="936000" cy="576000"/>
    <xdr:sp macro="" textlink="" fLocksText="0">
      <xdr:nvSpPr>
        <xdr:cNvPr id="184" name="Gefaltete Ecke 183">
          <a:extLst>
            <a:ext uri="{FF2B5EF4-FFF2-40B4-BE49-F238E27FC236}">
              <a16:creationId xmlns:a16="http://schemas.microsoft.com/office/drawing/2014/main" id="{00000000-0008-0000-0D00-0000B8000000}"/>
            </a:ext>
          </a:extLst>
        </xdr:cNvPr>
        <xdr:cNvSpPr/>
      </xdr:nvSpPr>
      <xdr:spPr>
        <a:xfrm>
          <a:off x="9039225" y="595312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1323975</xdr:colOff>
      <xdr:row>35</xdr:row>
      <xdr:rowOff>76198</xdr:rowOff>
    </xdr:from>
    <xdr:ext cx="936000" cy="576000"/>
    <xdr:sp macro="" textlink="" fLocksText="0">
      <xdr:nvSpPr>
        <xdr:cNvPr id="185" name="Gefaltete Ecke 184">
          <a:extLst>
            <a:ext uri="{FF2B5EF4-FFF2-40B4-BE49-F238E27FC236}">
              <a16:creationId xmlns:a16="http://schemas.microsoft.com/office/drawing/2014/main" id="{00000000-0008-0000-0D00-0000B9000000}"/>
            </a:ext>
          </a:extLst>
        </xdr:cNvPr>
        <xdr:cNvSpPr/>
      </xdr:nvSpPr>
      <xdr:spPr>
        <a:xfrm>
          <a:off x="10144125" y="71532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200025</xdr:colOff>
      <xdr:row>33</xdr:row>
      <xdr:rowOff>104773</xdr:rowOff>
    </xdr:from>
    <xdr:ext cx="936000" cy="576000"/>
    <xdr:sp macro="" textlink="" fLocksText="0">
      <xdr:nvSpPr>
        <xdr:cNvPr id="186" name="Gefaltete Ecke 185">
          <a:extLst>
            <a:ext uri="{FF2B5EF4-FFF2-40B4-BE49-F238E27FC236}">
              <a16:creationId xmlns:a16="http://schemas.microsoft.com/office/drawing/2014/main" id="{00000000-0008-0000-0D00-0000BA000000}"/>
            </a:ext>
          </a:extLst>
        </xdr:cNvPr>
        <xdr:cNvSpPr/>
      </xdr:nvSpPr>
      <xdr:spPr>
        <a:xfrm>
          <a:off x="9020175" y="680084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1619250</xdr:colOff>
      <xdr:row>31</xdr:row>
      <xdr:rowOff>38098</xdr:rowOff>
    </xdr:from>
    <xdr:ext cx="936000" cy="576000"/>
    <xdr:sp macro="" textlink="" fLocksText="0">
      <xdr:nvSpPr>
        <xdr:cNvPr id="187" name="Gefaltete Ecke 186">
          <a:extLst>
            <a:ext uri="{FF2B5EF4-FFF2-40B4-BE49-F238E27FC236}">
              <a16:creationId xmlns:a16="http://schemas.microsoft.com/office/drawing/2014/main" id="{00000000-0008-0000-0D00-0000BB000000}"/>
            </a:ext>
          </a:extLst>
        </xdr:cNvPr>
        <xdr:cNvSpPr/>
      </xdr:nvSpPr>
      <xdr:spPr>
        <a:xfrm>
          <a:off x="10439400" y="63531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1447800</xdr:colOff>
      <xdr:row>27</xdr:row>
      <xdr:rowOff>114298</xdr:rowOff>
    </xdr:from>
    <xdr:ext cx="936000" cy="576000"/>
    <xdr:sp macro="" textlink="" fLocksText="0">
      <xdr:nvSpPr>
        <xdr:cNvPr id="188" name="Gefaltete Ecke 187">
          <a:extLst>
            <a:ext uri="{FF2B5EF4-FFF2-40B4-BE49-F238E27FC236}">
              <a16:creationId xmlns:a16="http://schemas.microsoft.com/office/drawing/2014/main" id="{00000000-0008-0000-0D00-0000BC000000}"/>
            </a:ext>
          </a:extLst>
        </xdr:cNvPr>
        <xdr:cNvSpPr/>
      </xdr:nvSpPr>
      <xdr:spPr>
        <a:xfrm>
          <a:off x="10267950" y="56673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twoCellAnchor>
    <xdr:from>
      <xdr:col>4</xdr:col>
      <xdr:colOff>1828800</xdr:colOff>
      <xdr:row>18</xdr:row>
      <xdr:rowOff>66675</xdr:rowOff>
    </xdr:from>
    <xdr:to>
      <xdr:col>4</xdr:col>
      <xdr:colOff>3590925</xdr:colOff>
      <xdr:row>27</xdr:row>
      <xdr:rowOff>38100</xdr:rowOff>
    </xdr:to>
    <xdr:sp macro="" textlink="">
      <xdr:nvSpPr>
        <xdr:cNvPr id="189" name="Ellipse 188">
          <a:extLst>
            <a:ext uri="{FF2B5EF4-FFF2-40B4-BE49-F238E27FC236}">
              <a16:creationId xmlns:a16="http://schemas.microsoft.com/office/drawing/2014/main" id="{00000000-0008-0000-0D00-0000BD000000}"/>
            </a:ext>
          </a:extLst>
        </xdr:cNvPr>
        <xdr:cNvSpPr/>
      </xdr:nvSpPr>
      <xdr:spPr>
        <a:xfrm>
          <a:off x="10648950" y="3829050"/>
          <a:ext cx="1762125" cy="1762125"/>
        </a:xfrm>
        <a:prstGeom prst="ellipse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de-CH" sz="1100" baseline="0"/>
            <a:t>Your innovation(s!)</a:t>
          </a:r>
        </a:p>
      </xdr:txBody>
    </xdr:sp>
    <xdr:clientData/>
  </xdr:twoCellAnchor>
  <xdr:oneCellAnchor>
    <xdr:from>
      <xdr:col>4</xdr:col>
      <xdr:colOff>2705100</xdr:colOff>
      <xdr:row>14</xdr:row>
      <xdr:rowOff>114298</xdr:rowOff>
    </xdr:from>
    <xdr:ext cx="936000" cy="576000"/>
    <xdr:sp macro="" textlink="" fLocksText="0">
      <xdr:nvSpPr>
        <xdr:cNvPr id="190" name="Gefaltete Ecke 189">
          <a:extLst>
            <a:ext uri="{FF2B5EF4-FFF2-40B4-BE49-F238E27FC236}">
              <a16:creationId xmlns:a16="http://schemas.microsoft.com/office/drawing/2014/main" id="{00000000-0008-0000-0D00-0000BE000000}"/>
            </a:ext>
          </a:extLst>
        </xdr:cNvPr>
        <xdr:cNvSpPr/>
      </xdr:nvSpPr>
      <xdr:spPr>
        <a:xfrm>
          <a:off x="11525250" y="3114673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2619375</xdr:colOff>
      <xdr:row>34</xdr:row>
      <xdr:rowOff>85723</xdr:rowOff>
    </xdr:from>
    <xdr:ext cx="936000" cy="576000"/>
    <xdr:sp macro="" textlink="" fLocksText="0">
      <xdr:nvSpPr>
        <xdr:cNvPr id="191" name="Gefaltete Ecke 190">
          <a:extLst>
            <a:ext uri="{FF2B5EF4-FFF2-40B4-BE49-F238E27FC236}">
              <a16:creationId xmlns:a16="http://schemas.microsoft.com/office/drawing/2014/main" id="{00000000-0008-0000-0D00-0000BF000000}"/>
            </a:ext>
          </a:extLst>
        </xdr:cNvPr>
        <xdr:cNvSpPr/>
      </xdr:nvSpPr>
      <xdr:spPr>
        <a:xfrm>
          <a:off x="11439525" y="6972298"/>
          <a:ext cx="936000" cy="576000"/>
        </a:xfrm>
        <a:prstGeom prst="foldedCorner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endParaRPr lang="en-US" sz="10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twoCellAnchor>
    <xdr:from>
      <xdr:col>1</xdr:col>
      <xdr:colOff>0</xdr:colOff>
      <xdr:row>4</xdr:row>
      <xdr:rowOff>19050</xdr:rowOff>
    </xdr:from>
    <xdr:to>
      <xdr:col>2</xdr:col>
      <xdr:colOff>4800600</xdr:colOff>
      <xdr:row>4</xdr:row>
      <xdr:rowOff>19050</xdr:rowOff>
    </xdr:to>
    <xdr:cxnSp macro="">
      <xdr:nvCxnSpPr>
        <xdr:cNvPr id="193" name="Gerader Verbinder 192">
          <a:extLst>
            <a:ext uri="{FF2B5EF4-FFF2-40B4-BE49-F238E27FC236}">
              <a16:creationId xmlns:a16="http://schemas.microsoft.com/office/drawing/2014/main" id="{00000000-0008-0000-0D00-0000C1000000}"/>
            </a:ext>
          </a:extLst>
        </xdr:cNvPr>
        <xdr:cNvCxnSpPr/>
      </xdr:nvCxnSpPr>
      <xdr:spPr>
        <a:xfrm>
          <a:off x="466725" y="1276350"/>
          <a:ext cx="8191500" cy="0"/>
        </a:xfrm>
        <a:prstGeom prst="line">
          <a:avLst/>
        </a:prstGeom>
        <a:ln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4</xdr:row>
      <xdr:rowOff>19050</xdr:rowOff>
    </xdr:from>
    <xdr:to>
      <xdr:col>5</xdr:col>
      <xdr:colOff>0</xdr:colOff>
      <xdr:row>4</xdr:row>
      <xdr:rowOff>19050</xdr:rowOff>
    </xdr:to>
    <xdr:cxnSp macro="">
      <xdr:nvCxnSpPr>
        <xdr:cNvPr id="194" name="Gerader Verbinder 193">
          <a:extLst>
            <a:ext uri="{FF2B5EF4-FFF2-40B4-BE49-F238E27FC236}">
              <a16:creationId xmlns:a16="http://schemas.microsoft.com/office/drawing/2014/main" id="{00000000-0008-0000-0D00-0000C2000000}"/>
            </a:ext>
          </a:extLst>
        </xdr:cNvPr>
        <xdr:cNvCxnSpPr/>
      </xdr:nvCxnSpPr>
      <xdr:spPr>
        <a:xfrm>
          <a:off x="8839200" y="1276350"/>
          <a:ext cx="3686175" cy="0"/>
        </a:xfrm>
        <a:prstGeom prst="line">
          <a:avLst/>
        </a:prstGeom>
        <a:ln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93721</xdr:colOff>
      <xdr:row>3</xdr:row>
      <xdr:rowOff>66675</xdr:rowOff>
    </xdr:from>
    <xdr:ext cx="1222258" cy="288000"/>
    <xdr:sp macro="" textlink="">
      <xdr:nvSpPr>
        <xdr:cNvPr id="196" name="Textfeld 195">
          <a:extLst>
            <a:ext uri="{FF2B5EF4-FFF2-40B4-BE49-F238E27FC236}">
              <a16:creationId xmlns:a16="http://schemas.microsoft.com/office/drawing/2014/main" id="{00000000-0008-0000-0D00-0000C4000000}"/>
            </a:ext>
          </a:extLst>
        </xdr:cNvPr>
        <xdr:cNvSpPr txBox="1"/>
      </xdr:nvSpPr>
      <xdr:spPr>
        <a:xfrm>
          <a:off x="3951346" y="1114425"/>
          <a:ext cx="1222258" cy="28800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CH" sz="1400">
              <a:solidFill>
                <a:schemeClr val="bg1">
                  <a:lumMod val="50000"/>
                </a:schemeClr>
              </a:solidFill>
            </a:rPr>
            <a:t>1. Understand</a:t>
          </a:r>
        </a:p>
      </xdr:txBody>
    </xdr:sp>
    <xdr:clientData/>
  </xdr:oneCellAnchor>
  <xdr:oneCellAnchor>
    <xdr:from>
      <xdr:col>4</xdr:col>
      <xdr:colOff>1473858</xdr:colOff>
      <xdr:row>3</xdr:row>
      <xdr:rowOff>45402</xdr:rowOff>
    </xdr:from>
    <xdr:ext cx="776559" cy="311496"/>
    <xdr:sp macro="" textlink="">
      <xdr:nvSpPr>
        <xdr:cNvPr id="197" name="Textfeld 196">
          <a:extLst>
            <a:ext uri="{FF2B5EF4-FFF2-40B4-BE49-F238E27FC236}">
              <a16:creationId xmlns:a16="http://schemas.microsoft.com/office/drawing/2014/main" id="{00000000-0008-0000-0D00-0000C5000000}"/>
            </a:ext>
          </a:extLst>
        </xdr:cNvPr>
        <xdr:cNvSpPr txBox="1"/>
      </xdr:nvSpPr>
      <xdr:spPr>
        <a:xfrm>
          <a:off x="10294008" y="1093152"/>
          <a:ext cx="776559" cy="311496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de-CH" sz="1400">
              <a:solidFill>
                <a:schemeClr val="bg1">
                  <a:lumMod val="50000"/>
                </a:schemeClr>
              </a:solidFill>
            </a:rPr>
            <a:t>2. Apply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1554480</xdr:colOff>
          <xdr:row>0</xdr:row>
          <xdr:rowOff>0</xdr:rowOff>
        </xdr:from>
        <xdr:to>
          <xdr:col>5</xdr:col>
          <xdr:colOff>3810</xdr:colOff>
          <xdr:row>0</xdr:row>
          <xdr:rowOff>533400</xdr:rowOff>
        </xdr:to>
        <xdr:pic>
          <xdr:nvPicPr>
            <xdr:cNvPr id="75" name="Grafik 45">
              <a:extLst>
                <a:ext uri="{FF2B5EF4-FFF2-40B4-BE49-F238E27FC236}">
                  <a16:creationId xmlns:a16="http://schemas.microsoft.com/office/drawing/2014/main" id="{00000000-0008-0000-0D00-00004B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31079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0629900" y="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171449</xdr:colOff>
          <xdr:row>3</xdr:row>
          <xdr:rowOff>66678</xdr:rowOff>
        </xdr:from>
        <xdr:to>
          <xdr:col>6</xdr:col>
          <xdr:colOff>1619249</xdr:colOff>
          <xdr:row>36</xdr:row>
          <xdr:rowOff>9528</xdr:rowOff>
        </xdr:to>
        <xdr:pic>
          <xdr:nvPicPr>
            <xdr:cNvPr id="2" name="Grafik 1">
              <a:extLst>
                <a:ext uri="{FF2B5EF4-FFF2-40B4-BE49-F238E27FC236}">
                  <a16:creationId xmlns:a16="http://schemas.microsoft.com/office/drawing/2014/main" id="{00000000-0008-0000-0E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D$50:$I$61" spid="_x0000_s17828"/>
                </a:ext>
              </a:extLst>
            </xdr:cNvPicPr>
          </xdr:nvPicPr>
          <xdr:blipFill>
            <a:blip xmlns:r="http://schemas.openxmlformats.org/officeDocument/2006/relationships" r:embed="rId1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 rot="5400000">
              <a:off x="1614487" y="3767140"/>
              <a:ext cx="7562850" cy="22383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3</xdr:col>
      <xdr:colOff>76197</xdr:colOff>
      <xdr:row>50</xdr:row>
      <xdr:rowOff>14287</xdr:rowOff>
    </xdr:from>
    <xdr:to>
      <xdr:col>8</xdr:col>
      <xdr:colOff>1552575</xdr:colOff>
      <xdr:row>59</xdr:row>
      <xdr:rowOff>133350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PrintsWithSheet="0"/>
  </xdr:twoCellAnchor>
  <xdr:twoCellAnchor editAs="oneCell">
    <xdr:from>
      <xdr:col>8</xdr:col>
      <xdr:colOff>1409700</xdr:colOff>
      <xdr:row>1</xdr:row>
      <xdr:rowOff>57150</xdr:rowOff>
    </xdr:from>
    <xdr:to>
      <xdr:col>8</xdr:col>
      <xdr:colOff>1582500</xdr:colOff>
      <xdr:row>2</xdr:row>
      <xdr:rowOff>20400</xdr:rowOff>
    </xdr:to>
    <xdr:grpSp>
      <xdr:nvGrpSpPr>
        <xdr:cNvPr id="7" name="Gruppieren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GrpSpPr/>
      </xdr:nvGrpSpPr>
      <xdr:grpSpPr>
        <a:xfrm>
          <a:off x="10523220" y="621030"/>
          <a:ext cx="172800" cy="168990"/>
          <a:chOff x="8105775" y="571500"/>
          <a:chExt cx="172800" cy="172800"/>
        </a:xfrm>
      </xdr:grpSpPr>
      <xdr:sp macro="" textlink="">
        <xdr:nvSpPr>
          <xdr:cNvPr id="8" name="Rechteck 7">
            <a:extLst>
              <a:ext uri="{FF2B5EF4-FFF2-40B4-BE49-F238E27FC236}">
                <a16:creationId xmlns:a16="http://schemas.microsoft.com/office/drawing/2014/main" id="{00000000-0008-0000-0E00-000008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" name="Textfeld 8">
            <a:extLst>
              <a:ext uri="{FF2B5EF4-FFF2-40B4-BE49-F238E27FC236}">
                <a16:creationId xmlns:a16="http://schemas.microsoft.com/office/drawing/2014/main" id="{00000000-0008-0000-0E00-000009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13" name="Gruppieren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14" name="Rechteck 13">
            <a:extLst>
              <a:ext uri="{FF2B5EF4-FFF2-40B4-BE49-F238E27FC236}">
                <a16:creationId xmlns:a16="http://schemas.microsoft.com/office/drawing/2014/main" id="{00000000-0008-0000-0E00-00000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" name="Pfeil nach links 14">
            <a:extLst>
              <a:ext uri="{FF2B5EF4-FFF2-40B4-BE49-F238E27FC236}">
                <a16:creationId xmlns:a16="http://schemas.microsoft.com/office/drawing/2014/main" id="{00000000-0008-0000-0E00-00000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1584960</xdr:colOff>
          <xdr:row>0</xdr:row>
          <xdr:rowOff>7620</xdr:rowOff>
        </xdr:from>
        <xdr:to>
          <xdr:col>8</xdr:col>
          <xdr:colOff>1642110</xdr:colOff>
          <xdr:row>0</xdr:row>
          <xdr:rowOff>541020</xdr:rowOff>
        </xdr:to>
        <xdr:pic>
          <xdr:nvPicPr>
            <xdr:cNvPr id="10" name="Grafik 45">
              <a:extLst>
                <a:ext uri="{FF2B5EF4-FFF2-40B4-BE49-F238E27FC236}">
                  <a16:creationId xmlns:a16="http://schemas.microsoft.com/office/drawing/2014/main" id="{00000000-0008-0000-0E00-00000A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7829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496300" y="762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514350</xdr:rowOff>
    </xdr:from>
    <xdr:to>
      <xdr:col>3</xdr:col>
      <xdr:colOff>266700</xdr:colOff>
      <xdr:row>4</xdr:row>
      <xdr:rowOff>93345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>
          <a:spLocks noChangeAspect="1"/>
        </xdr:cNvSpPr>
      </xdr:nvSpPr>
      <xdr:spPr bwMode="auto">
        <a:xfrm>
          <a:off x="485775" y="514350"/>
          <a:ext cx="3924300" cy="66675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="horz" wrap="square" lIns="0" tIns="0" rIns="0" bIns="0" numCol="1" rtlCol="0" anchor="ctr" anchorCtr="0" compatLnSpc="1">
          <a:prstTxWarp prst="textNoShape">
            <a:avLst/>
          </a:prstTxWarp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 typeface="Times" pitchFamily="18" charset="0"/>
            <a:buNone/>
            <a:tabLst/>
            <a:defRPr/>
          </a:pPr>
          <a:r>
            <a:rPr kumimoji="0" lang="en-US" sz="5400" b="1" i="0" u="none" strike="noStrike" cap="none" normalizeH="0" baseline="0">
              <a:ln>
                <a:noFill/>
              </a:ln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charset="0"/>
            </a:rPr>
            <a:t>S</a:t>
          </a:r>
          <a:endParaRPr kumimoji="0" lang="de-CH" sz="5400" b="1" i="0" u="none" strike="noStrike" kern="1200" cap="none" normalizeH="0" baseline="0">
            <a:ln>
              <a:noFill/>
            </a:ln>
            <a:solidFill>
              <a:schemeClr val="accent6">
                <a:lumMod val="60000"/>
                <a:lumOff val="40000"/>
              </a:schemeClr>
            </a:solidFill>
            <a:effectLst/>
            <a:latin typeface="Arial" charset="0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9525</xdr:colOff>
      <xdr:row>0</xdr:row>
      <xdr:rowOff>514350</xdr:rowOff>
    </xdr:from>
    <xdr:to>
      <xdr:col>7</xdr:col>
      <xdr:colOff>238125</xdr:colOff>
      <xdr:row>4</xdr:row>
      <xdr:rowOff>93345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>
          <a:spLocks noChangeAspect="1"/>
        </xdr:cNvSpPr>
      </xdr:nvSpPr>
      <xdr:spPr bwMode="auto">
        <a:xfrm>
          <a:off x="6515100" y="514350"/>
          <a:ext cx="3924300" cy="66675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="horz" wrap="square" lIns="0" tIns="0" rIns="0" bIns="0" numCol="1" rtlCol="0" anchor="ctr" anchorCtr="0" compatLnSpc="1">
          <a:prstTxWarp prst="textNoShape">
            <a:avLst/>
          </a:prstTxWarp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 typeface="Times" pitchFamily="18" charset="0"/>
            <a:buNone/>
            <a:tabLst/>
            <a:defRPr/>
          </a:pPr>
          <a:r>
            <a:rPr kumimoji="0" lang="en-US" sz="5400" b="1" i="0" u="none" strike="noStrike" cap="none" normalizeH="0" baseline="0">
              <a:ln>
                <a:noFill/>
              </a:ln>
              <a:solidFill>
                <a:schemeClr val="accent6">
                  <a:lumMod val="60000"/>
                  <a:lumOff val="40000"/>
                </a:schemeClr>
              </a:solidFill>
              <a:effectLst/>
              <a:latin typeface="Arial" charset="0"/>
            </a:rPr>
            <a:t>W</a:t>
          </a:r>
          <a:endParaRPr kumimoji="0" lang="de-CH" sz="5400" b="1" i="0" u="none" strike="noStrike" kern="1200" cap="none" normalizeH="0" baseline="0">
            <a:ln>
              <a:noFill/>
            </a:ln>
            <a:solidFill>
              <a:schemeClr val="accent6">
                <a:lumMod val="60000"/>
                <a:lumOff val="40000"/>
              </a:schemeClr>
            </a:solidFill>
            <a:effectLst/>
            <a:latin typeface="Arial" charset="0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0</xdr:colOff>
      <xdr:row>23</xdr:row>
      <xdr:rowOff>9525</xdr:rowOff>
    </xdr:from>
    <xdr:to>
      <xdr:col>3</xdr:col>
      <xdr:colOff>247650</xdr:colOff>
      <xdr:row>23</xdr:row>
      <xdr:rowOff>676275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>
          <a:spLocks noChangeAspect="1"/>
        </xdr:cNvSpPr>
      </xdr:nvSpPr>
      <xdr:spPr bwMode="auto">
        <a:xfrm>
          <a:off x="466725" y="5886450"/>
          <a:ext cx="3924300" cy="66675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vert="horz" wrap="none" lIns="0" tIns="0" rIns="0" bIns="0" numCol="1" rtlCol="0" anchor="b" anchorCtr="0" compatLnSpc="1">
          <a:prstTxWarp prst="textNoShape">
            <a:avLst/>
          </a:prstTxWarp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 typeface="Times" pitchFamily="18" charset="0"/>
            <a:buNone/>
            <a:tabLst/>
            <a:defRPr/>
          </a:pPr>
          <a:r>
            <a:rPr kumimoji="0" lang="en-US" sz="5400" b="1" i="0" u="none" strike="noStrike" cap="none" normalizeH="0" baseline="0">
              <a:ln>
                <a:noFill/>
              </a:ln>
              <a:solidFill>
                <a:schemeClr val="accent2">
                  <a:lumMod val="60000"/>
                  <a:lumOff val="40000"/>
                </a:schemeClr>
              </a:solidFill>
              <a:effectLst/>
              <a:latin typeface="Arial" charset="0"/>
            </a:rPr>
            <a:t>O</a:t>
          </a:r>
          <a:endParaRPr kumimoji="0" lang="de-CH" sz="5400" b="1" i="0" u="none" strike="noStrike" kern="1200" cap="none" normalizeH="0" baseline="0">
            <a:ln>
              <a:noFill/>
            </a:ln>
            <a:solidFill>
              <a:schemeClr val="accent2">
                <a:lumMod val="60000"/>
                <a:lumOff val="40000"/>
              </a:schemeClr>
            </a:solidFill>
            <a:effectLst/>
            <a:latin typeface="Arial" charset="0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9525</xdr:colOff>
      <xdr:row>23</xdr:row>
      <xdr:rowOff>9525</xdr:rowOff>
    </xdr:from>
    <xdr:to>
      <xdr:col>7</xdr:col>
      <xdr:colOff>238125</xdr:colOff>
      <xdr:row>23</xdr:row>
      <xdr:rowOff>676275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>
          <a:spLocks noChangeAspect="1"/>
        </xdr:cNvSpPr>
      </xdr:nvSpPr>
      <xdr:spPr bwMode="auto">
        <a:xfrm>
          <a:off x="6496050" y="5886450"/>
          <a:ext cx="3924300" cy="66675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vert="horz" wrap="none" lIns="0" tIns="0" rIns="0" bIns="0" numCol="1" rtlCol="0" anchor="b" anchorCtr="0" compatLnSpc="1">
          <a:prstTxWarp prst="textNoShape">
            <a:avLst/>
          </a:prstTxWarp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 typeface="Times" pitchFamily="18" charset="0"/>
            <a:buNone/>
            <a:tabLst/>
            <a:defRPr/>
          </a:pPr>
          <a:r>
            <a:rPr kumimoji="0" lang="en-US" sz="5400" b="1" i="0" u="none" strike="noStrike" cap="none" normalizeH="0" baseline="0">
              <a:ln>
                <a:noFill/>
              </a:ln>
              <a:solidFill>
                <a:schemeClr val="accent4">
                  <a:lumMod val="60000"/>
                  <a:lumOff val="40000"/>
                </a:schemeClr>
              </a:solidFill>
              <a:effectLst/>
              <a:latin typeface="Arial" charset="0"/>
            </a:rPr>
            <a:t>T</a:t>
          </a:r>
          <a:endParaRPr kumimoji="0" lang="de-CH" sz="5400" b="1" i="0" u="none" strike="noStrike" kern="1200" cap="none" normalizeH="0" baseline="0">
            <a:ln>
              <a:noFill/>
            </a:ln>
            <a:solidFill>
              <a:schemeClr val="accent4">
                <a:lumMod val="60000"/>
                <a:lumOff val="40000"/>
              </a:schemeClr>
            </a:solidFill>
            <a:effectLst/>
            <a:latin typeface="Arial" charset="0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114300</xdr:colOff>
      <xdr:row>2</xdr:row>
      <xdr:rowOff>47625</xdr:rowOff>
    </xdr:from>
    <xdr:to>
      <xdr:col>7</xdr:col>
      <xdr:colOff>287100</xdr:colOff>
      <xdr:row>2</xdr:row>
      <xdr:rowOff>220425</xdr:rowOff>
    </xdr:to>
    <xdr:grpSp>
      <xdr:nvGrpSpPr>
        <xdr:cNvPr id="6" name="Gruppieren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GrpSpPr/>
      </xdr:nvGrpSpPr>
      <xdr:grpSpPr>
        <a:xfrm>
          <a:off x="10607040" y="619125"/>
          <a:ext cx="172800" cy="172800"/>
          <a:chOff x="8105775" y="571500"/>
          <a:chExt cx="172800" cy="172800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0F00-000007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" name="Textfeld 7">
            <a:extLst>
              <a:ext uri="{FF2B5EF4-FFF2-40B4-BE49-F238E27FC236}">
                <a16:creationId xmlns:a16="http://schemas.microsoft.com/office/drawing/2014/main" id="{00000000-0008-0000-0F00-000008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66675</xdr:colOff>
      <xdr:row>22</xdr:row>
      <xdr:rowOff>0</xdr:rowOff>
    </xdr:from>
    <xdr:to>
      <xdr:col>0</xdr:col>
      <xdr:colOff>390675</xdr:colOff>
      <xdr:row>23</xdr:row>
      <xdr:rowOff>1615</xdr:rowOff>
    </xdr:to>
    <xdr:grpSp>
      <xdr:nvGrpSpPr>
        <xdr:cNvPr id="12" name="Gruppieren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GrpSpPr/>
      </xdr:nvGrpSpPr>
      <xdr:grpSpPr>
        <a:xfrm>
          <a:off x="66675" y="7284720"/>
          <a:ext cx="324000" cy="329275"/>
          <a:chOff x="66675" y="4972050"/>
          <a:chExt cx="324000" cy="325465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0F00-00000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" name="Pfeil nach oben 13">
            <a:extLst>
              <a:ext uri="{FF2B5EF4-FFF2-40B4-BE49-F238E27FC236}">
                <a16:creationId xmlns:a16="http://schemas.microsoft.com/office/drawing/2014/main" id="{00000000-0008-0000-0F00-00000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41</xdr:row>
      <xdr:rowOff>0</xdr:rowOff>
    </xdr:from>
    <xdr:to>
      <xdr:col>0</xdr:col>
      <xdr:colOff>390675</xdr:colOff>
      <xdr:row>42</xdr:row>
      <xdr:rowOff>1615</xdr:rowOff>
    </xdr:to>
    <xdr:grpSp>
      <xdr:nvGrpSpPr>
        <xdr:cNvPr id="15" name="Gruppieren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GrpSpPr/>
      </xdr:nvGrpSpPr>
      <xdr:grpSpPr>
        <a:xfrm>
          <a:off x="66675" y="13921740"/>
          <a:ext cx="324000" cy="329275"/>
          <a:chOff x="66675" y="4972050"/>
          <a:chExt cx="324000" cy="325465"/>
        </a:xfrm>
      </xdr:grpSpPr>
      <xdr:sp macro="" textlink="">
        <xdr:nvSpPr>
          <xdr:cNvPr id="16" name="Rechteck 15">
            <a:extLst>
              <a:ext uri="{FF2B5EF4-FFF2-40B4-BE49-F238E27FC236}">
                <a16:creationId xmlns:a16="http://schemas.microsoft.com/office/drawing/2014/main" id="{00000000-0008-0000-0F00-000010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" name="Pfeil nach oben 16">
            <a:extLst>
              <a:ext uri="{FF2B5EF4-FFF2-40B4-BE49-F238E27FC236}">
                <a16:creationId xmlns:a16="http://schemas.microsoft.com/office/drawing/2014/main" id="{00000000-0008-0000-0F00-000011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>
    <xdr:from>
      <xdr:col>10</xdr:col>
      <xdr:colOff>247649</xdr:colOff>
      <xdr:row>65</xdr:row>
      <xdr:rowOff>95250</xdr:rowOff>
    </xdr:from>
    <xdr:to>
      <xdr:col>26</xdr:col>
      <xdr:colOff>190500</xdr:colOff>
      <xdr:row>75</xdr:row>
      <xdr:rowOff>166688</xdr:rowOff>
    </xdr:to>
    <xdr:graphicFrame macro="">
      <xdr:nvGraphicFramePr>
        <xdr:cNvPr id="18" name="Diagramm 17">
          <a:extLst>
            <a:ext uri="{FF2B5EF4-FFF2-40B4-BE49-F238E27FC236}">
              <a16:creationId xmlns:a16="http://schemas.microsoft.com/office/drawing/2014/main" id="{00000000-0008-0000-0F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3</xdr:row>
          <xdr:rowOff>66674</xdr:rowOff>
        </xdr:from>
        <xdr:to>
          <xdr:col>4</xdr:col>
          <xdr:colOff>1933574</xdr:colOff>
          <xdr:row>23</xdr:row>
          <xdr:rowOff>295277</xdr:rowOff>
        </xdr:to>
        <xdr:pic>
          <xdr:nvPicPr>
            <xdr:cNvPr id="19" name="Grafik 18">
              <a:extLst>
                <a:ext uri="{FF2B5EF4-FFF2-40B4-BE49-F238E27FC236}">
                  <a16:creationId xmlns:a16="http://schemas.microsoft.com/office/drawing/2014/main" id="{00000000-0008-0000-0F00-00001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K$65:$AA$77" spid="_x0000_s19123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 rot="5400000">
              <a:off x="1895473" y="3562351"/>
              <a:ext cx="7124703" cy="1828799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10</xdr:col>
      <xdr:colOff>66674</xdr:colOff>
      <xdr:row>78</xdr:row>
      <xdr:rowOff>76200</xdr:rowOff>
    </xdr:from>
    <xdr:to>
      <xdr:col>26</xdr:col>
      <xdr:colOff>200025</xdr:colOff>
      <xdr:row>89</xdr:row>
      <xdr:rowOff>157163</xdr:rowOff>
    </xdr:to>
    <xdr:graphicFrame macro="">
      <xdr:nvGraphicFramePr>
        <xdr:cNvPr id="20" name="Diagramm 19">
          <a:extLst>
            <a:ext uri="{FF2B5EF4-FFF2-40B4-BE49-F238E27FC236}">
              <a16:creationId xmlns:a16="http://schemas.microsoft.com/office/drawing/2014/main" id="{00000000-0008-0000-0F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23</xdr:row>
          <xdr:rowOff>404820</xdr:rowOff>
        </xdr:from>
        <xdr:to>
          <xdr:col>4</xdr:col>
          <xdr:colOff>1857375</xdr:colOff>
          <xdr:row>44</xdr:row>
          <xdr:rowOff>0</xdr:rowOff>
        </xdr:to>
        <xdr:pic>
          <xdr:nvPicPr>
            <xdr:cNvPr id="21" name="Grafik 20">
              <a:extLst>
                <a:ext uri="{FF2B5EF4-FFF2-40B4-BE49-F238E27FC236}">
                  <a16:creationId xmlns:a16="http://schemas.microsoft.com/office/drawing/2014/main" id="{00000000-0008-0000-0F00-00001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K$79:$AA$90" spid="_x0000_s19124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 rot="5400000">
              <a:off x="2212185" y="10470360"/>
              <a:ext cx="6491280" cy="16764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4</xdr:col>
      <xdr:colOff>1028700</xdr:colOff>
      <xdr:row>4</xdr:row>
      <xdr:rowOff>114300</xdr:rowOff>
    </xdr:from>
    <xdr:to>
      <xdr:col>4</xdr:col>
      <xdr:colOff>1028700</xdr:colOff>
      <xdr:row>23</xdr:row>
      <xdr:rowOff>209550</xdr:rowOff>
    </xdr:to>
    <xdr:cxnSp macro="">
      <xdr:nvCxnSpPr>
        <xdr:cNvPr id="22" name="Gerade Verbindung 3">
          <a:extLst>
            <a:ext uri="{FF2B5EF4-FFF2-40B4-BE49-F238E27FC236}">
              <a16:creationId xmlns:a16="http://schemas.microsoft.com/office/drawing/2014/main" id="{00000000-0008-0000-0F00-000016000000}"/>
            </a:ext>
          </a:extLst>
        </xdr:cNvPr>
        <xdr:cNvCxnSpPr/>
      </xdr:nvCxnSpPr>
      <xdr:spPr>
        <a:xfrm>
          <a:off x="5467350" y="1123950"/>
          <a:ext cx="0" cy="6743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1009650</xdr:colOff>
      <xdr:row>23</xdr:row>
      <xdr:rowOff>657225</xdr:rowOff>
    </xdr:from>
    <xdr:to>
      <xdr:col>4</xdr:col>
      <xdr:colOff>1033463</xdr:colOff>
      <xdr:row>43</xdr:row>
      <xdr:rowOff>47626</xdr:rowOff>
    </xdr:to>
    <xdr:cxnSp macro="">
      <xdr:nvCxnSpPr>
        <xdr:cNvPr id="23" name="Gerade Verbindung 46">
          <a:extLst>
            <a:ext uri="{FF2B5EF4-FFF2-40B4-BE49-F238E27FC236}">
              <a16:creationId xmlns:a16="http://schemas.microsoft.com/office/drawing/2014/main" id="{00000000-0008-0000-0F00-000017000000}"/>
            </a:ext>
          </a:extLst>
        </xdr:cNvPr>
        <xdr:cNvCxnSpPr/>
      </xdr:nvCxnSpPr>
      <xdr:spPr>
        <a:xfrm>
          <a:off x="5429250" y="7734300"/>
          <a:ext cx="23813" cy="6124576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32" name="Gruppieren 3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F00-000020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33" name="Rechteck 32">
            <a:extLst>
              <a:ext uri="{FF2B5EF4-FFF2-40B4-BE49-F238E27FC236}">
                <a16:creationId xmlns:a16="http://schemas.microsoft.com/office/drawing/2014/main" id="{00000000-0008-0000-0F00-00002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4" name="Pfeil nach links 33">
            <a:extLst>
              <a:ext uri="{FF2B5EF4-FFF2-40B4-BE49-F238E27FC236}">
                <a16:creationId xmlns:a16="http://schemas.microsoft.com/office/drawing/2014/main" id="{00000000-0008-0000-0F00-00002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1531620</xdr:colOff>
          <xdr:row>0</xdr:row>
          <xdr:rowOff>30480</xdr:rowOff>
        </xdr:from>
        <xdr:to>
          <xdr:col>7</xdr:col>
          <xdr:colOff>285750</xdr:colOff>
          <xdr:row>1</xdr:row>
          <xdr:rowOff>0</xdr:rowOff>
        </xdr:to>
        <xdr:pic>
          <xdr:nvPicPr>
            <xdr:cNvPr id="24" name="Grafik 45">
              <a:extLst>
                <a:ext uri="{FF2B5EF4-FFF2-40B4-BE49-F238E27FC236}">
                  <a16:creationId xmlns:a16="http://schemas.microsoft.com/office/drawing/2014/main" id="{00000000-0008-0000-0F00-00001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9125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519160" y="3048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2057399</xdr:colOff>
      <xdr:row>3</xdr:row>
      <xdr:rowOff>133350</xdr:rowOff>
    </xdr:from>
    <xdr:to>
      <xdr:col>6</xdr:col>
      <xdr:colOff>2714624</xdr:colOff>
      <xdr:row>6</xdr:row>
      <xdr:rowOff>129184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77222" t="9346" r="10763" b="61371"/>
        <a:stretch/>
      </xdr:blipFill>
      <xdr:spPr bwMode="auto">
        <a:xfrm>
          <a:off x="10915649" y="1171575"/>
          <a:ext cx="657225" cy="6435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2105026</xdr:colOff>
      <xdr:row>3</xdr:row>
      <xdr:rowOff>104776</xdr:rowOff>
    </xdr:from>
    <xdr:to>
      <xdr:col>8</xdr:col>
      <xdr:colOff>59055</xdr:colOff>
      <xdr:row>7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3129" t="2492" r="84481" b="63240"/>
        <a:stretch/>
      </xdr:blipFill>
      <xdr:spPr bwMode="auto">
        <a:xfrm>
          <a:off x="13677901" y="1143001"/>
          <a:ext cx="668654" cy="733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609267</xdr:colOff>
      <xdr:row>3</xdr:row>
      <xdr:rowOff>85725</xdr:rowOff>
    </xdr:from>
    <xdr:to>
      <xdr:col>6</xdr:col>
      <xdr:colOff>105109</xdr:colOff>
      <xdr:row>7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7534" t="5297" r="56446" b="59189"/>
        <a:stretch/>
      </xdr:blipFill>
      <xdr:spPr bwMode="auto">
        <a:xfrm>
          <a:off x="8086392" y="1123950"/>
          <a:ext cx="876967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1962150</xdr:colOff>
      <xdr:row>21</xdr:row>
      <xdr:rowOff>19051</xdr:rowOff>
    </xdr:from>
    <xdr:to>
      <xdr:col>7</xdr:col>
      <xdr:colOff>71269</xdr:colOff>
      <xdr:row>24</xdr:row>
      <xdr:rowOff>11699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52889" t="5919" r="29286" b="58567"/>
        <a:stretch/>
      </xdr:blipFill>
      <xdr:spPr bwMode="auto">
        <a:xfrm>
          <a:off x="10820400" y="4419601"/>
          <a:ext cx="823744" cy="640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466725</xdr:colOff>
      <xdr:row>36</xdr:row>
      <xdr:rowOff>142875</xdr:rowOff>
    </xdr:from>
    <xdr:to>
      <xdr:col>5</xdr:col>
      <xdr:colOff>46500</xdr:colOff>
      <xdr:row>40</xdr:row>
      <xdr:rowOff>76200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81250" t="12592" r="3728" b="53622"/>
        <a:stretch/>
      </xdr:blipFill>
      <xdr:spPr bwMode="auto">
        <a:xfrm>
          <a:off x="6562725" y="7410450"/>
          <a:ext cx="960900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1905000</xdr:colOff>
      <xdr:row>35</xdr:row>
      <xdr:rowOff>152399</xdr:rowOff>
    </xdr:from>
    <xdr:to>
      <xdr:col>7</xdr:col>
      <xdr:colOff>2689292</xdr:colOff>
      <xdr:row>40</xdr:row>
      <xdr:rowOff>68872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083" t="4479" r="85088" b="52214"/>
        <a:stretch/>
      </xdr:blipFill>
      <xdr:spPr bwMode="auto">
        <a:xfrm>
          <a:off x="13477875" y="7229474"/>
          <a:ext cx="784292" cy="9451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1991167</xdr:colOff>
      <xdr:row>20</xdr:row>
      <xdr:rowOff>19050</xdr:rowOff>
    </xdr:from>
    <xdr:to>
      <xdr:col>4</xdr:col>
      <xdr:colOff>28576</xdr:colOff>
      <xdr:row>25</xdr:row>
      <xdr:rowOff>47626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22478" t="8778" r="66009" b="51600"/>
        <a:stretch/>
      </xdr:blipFill>
      <xdr:spPr bwMode="auto">
        <a:xfrm>
          <a:off x="5372542" y="4238625"/>
          <a:ext cx="752034" cy="10572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2038350</xdr:colOff>
      <xdr:row>3</xdr:row>
      <xdr:rowOff>95250</xdr:rowOff>
    </xdr:from>
    <xdr:to>
      <xdr:col>4</xdr:col>
      <xdr:colOff>147458</xdr:colOff>
      <xdr:row>7</xdr:row>
      <xdr:rowOff>95250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42105" t="9828" r="46601" b="57615"/>
        <a:stretch/>
      </xdr:blipFill>
      <xdr:spPr bwMode="auto">
        <a:xfrm>
          <a:off x="5419725" y="1133475"/>
          <a:ext cx="823733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1962150</xdr:colOff>
      <xdr:row>4</xdr:row>
      <xdr:rowOff>38099</xdr:rowOff>
    </xdr:from>
    <xdr:to>
      <xdr:col>3</xdr:col>
      <xdr:colOff>0</xdr:colOff>
      <xdr:row>6</xdr:row>
      <xdr:rowOff>179178</xdr:rowOff>
    </xdr:to>
    <xdr:pic>
      <xdr:nvPicPr>
        <xdr:cNvPr id="10" name="Picture 2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</a:blip>
        <a:srcRect l="62172" t="13821" r="24451" b="56386"/>
        <a:stretch/>
      </xdr:blipFill>
      <xdr:spPr bwMode="auto">
        <a:xfrm>
          <a:off x="2628900" y="1266824"/>
          <a:ext cx="752475" cy="5982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1266825</xdr:colOff>
      <xdr:row>50</xdr:row>
      <xdr:rowOff>180975</xdr:rowOff>
    </xdr:from>
    <xdr:to>
      <xdr:col>9</xdr:col>
      <xdr:colOff>113337</xdr:colOff>
      <xdr:row>52</xdr:row>
      <xdr:rowOff>10225</xdr:rowOff>
    </xdr:to>
    <xdr:sp macro="" textlink="">
      <xdr:nvSpPr>
        <xdr:cNvPr id="11" name="ZoneText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/>
      </xdr:nvSpPr>
      <xdr:spPr>
        <a:xfrm>
          <a:off x="12839700" y="10410825"/>
          <a:ext cx="1837362" cy="210250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de-DE"/>
          </a:defPPr>
          <a:lvl1pPr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Times" pitchFamily="18" charset="0"/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sz="3200" b="1" kern="1200">
              <a:solidFill>
                <a:srgbClr val="000099"/>
              </a:solidFill>
              <a:latin typeface="Arial" pitchFamily="34" charset="0"/>
              <a:ea typeface="+mn-ea"/>
              <a:cs typeface="+mn-cs"/>
            </a:defRPr>
          </a:lvl9pPr>
        </a:lstStyle>
        <a:p>
          <a:pPr algn="l"/>
          <a:fld id="{03158EC7-72FF-4733-A8EC-ACDE94CA1D43}" type="TxLink">
            <a:rPr lang="fr-CH" sz="800" b="0" u="sng">
              <a:solidFill>
                <a:schemeClr val="tx1">
                  <a:lumMod val="50000"/>
                  <a:lumOff val="50000"/>
                </a:schemeClr>
              </a:solidFill>
            </a:rPr>
            <a:pPr algn="l"/>
            <a:t>Source: Osterwalder&amp;Pigneur</a:t>
          </a:fld>
          <a:endParaRPr lang="fr-CH" sz="800" b="0" u="sng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2</xdr:col>
      <xdr:colOff>0</xdr:colOff>
      <xdr:row>54</xdr:row>
      <xdr:rowOff>142875</xdr:rowOff>
    </xdr:from>
    <xdr:to>
      <xdr:col>8</xdr:col>
      <xdr:colOff>28575</xdr:colOff>
      <xdr:row>70</xdr:row>
      <xdr:rowOff>1742</xdr:rowOff>
    </xdr:to>
    <xdr:grpSp>
      <xdr:nvGrpSpPr>
        <xdr:cNvPr id="12" name="Gruppieren 11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GrpSpPr/>
      </xdr:nvGrpSpPr>
      <xdr:grpSpPr>
        <a:xfrm>
          <a:off x="685800" y="10795635"/>
          <a:ext cx="14018895" cy="2784947"/>
          <a:chOff x="257150" y="9858375"/>
          <a:chExt cx="16214154" cy="2873315"/>
        </a:xfrm>
      </xdr:grpSpPr>
      <xdr:pic>
        <xdr:nvPicPr>
          <xdr:cNvPr id="13" name="Picture 2">
            <a:extLst>
              <a:ext uri="{FF2B5EF4-FFF2-40B4-BE49-F238E27FC236}">
                <a16:creationId xmlns:a16="http://schemas.microsoft.com/office/drawing/2014/main" id="{00000000-0008-0000-1000-00000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duotone>
              <a:prstClr val="black"/>
              <a:schemeClr val="accent1">
                <a:lumMod val="20000"/>
                <a:lumOff val="80000"/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7150" y="9858375"/>
            <a:ext cx="7314756" cy="287331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</xdr:pic>
      <xdr:pic>
        <xdr:nvPicPr>
          <xdr:cNvPr id="14" name="Picture 2">
            <a:extLst>
              <a:ext uri="{FF2B5EF4-FFF2-40B4-BE49-F238E27FC236}">
                <a16:creationId xmlns:a16="http://schemas.microsoft.com/office/drawing/2014/main" id="{00000000-0008-0000-1000-00000E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duotone>
              <a:prstClr val="black"/>
              <a:schemeClr val="accent1">
                <a:lumMod val="20000"/>
                <a:lumOff val="80000"/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2222" r="1031" b="2980"/>
          <a:stretch/>
        </xdr:blipFill>
        <xdr:spPr bwMode="auto">
          <a:xfrm>
            <a:off x="7515225" y="9859119"/>
            <a:ext cx="8956079" cy="286702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chemeClr val="bg2"/>
                  </a:outerShdw>
                </a:effectLst>
              </a14:hiddenEffects>
            </a:ext>
          </a:extLst>
        </xdr:spPr>
      </xdr:pic>
    </xdr:grpSp>
    <xdr:clientData/>
  </xdr:twoCellAnchor>
  <xdr:oneCellAnchor>
    <xdr:from>
      <xdr:col>2</xdr:col>
      <xdr:colOff>190501</xdr:colOff>
      <xdr:row>6</xdr:row>
      <xdr:rowOff>38100</xdr:rowOff>
    </xdr:from>
    <xdr:ext cx="914399" cy="840600"/>
    <xdr:sp macro="" textlink="' '!A497">
      <xdr:nvSpPr>
        <xdr:cNvPr id="15" name="Gefaltete Ecke 1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/>
      </xdr:nvSpPr>
      <xdr:spPr>
        <a:xfrm>
          <a:off x="876301" y="1706880"/>
          <a:ext cx="914399" cy="84060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ED605321-6343-4A63-BFD9-21EEE394CB24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Quels sont les partenaires et les fournisseurs qui m’apportent une plus-value ? 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2</xdr:col>
      <xdr:colOff>1676401</xdr:colOff>
      <xdr:row>7</xdr:row>
      <xdr:rowOff>38100</xdr:rowOff>
    </xdr:from>
    <xdr:ext cx="914399" cy="336240"/>
    <xdr:sp macro="" textlink="' '!A499">
      <xdr:nvSpPr>
        <xdr:cNvPr id="16" name="Gefaltete Ecke 15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/>
      </xdr:nvSpPr>
      <xdr:spPr>
        <a:xfrm>
          <a:off x="2343151" y="1924050"/>
          <a:ext cx="9143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B1F5ADD7-5F33-44FF-8CC6-992BE6B27C7A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De qui suis-je dépendant 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3</xdr:col>
      <xdr:colOff>85726</xdr:colOff>
      <xdr:row>6</xdr:row>
      <xdr:rowOff>95250</xdr:rowOff>
    </xdr:from>
    <xdr:ext cx="914399" cy="504360"/>
    <xdr:sp macro="" textlink="' '!A501">
      <xdr:nvSpPr>
        <xdr:cNvPr id="17" name="Gefaltete Ecke 16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/>
      </xdr:nvSpPr>
      <xdr:spPr>
        <a:xfrm>
          <a:off x="3560446" y="1764030"/>
          <a:ext cx="91439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0ECE6927-846E-43CE-829E-464DDCA2C3FE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Quelles sont mes activités principales 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3</xdr:col>
      <xdr:colOff>1143001</xdr:colOff>
      <xdr:row>6</xdr:row>
      <xdr:rowOff>38100</xdr:rowOff>
    </xdr:from>
    <xdr:ext cx="914399" cy="504360"/>
    <xdr:sp macro="" textlink="' '!A502">
      <xdr:nvSpPr>
        <xdr:cNvPr id="18" name="Gefaltete Ecke 17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SpPr/>
      </xdr:nvSpPr>
      <xdr:spPr>
        <a:xfrm>
          <a:off x="4617721" y="1706880"/>
          <a:ext cx="91439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0DBF5D2F-D3E3-44C1-9EF0-F8BD86F94809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Quelle est l’expertise nécessaire 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3</xdr:col>
      <xdr:colOff>1708786</xdr:colOff>
      <xdr:row>8</xdr:row>
      <xdr:rowOff>81915</xdr:rowOff>
    </xdr:from>
    <xdr:ext cx="914399" cy="336240"/>
    <xdr:sp macro="" textlink="' '!A503">
      <xdr:nvSpPr>
        <xdr:cNvPr id="19" name="Gefaltete Ecke 18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SpPr/>
      </xdr:nvSpPr>
      <xdr:spPr>
        <a:xfrm>
          <a:off x="5090161" y="2158365"/>
          <a:ext cx="9143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38EAE2C1-3EC8-4C5C-BBAB-B74DE0BC3D49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Qu’est-ce qui est indispensable 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4</xdr:col>
      <xdr:colOff>104776</xdr:colOff>
      <xdr:row>6</xdr:row>
      <xdr:rowOff>142875</xdr:rowOff>
    </xdr:from>
    <xdr:ext cx="914399" cy="336240"/>
    <xdr:sp macro="" textlink="' '!A482">
      <xdr:nvSpPr>
        <xdr:cNvPr id="20" name="Gefaltete Ecke 19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SpPr/>
      </xdr:nvSpPr>
      <xdr:spPr>
        <a:xfrm>
          <a:off x="6200776" y="1838325"/>
          <a:ext cx="9143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9FF837A6-4F5B-4482-9A39-BF29EDC17838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Qu’offrez vous aux clients 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4</xdr:col>
      <xdr:colOff>638176</xdr:colOff>
      <xdr:row>8</xdr:row>
      <xdr:rowOff>123825</xdr:rowOff>
    </xdr:from>
    <xdr:ext cx="914399" cy="672479"/>
    <xdr:sp macro="" textlink="' '!A483">
      <xdr:nvSpPr>
        <xdr:cNvPr id="21" name="Gefaltete Ecke 20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SpPr/>
      </xdr:nvSpPr>
      <xdr:spPr>
        <a:xfrm>
          <a:off x="6901816" y="2158365"/>
          <a:ext cx="914399" cy="672479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8D772EC6-106E-4021-A9F0-BD4D7F880595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Quels sont les produits qu’ils désirent véritablement 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5</xdr:col>
      <xdr:colOff>285751</xdr:colOff>
      <xdr:row>7</xdr:row>
      <xdr:rowOff>133349</xdr:rowOff>
    </xdr:from>
    <xdr:ext cx="1000124" cy="168120"/>
    <xdr:sp macro="" textlink="' '!A484">
      <xdr:nvSpPr>
        <xdr:cNvPr id="22" name="Gefaltete Ecke 21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SpPr/>
      </xdr:nvSpPr>
      <xdr:spPr>
        <a:xfrm>
          <a:off x="7966711" y="1985009"/>
          <a:ext cx="1000124" cy="16812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7E8BB26D-79B6-4DCE-BA43-88D56A96D1B7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Sont-ils intéressés 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3</xdr:col>
      <xdr:colOff>66676</xdr:colOff>
      <xdr:row>23</xdr:row>
      <xdr:rowOff>85725</xdr:rowOff>
    </xdr:from>
    <xdr:ext cx="971549" cy="504360"/>
    <xdr:sp macro="" textlink="' '!A494">
      <xdr:nvSpPr>
        <xdr:cNvPr id="23" name="Gefaltete Ecke 22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SpPr/>
      </xdr:nvSpPr>
      <xdr:spPr>
        <a:xfrm>
          <a:off x="3448051" y="5095875"/>
          <a:ext cx="97154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769AF647-8CB8-4DA3-8565-5199C9CA2FA8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Quelles sont les compétences clés indispensables?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3</xdr:col>
      <xdr:colOff>1809751</xdr:colOff>
      <xdr:row>25</xdr:row>
      <xdr:rowOff>9525</xdr:rowOff>
    </xdr:from>
    <xdr:ext cx="914399" cy="504360"/>
    <xdr:sp macro="" textlink="' '!A495">
      <xdr:nvSpPr>
        <xdr:cNvPr id="24" name="Gefaltete Ecke 23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SpPr/>
      </xdr:nvSpPr>
      <xdr:spPr>
        <a:xfrm>
          <a:off x="5284471" y="5244465"/>
          <a:ext cx="914399" cy="50436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B80BB15D-DE7E-4F74-AFEA-D4740FB1CF5B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Quelles sont les ressources indispensables?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3</xdr:col>
      <xdr:colOff>1143001</xdr:colOff>
      <xdr:row>23</xdr:row>
      <xdr:rowOff>47625</xdr:rowOff>
    </xdr:from>
    <xdr:ext cx="914399" cy="336240"/>
    <xdr:sp macro="" textlink="' '!A496">
      <xdr:nvSpPr>
        <xdr:cNvPr id="25" name="Gefaltete Ecke 24"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SpPr/>
      </xdr:nvSpPr>
      <xdr:spPr>
        <a:xfrm>
          <a:off x="4524376" y="5057775"/>
          <a:ext cx="9143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BC04838A-D532-4318-B60D-76B52C5A2E54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Quels sont mes « atouts » 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6</xdr:col>
      <xdr:colOff>104776</xdr:colOff>
      <xdr:row>6</xdr:row>
      <xdr:rowOff>57149</xdr:rowOff>
    </xdr:from>
    <xdr:ext cx="1323974" cy="1176840"/>
    <xdr:sp macro="" textlink="' '!A485">
      <xdr:nvSpPr>
        <xdr:cNvPr id="26" name="Gefaltete Ecke 25">
          <a:extLst>
            <a:ext uri="{FF2B5EF4-FFF2-40B4-BE49-F238E27FC236}">
              <a16:creationId xmlns:a16="http://schemas.microsoft.com/office/drawing/2014/main" id="{00000000-0008-0000-1000-00001A000000}"/>
            </a:ext>
          </a:extLst>
        </xdr:cNvPr>
        <xdr:cNvSpPr/>
      </xdr:nvSpPr>
      <xdr:spPr>
        <a:xfrm>
          <a:off x="9203056" y="1725929"/>
          <a:ext cx="1323974" cy="11768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DCB9CAE7-AC08-4D30-86EF-8B041013AF6A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Quelles sont les relations que vous souhaitez entretenir avec les différents segments de clients ? Relations personnelles ? Virtuelles ? Réservées ? etc.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6</xdr:col>
      <xdr:colOff>1495426</xdr:colOff>
      <xdr:row>7</xdr:row>
      <xdr:rowOff>0</xdr:rowOff>
    </xdr:from>
    <xdr:ext cx="1000124" cy="336240"/>
    <xdr:sp macro="" textlink="' '!A488">
      <xdr:nvSpPr>
        <xdr:cNvPr id="27" name="Gefaltete Ecke 26">
          <a:extLst>
            <a:ext uri="{FF2B5EF4-FFF2-40B4-BE49-F238E27FC236}">
              <a16:creationId xmlns:a16="http://schemas.microsoft.com/office/drawing/2014/main" id="{00000000-0008-0000-1000-00001B000000}"/>
            </a:ext>
          </a:extLst>
        </xdr:cNvPr>
        <xdr:cNvSpPr/>
      </xdr:nvSpPr>
      <xdr:spPr>
        <a:xfrm>
          <a:off x="10353676" y="1885950"/>
          <a:ext cx="1000124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9DE0D156-E4A6-4B9F-A8C8-7569F714AF48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Comment atteindre le client 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6</xdr:col>
      <xdr:colOff>66676</xdr:colOff>
      <xdr:row>23</xdr:row>
      <xdr:rowOff>38099</xdr:rowOff>
    </xdr:from>
    <xdr:ext cx="914399" cy="672479"/>
    <xdr:sp macro="" textlink="' '!A492">
      <xdr:nvSpPr>
        <xdr:cNvPr id="28" name="Gefaltete Ecke 27">
          <a:extLst>
            <a:ext uri="{FF2B5EF4-FFF2-40B4-BE49-F238E27FC236}">
              <a16:creationId xmlns:a16="http://schemas.microsoft.com/office/drawing/2014/main" id="{00000000-0008-0000-1000-00001C000000}"/>
            </a:ext>
          </a:extLst>
        </xdr:cNvPr>
        <xdr:cNvSpPr/>
      </xdr:nvSpPr>
      <xdr:spPr>
        <a:xfrm>
          <a:off x="9164956" y="4899659"/>
          <a:ext cx="914399" cy="672479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03ADA997-0C14-4575-B930-04BA28EB8942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Comment les clients souhaitent-ils être fournis ? 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6</xdr:col>
      <xdr:colOff>1104901</xdr:colOff>
      <xdr:row>23</xdr:row>
      <xdr:rowOff>133350</xdr:rowOff>
    </xdr:from>
    <xdr:ext cx="1104899" cy="336240"/>
    <xdr:sp macro="" textlink="' '!A493">
      <xdr:nvSpPr>
        <xdr:cNvPr id="29" name="Gefaltete Ecke 28">
          <a:extLst>
            <a:ext uri="{FF2B5EF4-FFF2-40B4-BE49-F238E27FC236}">
              <a16:creationId xmlns:a16="http://schemas.microsoft.com/office/drawing/2014/main" id="{00000000-0008-0000-1000-00001D000000}"/>
            </a:ext>
          </a:extLst>
        </xdr:cNvPr>
        <xdr:cNvSpPr/>
      </xdr:nvSpPr>
      <xdr:spPr>
        <a:xfrm>
          <a:off x="9963151" y="5143500"/>
          <a:ext cx="11048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B91006A9-F486-46FF-AB74-8E90E8F03696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Quels sont les canaux de distribution 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7</xdr:col>
      <xdr:colOff>85726</xdr:colOff>
      <xdr:row>6</xdr:row>
      <xdr:rowOff>104774</xdr:rowOff>
    </xdr:from>
    <xdr:ext cx="914399" cy="672479"/>
    <xdr:sp macro="" textlink="' '!A492">
      <xdr:nvSpPr>
        <xdr:cNvPr id="30" name="Gefaltete Ecke 29">
          <a:extLst>
            <a:ext uri="{FF2B5EF4-FFF2-40B4-BE49-F238E27FC236}">
              <a16:creationId xmlns:a16="http://schemas.microsoft.com/office/drawing/2014/main" id="{00000000-0008-0000-1000-00001E000000}"/>
            </a:ext>
          </a:extLst>
        </xdr:cNvPr>
        <xdr:cNvSpPr/>
      </xdr:nvSpPr>
      <xdr:spPr>
        <a:xfrm>
          <a:off x="11972926" y="1773554"/>
          <a:ext cx="914399" cy="672479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C438FF7E-5B49-47BB-ADF0-51A12D04977B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Comment les clients souhaitent-ils être fournis ? 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7</xdr:col>
      <xdr:colOff>1266826</xdr:colOff>
      <xdr:row>6</xdr:row>
      <xdr:rowOff>57149</xdr:rowOff>
    </xdr:from>
    <xdr:ext cx="914399" cy="336240"/>
    <xdr:sp macro="" textlink="' '!A490">
      <xdr:nvSpPr>
        <xdr:cNvPr id="31" name="Gefaltete Ecke 30">
          <a:extLst>
            <a:ext uri="{FF2B5EF4-FFF2-40B4-BE49-F238E27FC236}">
              <a16:creationId xmlns:a16="http://schemas.microsoft.com/office/drawing/2014/main" id="{00000000-0008-0000-1000-00001F000000}"/>
            </a:ext>
          </a:extLst>
        </xdr:cNvPr>
        <xdr:cNvSpPr/>
      </xdr:nvSpPr>
      <xdr:spPr>
        <a:xfrm>
          <a:off x="12839701" y="1752599"/>
          <a:ext cx="914399" cy="33624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7699F603-7C18-42BC-A59D-2B383F4981B9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Quels sont leurs besoins 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2</xdr:col>
      <xdr:colOff>123826</xdr:colOff>
      <xdr:row>39</xdr:row>
      <xdr:rowOff>161923</xdr:rowOff>
    </xdr:from>
    <xdr:ext cx="1114424" cy="840600"/>
    <xdr:sp macro="" textlink="' '!A500">
      <xdr:nvSpPr>
        <xdr:cNvPr id="33" name="Gefaltete Ecke 32">
          <a:extLst>
            <a:ext uri="{FF2B5EF4-FFF2-40B4-BE49-F238E27FC236}">
              <a16:creationId xmlns:a16="http://schemas.microsoft.com/office/drawing/2014/main" id="{00000000-0008-0000-1000-000021000000}"/>
            </a:ext>
          </a:extLst>
        </xdr:cNvPr>
        <xdr:cNvSpPr/>
      </xdr:nvSpPr>
      <xdr:spPr>
        <a:xfrm>
          <a:off x="809626" y="8041003"/>
          <a:ext cx="1114424" cy="840600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CDEF1CD7-8BBC-4123-92BB-B82547E225C1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Quelle est la structure des coûts ? Quels sont les éléments clés qui génèrent le plus de coûts 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2</xdr:col>
      <xdr:colOff>228601</xdr:colOff>
      <xdr:row>11</xdr:row>
      <xdr:rowOff>171450</xdr:rowOff>
    </xdr:from>
    <xdr:ext cx="933449" cy="168120"/>
    <xdr:sp macro="" textlink="" fLocksText="0">
      <xdr:nvSpPr>
        <xdr:cNvPr id="77" name="Gefaltete Ecke 76">
          <a:extLst>
            <a:ext uri="{FF2B5EF4-FFF2-40B4-BE49-F238E27FC236}">
              <a16:creationId xmlns:a16="http://schemas.microsoft.com/office/drawing/2014/main" id="{00000000-0008-0000-1000-00004D000000}"/>
            </a:ext>
          </a:extLst>
        </xdr:cNvPr>
        <xdr:cNvSpPr/>
      </xdr:nvSpPr>
      <xdr:spPr>
        <a:xfrm>
          <a:off x="900954" y="2827244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twoCellAnchor editAs="oneCell">
    <xdr:from>
      <xdr:col>7</xdr:col>
      <xdr:colOff>2524125</xdr:colOff>
      <xdr:row>1</xdr:row>
      <xdr:rowOff>57150</xdr:rowOff>
    </xdr:from>
    <xdr:to>
      <xdr:col>7</xdr:col>
      <xdr:colOff>2696925</xdr:colOff>
      <xdr:row>1</xdr:row>
      <xdr:rowOff>229950</xdr:rowOff>
    </xdr:to>
    <xdr:grpSp>
      <xdr:nvGrpSpPr>
        <xdr:cNvPr id="173" name="Gruppieren 17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000-0000AD000000}"/>
            </a:ext>
          </a:extLst>
        </xdr:cNvPr>
        <xdr:cNvGrpSpPr/>
      </xdr:nvGrpSpPr>
      <xdr:grpSpPr>
        <a:xfrm>
          <a:off x="14411325" y="621030"/>
          <a:ext cx="172800" cy="172800"/>
          <a:chOff x="8105775" y="571500"/>
          <a:chExt cx="172800" cy="172800"/>
        </a:xfrm>
      </xdr:grpSpPr>
      <xdr:sp macro="" textlink="">
        <xdr:nvSpPr>
          <xdr:cNvPr id="174" name="Rechteck 173">
            <a:extLst>
              <a:ext uri="{FF2B5EF4-FFF2-40B4-BE49-F238E27FC236}">
                <a16:creationId xmlns:a16="http://schemas.microsoft.com/office/drawing/2014/main" id="{00000000-0008-0000-1000-0000AE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5" name="Textfeld 174">
            <a:extLst>
              <a:ext uri="{FF2B5EF4-FFF2-40B4-BE49-F238E27FC236}">
                <a16:creationId xmlns:a16="http://schemas.microsoft.com/office/drawing/2014/main" id="{00000000-0008-0000-1000-0000AF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5</xdr:row>
      <xdr:rowOff>0</xdr:rowOff>
    </xdr:from>
    <xdr:to>
      <xdr:col>0</xdr:col>
      <xdr:colOff>400200</xdr:colOff>
      <xdr:row>6</xdr:row>
      <xdr:rowOff>58765</xdr:rowOff>
    </xdr:to>
    <xdr:grpSp>
      <xdr:nvGrpSpPr>
        <xdr:cNvPr id="206" name="Gruppieren 20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000-0000CE000000}"/>
            </a:ext>
          </a:extLst>
        </xdr:cNvPr>
        <xdr:cNvGrpSpPr/>
      </xdr:nvGrpSpPr>
      <xdr:grpSpPr>
        <a:xfrm>
          <a:off x="76200" y="1432560"/>
          <a:ext cx="324000" cy="325465"/>
          <a:chOff x="12020550" y="2171700"/>
          <a:chExt cx="324000" cy="325465"/>
        </a:xfrm>
      </xdr:grpSpPr>
      <xdr:sp macro="" textlink="">
        <xdr:nvSpPr>
          <xdr:cNvPr id="207" name="Rechteck 206">
            <a:extLst>
              <a:ext uri="{FF2B5EF4-FFF2-40B4-BE49-F238E27FC236}">
                <a16:creationId xmlns:a16="http://schemas.microsoft.com/office/drawing/2014/main" id="{00000000-0008-0000-1000-0000CF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8" name="Pfeil nach rechts 207">
            <a:extLst>
              <a:ext uri="{FF2B5EF4-FFF2-40B4-BE49-F238E27FC236}">
                <a16:creationId xmlns:a16="http://schemas.microsoft.com/office/drawing/2014/main" id="{00000000-0008-0000-1000-0000D0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0</xdr:col>
      <xdr:colOff>76200</xdr:colOff>
      <xdr:row>6</xdr:row>
      <xdr:rowOff>66675</xdr:rowOff>
    </xdr:from>
    <xdr:ext cx="216000" cy="156518"/>
    <xdr:sp macro="" textlink="">
      <xdr:nvSpPr>
        <xdr:cNvPr id="209" name="Textfeld 208">
          <a:extLst>
            <a:ext uri="{FF2B5EF4-FFF2-40B4-BE49-F238E27FC236}">
              <a16:creationId xmlns:a16="http://schemas.microsoft.com/office/drawing/2014/main" id="{00000000-0008-0000-1000-0000D1000000}"/>
            </a:ext>
          </a:extLst>
        </xdr:cNvPr>
        <xdr:cNvSpPr txBox="1"/>
      </xdr:nvSpPr>
      <xdr:spPr>
        <a:xfrm>
          <a:off x="76200" y="1752600"/>
          <a:ext cx="216000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4BACCC3A-D8DD-4557-B63C-F06A3F0E2CC6}" type="TxLink">
            <a:rPr lang="de-CH" sz="1000" b="1">
              <a:solidFill>
                <a:srgbClr val="FF0000"/>
              </a:solidFill>
            </a:rPr>
            <a:pPr algn="ctr"/>
            <a:t>SW</a:t>
          </a:fld>
          <a:endParaRPr lang="de-CH" sz="1000" b="1">
            <a:solidFill>
              <a:srgbClr val="FF0000"/>
            </a:solidFill>
          </a:endParaRPr>
        </a:p>
      </xdr:txBody>
    </xdr:sp>
    <xdr:clientData/>
  </xdr:oneCellAnchor>
  <xdr:twoCellAnchor editAs="oneCell">
    <xdr:from>
      <xdr:col>0</xdr:col>
      <xdr:colOff>76200</xdr:colOff>
      <xdr:row>7</xdr:row>
      <xdr:rowOff>171449</xdr:rowOff>
    </xdr:from>
    <xdr:to>
      <xdr:col>0</xdr:col>
      <xdr:colOff>400200</xdr:colOff>
      <xdr:row>9</xdr:row>
      <xdr:rowOff>129689</xdr:rowOff>
    </xdr:to>
    <xdr:grpSp>
      <xdr:nvGrpSpPr>
        <xdr:cNvPr id="210" name="Gruppieren 20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1000-0000D2000000}"/>
            </a:ext>
          </a:extLst>
        </xdr:cNvPr>
        <xdr:cNvGrpSpPr>
          <a:grpSpLocks noChangeAspect="1"/>
        </xdr:cNvGrpSpPr>
      </xdr:nvGrpSpPr>
      <xdr:grpSpPr>
        <a:xfrm>
          <a:off x="76200" y="2053589"/>
          <a:ext cx="324000" cy="324000"/>
          <a:chOff x="12020550" y="2171700"/>
          <a:chExt cx="324000" cy="325465"/>
        </a:xfrm>
      </xdr:grpSpPr>
      <xdr:sp macro="" textlink="">
        <xdr:nvSpPr>
          <xdr:cNvPr id="211" name="Rechteck 210">
            <a:extLst>
              <a:ext uri="{FF2B5EF4-FFF2-40B4-BE49-F238E27FC236}">
                <a16:creationId xmlns:a16="http://schemas.microsoft.com/office/drawing/2014/main" id="{00000000-0008-0000-1000-0000D3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2" name="Pfeil nach rechts 211">
            <a:extLst>
              <a:ext uri="{FF2B5EF4-FFF2-40B4-BE49-F238E27FC236}">
                <a16:creationId xmlns:a16="http://schemas.microsoft.com/office/drawing/2014/main" id="{00000000-0008-0000-1000-0000D4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0</xdr:col>
      <xdr:colOff>238125</xdr:colOff>
      <xdr:row>9</xdr:row>
      <xdr:rowOff>123825</xdr:rowOff>
    </xdr:from>
    <xdr:ext cx="180000" cy="156518"/>
    <xdr:sp macro="" textlink="">
      <xdr:nvSpPr>
        <xdr:cNvPr id="213" name="Textfeld 212">
          <a:extLst>
            <a:ext uri="{FF2B5EF4-FFF2-40B4-BE49-F238E27FC236}">
              <a16:creationId xmlns:a16="http://schemas.microsoft.com/office/drawing/2014/main" id="{00000000-0008-0000-1000-0000D5000000}"/>
            </a:ext>
          </a:extLst>
        </xdr:cNvPr>
        <xdr:cNvSpPr txBox="1"/>
      </xdr:nvSpPr>
      <xdr:spPr>
        <a:xfrm>
          <a:off x="238125" y="2352675"/>
          <a:ext cx="180000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72E8A6E1-B832-40AD-A707-4B1C9342A0D9}" type="TxLink">
            <a:rPr lang="de-CH" sz="1000" b="1">
              <a:solidFill>
                <a:srgbClr val="FF0000"/>
              </a:solidFill>
            </a:rPr>
            <a:pPr algn="ctr"/>
            <a:t>OT</a:t>
          </a:fld>
          <a:endParaRPr lang="de-CH" sz="1000" b="1">
            <a:solidFill>
              <a:srgbClr val="FF0000"/>
            </a:solidFill>
          </a:endParaRPr>
        </a:p>
      </xdr:txBody>
    </xdr:sp>
    <xdr:clientData/>
  </xdr:oneCellAnchor>
  <xdr:oneCellAnchor>
    <xdr:from>
      <xdr:col>0</xdr:col>
      <xdr:colOff>257175</xdr:colOff>
      <xdr:row>6</xdr:row>
      <xdr:rowOff>66675</xdr:rowOff>
    </xdr:from>
    <xdr:ext cx="180000" cy="156518"/>
    <xdr:sp macro="" textlink="">
      <xdr:nvSpPr>
        <xdr:cNvPr id="214" name="Textfeld 213">
          <a:extLst>
            <a:ext uri="{FF2B5EF4-FFF2-40B4-BE49-F238E27FC236}">
              <a16:creationId xmlns:a16="http://schemas.microsoft.com/office/drawing/2014/main" id="{00000000-0008-0000-1000-0000D6000000}"/>
            </a:ext>
          </a:extLst>
        </xdr:cNvPr>
        <xdr:cNvSpPr txBox="1"/>
      </xdr:nvSpPr>
      <xdr:spPr>
        <a:xfrm>
          <a:off x="257175" y="1752600"/>
          <a:ext cx="180000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72E8A6E1-B832-40AD-A707-4B1C9342A0D9}" type="TxLink">
            <a:rPr lang="de-CH" sz="1000" b="0">
              <a:solidFill>
                <a:schemeClr val="tx1">
                  <a:lumMod val="50000"/>
                  <a:lumOff val="50000"/>
                </a:schemeClr>
              </a:solidFill>
            </a:rPr>
            <a:pPr algn="ctr"/>
            <a:t>OT</a:t>
          </a:fld>
          <a:endParaRPr lang="de-CH" sz="10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oneCellAnchor>
    <xdr:from>
      <xdr:col>0</xdr:col>
      <xdr:colOff>57150</xdr:colOff>
      <xdr:row>9</xdr:row>
      <xdr:rowOff>123825</xdr:rowOff>
    </xdr:from>
    <xdr:ext cx="216000" cy="156518"/>
    <xdr:sp macro="" textlink="">
      <xdr:nvSpPr>
        <xdr:cNvPr id="215" name="Textfeld 214">
          <a:extLst>
            <a:ext uri="{FF2B5EF4-FFF2-40B4-BE49-F238E27FC236}">
              <a16:creationId xmlns:a16="http://schemas.microsoft.com/office/drawing/2014/main" id="{00000000-0008-0000-1000-0000D7000000}"/>
            </a:ext>
          </a:extLst>
        </xdr:cNvPr>
        <xdr:cNvSpPr txBox="1"/>
      </xdr:nvSpPr>
      <xdr:spPr>
        <a:xfrm>
          <a:off x="57150" y="2352675"/>
          <a:ext cx="216000" cy="156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pPr algn="ctr"/>
          <a:fld id="{4BACCC3A-D8DD-4557-B63C-F06A3F0E2CC6}" type="TxLink">
            <a:rPr lang="de-CH" sz="1000" b="0">
              <a:solidFill>
                <a:schemeClr val="tx1">
                  <a:lumMod val="50000"/>
                  <a:lumOff val="50000"/>
                </a:schemeClr>
              </a:solidFill>
            </a:rPr>
            <a:pPr algn="ctr"/>
            <a:t>SW</a:t>
          </a:fld>
          <a:endParaRPr lang="de-CH" sz="10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oneCellAnchor>
    <xdr:from>
      <xdr:col>5</xdr:col>
      <xdr:colOff>238126</xdr:colOff>
      <xdr:row>39</xdr:row>
      <xdr:rowOff>133348</xdr:rowOff>
    </xdr:from>
    <xdr:ext cx="1114424" cy="1008719"/>
    <xdr:sp macro="" textlink="' '!A491">
      <xdr:nvSpPr>
        <xdr:cNvPr id="255" name="Gefaltete Ecke 254">
          <a:extLst>
            <a:ext uri="{FF2B5EF4-FFF2-40B4-BE49-F238E27FC236}">
              <a16:creationId xmlns:a16="http://schemas.microsoft.com/office/drawing/2014/main" id="{00000000-0008-0000-1000-0000FF000000}"/>
            </a:ext>
          </a:extLst>
        </xdr:cNvPr>
        <xdr:cNvSpPr/>
      </xdr:nvSpPr>
      <xdr:spPr>
        <a:xfrm>
          <a:off x="7919086" y="8012428"/>
          <a:ext cx="1114424" cy="1008719"/>
        </a:xfrm>
        <a:prstGeom prst="foldedCorner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marL="0" indent="0" algn="ctr"/>
          <a:fld id="{DA1C0F68-54CB-408A-BAFD-DE492EF53F76}" type="TxLink"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Quel montant le client est-il d’accord de payer ? Comment le client veut-il payer ? Comment générer des rentrées ?</a:t>
          </a:fld>
          <a:endParaRPr lang="de-CH" sz="9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 fLocksWithSheet="0"/>
  </xdr:oneCellAnchor>
  <xdr:oneCellAnchor>
    <xdr:from>
      <xdr:col>2</xdr:col>
      <xdr:colOff>1590676</xdr:colOff>
      <xdr:row>12</xdr:row>
      <xdr:rowOff>161925</xdr:rowOff>
    </xdr:from>
    <xdr:ext cx="933449" cy="168120"/>
    <xdr:sp macro="" textlink="" fLocksText="0">
      <xdr:nvSpPr>
        <xdr:cNvPr id="256" name="Gefaltete Ecke 255">
          <a:extLst>
            <a:ext uri="{FF2B5EF4-FFF2-40B4-BE49-F238E27FC236}">
              <a16:creationId xmlns:a16="http://schemas.microsoft.com/office/drawing/2014/main" id="{00000000-0008-0000-1000-000000010000}"/>
            </a:ext>
          </a:extLst>
        </xdr:cNvPr>
        <xdr:cNvSpPr/>
      </xdr:nvSpPr>
      <xdr:spPr>
        <a:xfrm>
          <a:off x="2257426" y="30003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361951</xdr:colOff>
      <xdr:row>18</xdr:row>
      <xdr:rowOff>133350</xdr:rowOff>
    </xdr:from>
    <xdr:ext cx="933449" cy="168120"/>
    <xdr:sp macro="" textlink="" fLocksText="0">
      <xdr:nvSpPr>
        <xdr:cNvPr id="257" name="Gefaltete Ecke 256">
          <a:extLst>
            <a:ext uri="{FF2B5EF4-FFF2-40B4-BE49-F238E27FC236}">
              <a16:creationId xmlns:a16="http://schemas.microsoft.com/office/drawing/2014/main" id="{00000000-0008-0000-1000-000001010000}"/>
            </a:ext>
          </a:extLst>
        </xdr:cNvPr>
        <xdr:cNvSpPr/>
      </xdr:nvSpPr>
      <xdr:spPr>
        <a:xfrm>
          <a:off x="1028701" y="41148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609601</xdr:colOff>
      <xdr:row>21</xdr:row>
      <xdr:rowOff>9525</xdr:rowOff>
    </xdr:from>
    <xdr:ext cx="933449" cy="168120"/>
    <xdr:sp macro="" textlink="" fLocksText="0">
      <xdr:nvSpPr>
        <xdr:cNvPr id="258" name="Gefaltete Ecke 257">
          <a:extLst>
            <a:ext uri="{FF2B5EF4-FFF2-40B4-BE49-F238E27FC236}">
              <a16:creationId xmlns:a16="http://schemas.microsoft.com/office/drawing/2014/main" id="{00000000-0008-0000-1000-000002010000}"/>
            </a:ext>
          </a:extLst>
        </xdr:cNvPr>
        <xdr:cNvSpPr/>
      </xdr:nvSpPr>
      <xdr:spPr>
        <a:xfrm>
          <a:off x="1276351" y="45624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819151</xdr:colOff>
      <xdr:row>24</xdr:row>
      <xdr:rowOff>47625</xdr:rowOff>
    </xdr:from>
    <xdr:ext cx="933449" cy="168120"/>
    <xdr:sp macro="" textlink="" fLocksText="0">
      <xdr:nvSpPr>
        <xdr:cNvPr id="259" name="Gefaltete Ecke 258">
          <a:extLst>
            <a:ext uri="{FF2B5EF4-FFF2-40B4-BE49-F238E27FC236}">
              <a16:creationId xmlns:a16="http://schemas.microsoft.com/office/drawing/2014/main" id="{00000000-0008-0000-1000-000003010000}"/>
            </a:ext>
          </a:extLst>
        </xdr:cNvPr>
        <xdr:cNvSpPr/>
      </xdr:nvSpPr>
      <xdr:spPr>
        <a:xfrm>
          <a:off x="1485901" y="52482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361951</xdr:colOff>
      <xdr:row>27</xdr:row>
      <xdr:rowOff>9525</xdr:rowOff>
    </xdr:from>
    <xdr:ext cx="933449" cy="168120"/>
    <xdr:sp macro="" textlink="" fLocksText="0">
      <xdr:nvSpPr>
        <xdr:cNvPr id="260" name="Gefaltete Ecke 259">
          <a:extLst>
            <a:ext uri="{FF2B5EF4-FFF2-40B4-BE49-F238E27FC236}">
              <a16:creationId xmlns:a16="http://schemas.microsoft.com/office/drawing/2014/main" id="{00000000-0008-0000-1000-000004010000}"/>
            </a:ext>
          </a:extLst>
        </xdr:cNvPr>
        <xdr:cNvSpPr/>
      </xdr:nvSpPr>
      <xdr:spPr>
        <a:xfrm>
          <a:off x="1028701" y="57816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1647826</xdr:colOff>
      <xdr:row>17</xdr:row>
      <xdr:rowOff>104775</xdr:rowOff>
    </xdr:from>
    <xdr:ext cx="933449" cy="168120"/>
    <xdr:sp macro="" textlink="" fLocksText="0">
      <xdr:nvSpPr>
        <xdr:cNvPr id="261" name="Gefaltete Ecke 260">
          <a:extLst>
            <a:ext uri="{FF2B5EF4-FFF2-40B4-BE49-F238E27FC236}">
              <a16:creationId xmlns:a16="http://schemas.microsoft.com/office/drawing/2014/main" id="{00000000-0008-0000-1000-000005010000}"/>
            </a:ext>
          </a:extLst>
        </xdr:cNvPr>
        <xdr:cNvSpPr/>
      </xdr:nvSpPr>
      <xdr:spPr>
        <a:xfrm>
          <a:off x="2314576" y="38957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619126</xdr:colOff>
      <xdr:row>14</xdr:row>
      <xdr:rowOff>142875</xdr:rowOff>
    </xdr:from>
    <xdr:ext cx="933449" cy="168120"/>
    <xdr:sp macro="" textlink="" fLocksText="0">
      <xdr:nvSpPr>
        <xdr:cNvPr id="264" name="Gefaltete Ecke 263">
          <a:extLst>
            <a:ext uri="{FF2B5EF4-FFF2-40B4-BE49-F238E27FC236}">
              <a16:creationId xmlns:a16="http://schemas.microsoft.com/office/drawing/2014/main" id="{00000000-0008-0000-1000-000008010000}"/>
            </a:ext>
          </a:extLst>
        </xdr:cNvPr>
        <xdr:cNvSpPr/>
      </xdr:nvSpPr>
      <xdr:spPr>
        <a:xfrm>
          <a:off x="1285876" y="33623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1676401</xdr:colOff>
      <xdr:row>22</xdr:row>
      <xdr:rowOff>104775</xdr:rowOff>
    </xdr:from>
    <xdr:ext cx="933449" cy="168120"/>
    <xdr:sp macro="" textlink="" fLocksText="0">
      <xdr:nvSpPr>
        <xdr:cNvPr id="265" name="Gefaltete Ecke 264">
          <a:extLst>
            <a:ext uri="{FF2B5EF4-FFF2-40B4-BE49-F238E27FC236}">
              <a16:creationId xmlns:a16="http://schemas.microsoft.com/office/drawing/2014/main" id="{00000000-0008-0000-1000-000009010000}"/>
            </a:ext>
          </a:extLst>
        </xdr:cNvPr>
        <xdr:cNvSpPr/>
      </xdr:nvSpPr>
      <xdr:spPr>
        <a:xfrm>
          <a:off x="2343151" y="48482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1638301</xdr:colOff>
      <xdr:row>29</xdr:row>
      <xdr:rowOff>76200</xdr:rowOff>
    </xdr:from>
    <xdr:ext cx="933449" cy="168120"/>
    <xdr:sp macro="" textlink="" fLocksText="0">
      <xdr:nvSpPr>
        <xdr:cNvPr id="266" name="Gefaltete Ecke 265">
          <a:extLst>
            <a:ext uri="{FF2B5EF4-FFF2-40B4-BE49-F238E27FC236}">
              <a16:creationId xmlns:a16="http://schemas.microsoft.com/office/drawing/2014/main" id="{00000000-0008-0000-1000-00000A010000}"/>
            </a:ext>
          </a:extLst>
        </xdr:cNvPr>
        <xdr:cNvSpPr/>
      </xdr:nvSpPr>
      <xdr:spPr>
        <a:xfrm>
          <a:off x="2305051" y="62293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476251</xdr:colOff>
      <xdr:row>31</xdr:row>
      <xdr:rowOff>123825</xdr:rowOff>
    </xdr:from>
    <xdr:ext cx="933449" cy="168120"/>
    <xdr:sp macro="" textlink="" fLocksText="0">
      <xdr:nvSpPr>
        <xdr:cNvPr id="267" name="Gefaltete Ecke 266">
          <a:extLst>
            <a:ext uri="{FF2B5EF4-FFF2-40B4-BE49-F238E27FC236}">
              <a16:creationId xmlns:a16="http://schemas.microsoft.com/office/drawing/2014/main" id="{00000000-0008-0000-1000-00000B010000}"/>
            </a:ext>
          </a:extLst>
        </xdr:cNvPr>
        <xdr:cNvSpPr/>
      </xdr:nvSpPr>
      <xdr:spPr>
        <a:xfrm>
          <a:off x="1143001" y="66579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904876</xdr:colOff>
      <xdr:row>34</xdr:row>
      <xdr:rowOff>95250</xdr:rowOff>
    </xdr:from>
    <xdr:ext cx="933449" cy="168120"/>
    <xdr:sp macro="" textlink="" fLocksText="0">
      <xdr:nvSpPr>
        <xdr:cNvPr id="268" name="Gefaltete Ecke 267">
          <a:extLst>
            <a:ext uri="{FF2B5EF4-FFF2-40B4-BE49-F238E27FC236}">
              <a16:creationId xmlns:a16="http://schemas.microsoft.com/office/drawing/2014/main" id="{00000000-0008-0000-1000-00000C010000}"/>
            </a:ext>
          </a:extLst>
        </xdr:cNvPr>
        <xdr:cNvSpPr/>
      </xdr:nvSpPr>
      <xdr:spPr>
        <a:xfrm>
          <a:off x="1571626" y="72009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1628776</xdr:colOff>
      <xdr:row>10</xdr:row>
      <xdr:rowOff>85724</xdr:rowOff>
    </xdr:from>
    <xdr:ext cx="933449" cy="168120"/>
    <xdr:sp macro="" textlink="" fLocksText="0">
      <xdr:nvSpPr>
        <xdr:cNvPr id="269" name="Gefaltete Ecke 268">
          <a:extLst>
            <a:ext uri="{FF2B5EF4-FFF2-40B4-BE49-F238E27FC236}">
              <a16:creationId xmlns:a16="http://schemas.microsoft.com/office/drawing/2014/main" id="{00000000-0008-0000-1000-00000D010000}"/>
            </a:ext>
          </a:extLst>
        </xdr:cNvPr>
        <xdr:cNvSpPr/>
      </xdr:nvSpPr>
      <xdr:spPr>
        <a:xfrm>
          <a:off x="2301129" y="2551018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133351</xdr:colOff>
      <xdr:row>12</xdr:row>
      <xdr:rowOff>161925</xdr:rowOff>
    </xdr:from>
    <xdr:ext cx="933449" cy="168120"/>
    <xdr:sp macro="" textlink="" fLocksText="0">
      <xdr:nvSpPr>
        <xdr:cNvPr id="270" name="Gefaltete Ecke 269">
          <a:extLst>
            <a:ext uri="{FF2B5EF4-FFF2-40B4-BE49-F238E27FC236}">
              <a16:creationId xmlns:a16="http://schemas.microsoft.com/office/drawing/2014/main" id="{00000000-0008-0000-1000-00000E010000}"/>
            </a:ext>
          </a:extLst>
        </xdr:cNvPr>
        <xdr:cNvSpPr/>
      </xdr:nvSpPr>
      <xdr:spPr>
        <a:xfrm>
          <a:off x="3514726" y="30003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1495426</xdr:colOff>
      <xdr:row>13</xdr:row>
      <xdr:rowOff>152400</xdr:rowOff>
    </xdr:from>
    <xdr:ext cx="933449" cy="168120"/>
    <xdr:sp macro="" textlink="" fLocksText="0">
      <xdr:nvSpPr>
        <xdr:cNvPr id="271" name="Gefaltete Ecke 270">
          <a:extLst>
            <a:ext uri="{FF2B5EF4-FFF2-40B4-BE49-F238E27FC236}">
              <a16:creationId xmlns:a16="http://schemas.microsoft.com/office/drawing/2014/main" id="{00000000-0008-0000-1000-00000F010000}"/>
            </a:ext>
          </a:extLst>
        </xdr:cNvPr>
        <xdr:cNvSpPr/>
      </xdr:nvSpPr>
      <xdr:spPr>
        <a:xfrm>
          <a:off x="4876801" y="31813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266701</xdr:colOff>
      <xdr:row>19</xdr:row>
      <xdr:rowOff>123825</xdr:rowOff>
    </xdr:from>
    <xdr:ext cx="933449" cy="168120"/>
    <xdr:sp macro="" textlink="" fLocksText="0">
      <xdr:nvSpPr>
        <xdr:cNvPr id="272" name="Gefaltete Ecke 271">
          <a:extLst>
            <a:ext uri="{FF2B5EF4-FFF2-40B4-BE49-F238E27FC236}">
              <a16:creationId xmlns:a16="http://schemas.microsoft.com/office/drawing/2014/main" id="{00000000-0008-0000-1000-000010010000}"/>
            </a:ext>
          </a:extLst>
        </xdr:cNvPr>
        <xdr:cNvSpPr/>
      </xdr:nvSpPr>
      <xdr:spPr>
        <a:xfrm>
          <a:off x="3648076" y="42957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1552576</xdr:colOff>
      <xdr:row>18</xdr:row>
      <xdr:rowOff>95250</xdr:rowOff>
    </xdr:from>
    <xdr:ext cx="933449" cy="168120"/>
    <xdr:sp macro="" textlink="" fLocksText="0">
      <xdr:nvSpPr>
        <xdr:cNvPr id="273" name="Gefaltete Ecke 272">
          <a:extLst>
            <a:ext uri="{FF2B5EF4-FFF2-40B4-BE49-F238E27FC236}">
              <a16:creationId xmlns:a16="http://schemas.microsoft.com/office/drawing/2014/main" id="{00000000-0008-0000-1000-000011010000}"/>
            </a:ext>
          </a:extLst>
        </xdr:cNvPr>
        <xdr:cNvSpPr/>
      </xdr:nvSpPr>
      <xdr:spPr>
        <a:xfrm>
          <a:off x="4933951" y="40767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523876</xdr:colOff>
      <xdr:row>15</xdr:row>
      <xdr:rowOff>133350</xdr:rowOff>
    </xdr:from>
    <xdr:ext cx="933449" cy="168120"/>
    <xdr:sp macro="" textlink="" fLocksText="0">
      <xdr:nvSpPr>
        <xdr:cNvPr id="274" name="Gefaltete Ecke 273">
          <a:extLst>
            <a:ext uri="{FF2B5EF4-FFF2-40B4-BE49-F238E27FC236}">
              <a16:creationId xmlns:a16="http://schemas.microsoft.com/office/drawing/2014/main" id="{00000000-0008-0000-1000-000012010000}"/>
            </a:ext>
          </a:extLst>
        </xdr:cNvPr>
        <xdr:cNvSpPr/>
      </xdr:nvSpPr>
      <xdr:spPr>
        <a:xfrm>
          <a:off x="3905251" y="35433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1533526</xdr:colOff>
      <xdr:row>11</xdr:row>
      <xdr:rowOff>76200</xdr:rowOff>
    </xdr:from>
    <xdr:ext cx="933449" cy="168120"/>
    <xdr:sp macro="" textlink="" fLocksText="0">
      <xdr:nvSpPr>
        <xdr:cNvPr id="275" name="Gefaltete Ecke 274">
          <a:extLst>
            <a:ext uri="{FF2B5EF4-FFF2-40B4-BE49-F238E27FC236}">
              <a16:creationId xmlns:a16="http://schemas.microsoft.com/office/drawing/2014/main" id="{00000000-0008-0000-1000-000013010000}"/>
            </a:ext>
          </a:extLst>
        </xdr:cNvPr>
        <xdr:cNvSpPr/>
      </xdr:nvSpPr>
      <xdr:spPr>
        <a:xfrm>
          <a:off x="4914901" y="27241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180976</xdr:colOff>
      <xdr:row>29</xdr:row>
      <xdr:rowOff>152400</xdr:rowOff>
    </xdr:from>
    <xdr:ext cx="933449" cy="168120"/>
    <xdr:sp macro="" textlink="" fLocksText="0">
      <xdr:nvSpPr>
        <xdr:cNvPr id="276" name="Gefaltete Ecke 275">
          <a:extLst>
            <a:ext uri="{FF2B5EF4-FFF2-40B4-BE49-F238E27FC236}">
              <a16:creationId xmlns:a16="http://schemas.microsoft.com/office/drawing/2014/main" id="{00000000-0008-0000-1000-000014010000}"/>
            </a:ext>
          </a:extLst>
        </xdr:cNvPr>
        <xdr:cNvSpPr/>
      </xdr:nvSpPr>
      <xdr:spPr>
        <a:xfrm>
          <a:off x="3562351" y="63055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1543051</xdr:colOff>
      <xdr:row>30</xdr:row>
      <xdr:rowOff>142875</xdr:rowOff>
    </xdr:from>
    <xdr:ext cx="933449" cy="168120"/>
    <xdr:sp macro="" textlink="" fLocksText="0">
      <xdr:nvSpPr>
        <xdr:cNvPr id="277" name="Gefaltete Ecke 276">
          <a:extLst>
            <a:ext uri="{FF2B5EF4-FFF2-40B4-BE49-F238E27FC236}">
              <a16:creationId xmlns:a16="http://schemas.microsoft.com/office/drawing/2014/main" id="{00000000-0008-0000-1000-000015010000}"/>
            </a:ext>
          </a:extLst>
        </xdr:cNvPr>
        <xdr:cNvSpPr/>
      </xdr:nvSpPr>
      <xdr:spPr>
        <a:xfrm>
          <a:off x="4924426" y="64865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314326</xdr:colOff>
      <xdr:row>36</xdr:row>
      <xdr:rowOff>114300</xdr:rowOff>
    </xdr:from>
    <xdr:ext cx="933449" cy="168120"/>
    <xdr:sp macro="" textlink="" fLocksText="0">
      <xdr:nvSpPr>
        <xdr:cNvPr id="278" name="Gefaltete Ecke 277">
          <a:extLst>
            <a:ext uri="{FF2B5EF4-FFF2-40B4-BE49-F238E27FC236}">
              <a16:creationId xmlns:a16="http://schemas.microsoft.com/office/drawing/2014/main" id="{00000000-0008-0000-1000-000016010000}"/>
            </a:ext>
          </a:extLst>
        </xdr:cNvPr>
        <xdr:cNvSpPr/>
      </xdr:nvSpPr>
      <xdr:spPr>
        <a:xfrm>
          <a:off x="3695701" y="76009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1600201</xdr:colOff>
      <xdr:row>35</xdr:row>
      <xdr:rowOff>85725</xdr:rowOff>
    </xdr:from>
    <xdr:ext cx="933449" cy="168120"/>
    <xdr:sp macro="" textlink="" fLocksText="0">
      <xdr:nvSpPr>
        <xdr:cNvPr id="279" name="Gefaltete Ecke 278">
          <a:extLst>
            <a:ext uri="{FF2B5EF4-FFF2-40B4-BE49-F238E27FC236}">
              <a16:creationId xmlns:a16="http://schemas.microsoft.com/office/drawing/2014/main" id="{00000000-0008-0000-1000-000017010000}"/>
            </a:ext>
          </a:extLst>
        </xdr:cNvPr>
        <xdr:cNvSpPr/>
      </xdr:nvSpPr>
      <xdr:spPr>
        <a:xfrm>
          <a:off x="4981576" y="73818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571501</xdr:colOff>
      <xdr:row>32</xdr:row>
      <xdr:rowOff>123825</xdr:rowOff>
    </xdr:from>
    <xdr:ext cx="933449" cy="168120"/>
    <xdr:sp macro="" textlink="" fLocksText="0">
      <xdr:nvSpPr>
        <xdr:cNvPr id="280" name="Gefaltete Ecke 279">
          <a:extLst>
            <a:ext uri="{FF2B5EF4-FFF2-40B4-BE49-F238E27FC236}">
              <a16:creationId xmlns:a16="http://schemas.microsoft.com/office/drawing/2014/main" id="{00000000-0008-0000-1000-000018010000}"/>
            </a:ext>
          </a:extLst>
        </xdr:cNvPr>
        <xdr:cNvSpPr/>
      </xdr:nvSpPr>
      <xdr:spPr>
        <a:xfrm>
          <a:off x="3952876" y="68484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1581151</xdr:colOff>
      <xdr:row>28</xdr:row>
      <xdr:rowOff>66675</xdr:rowOff>
    </xdr:from>
    <xdr:ext cx="933449" cy="168120"/>
    <xdr:sp macro="" textlink="" fLocksText="0">
      <xdr:nvSpPr>
        <xdr:cNvPr id="281" name="Gefaltete Ecke 280">
          <a:extLst>
            <a:ext uri="{FF2B5EF4-FFF2-40B4-BE49-F238E27FC236}">
              <a16:creationId xmlns:a16="http://schemas.microsoft.com/office/drawing/2014/main" id="{00000000-0008-0000-1000-000019010000}"/>
            </a:ext>
          </a:extLst>
        </xdr:cNvPr>
        <xdr:cNvSpPr/>
      </xdr:nvSpPr>
      <xdr:spPr>
        <a:xfrm>
          <a:off x="4962526" y="60293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238126</xdr:colOff>
      <xdr:row>14</xdr:row>
      <xdr:rowOff>152400</xdr:rowOff>
    </xdr:from>
    <xdr:ext cx="933449" cy="168120"/>
    <xdr:sp macro="" textlink="" fLocksText="0">
      <xdr:nvSpPr>
        <xdr:cNvPr id="282" name="Gefaltete Ecke 281">
          <a:extLst>
            <a:ext uri="{FF2B5EF4-FFF2-40B4-BE49-F238E27FC236}">
              <a16:creationId xmlns:a16="http://schemas.microsoft.com/office/drawing/2014/main" id="{00000000-0008-0000-1000-00001A010000}"/>
            </a:ext>
          </a:extLst>
        </xdr:cNvPr>
        <xdr:cNvSpPr/>
      </xdr:nvSpPr>
      <xdr:spPr>
        <a:xfrm>
          <a:off x="6334126" y="33718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219076</xdr:colOff>
      <xdr:row>15</xdr:row>
      <xdr:rowOff>142875</xdr:rowOff>
    </xdr:from>
    <xdr:ext cx="933449" cy="168120"/>
    <xdr:sp macro="" textlink="" fLocksText="0">
      <xdr:nvSpPr>
        <xdr:cNvPr id="283" name="Gefaltete Ecke 282">
          <a:extLst>
            <a:ext uri="{FF2B5EF4-FFF2-40B4-BE49-F238E27FC236}">
              <a16:creationId xmlns:a16="http://schemas.microsoft.com/office/drawing/2014/main" id="{00000000-0008-0000-1000-00001B010000}"/>
            </a:ext>
          </a:extLst>
        </xdr:cNvPr>
        <xdr:cNvSpPr/>
      </xdr:nvSpPr>
      <xdr:spPr>
        <a:xfrm>
          <a:off x="7696201" y="35528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371476</xdr:colOff>
      <xdr:row>21</xdr:row>
      <xdr:rowOff>114300</xdr:rowOff>
    </xdr:from>
    <xdr:ext cx="933449" cy="168120"/>
    <xdr:sp macro="" textlink="" fLocksText="0">
      <xdr:nvSpPr>
        <xdr:cNvPr id="284" name="Gefaltete Ecke 283">
          <a:extLst>
            <a:ext uri="{FF2B5EF4-FFF2-40B4-BE49-F238E27FC236}">
              <a16:creationId xmlns:a16="http://schemas.microsoft.com/office/drawing/2014/main" id="{00000000-0008-0000-1000-00001C010000}"/>
            </a:ext>
          </a:extLst>
        </xdr:cNvPr>
        <xdr:cNvSpPr/>
      </xdr:nvSpPr>
      <xdr:spPr>
        <a:xfrm>
          <a:off x="6467476" y="46672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276226</xdr:colOff>
      <xdr:row>20</xdr:row>
      <xdr:rowOff>85725</xdr:rowOff>
    </xdr:from>
    <xdr:ext cx="933449" cy="168120"/>
    <xdr:sp macro="" textlink="" fLocksText="0">
      <xdr:nvSpPr>
        <xdr:cNvPr id="285" name="Gefaltete Ecke 284">
          <a:extLst>
            <a:ext uri="{FF2B5EF4-FFF2-40B4-BE49-F238E27FC236}">
              <a16:creationId xmlns:a16="http://schemas.microsoft.com/office/drawing/2014/main" id="{00000000-0008-0000-1000-00001D010000}"/>
            </a:ext>
          </a:extLst>
        </xdr:cNvPr>
        <xdr:cNvSpPr/>
      </xdr:nvSpPr>
      <xdr:spPr>
        <a:xfrm>
          <a:off x="7753351" y="44481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628651</xdr:colOff>
      <xdr:row>17</xdr:row>
      <xdr:rowOff>123825</xdr:rowOff>
    </xdr:from>
    <xdr:ext cx="933449" cy="168120"/>
    <xdr:sp macro="" textlink="" fLocksText="0">
      <xdr:nvSpPr>
        <xdr:cNvPr id="286" name="Gefaltete Ecke 285">
          <a:extLst>
            <a:ext uri="{FF2B5EF4-FFF2-40B4-BE49-F238E27FC236}">
              <a16:creationId xmlns:a16="http://schemas.microsoft.com/office/drawing/2014/main" id="{00000000-0008-0000-1000-00001E010000}"/>
            </a:ext>
          </a:extLst>
        </xdr:cNvPr>
        <xdr:cNvSpPr/>
      </xdr:nvSpPr>
      <xdr:spPr>
        <a:xfrm>
          <a:off x="6724651" y="39147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257176</xdr:colOff>
      <xdr:row>13</xdr:row>
      <xdr:rowOff>66675</xdr:rowOff>
    </xdr:from>
    <xdr:ext cx="933449" cy="168120"/>
    <xdr:sp macro="" textlink="" fLocksText="0">
      <xdr:nvSpPr>
        <xdr:cNvPr id="287" name="Gefaltete Ecke 286">
          <a:extLst>
            <a:ext uri="{FF2B5EF4-FFF2-40B4-BE49-F238E27FC236}">
              <a16:creationId xmlns:a16="http://schemas.microsoft.com/office/drawing/2014/main" id="{00000000-0008-0000-1000-00001F010000}"/>
            </a:ext>
          </a:extLst>
        </xdr:cNvPr>
        <xdr:cNvSpPr/>
      </xdr:nvSpPr>
      <xdr:spPr>
        <a:xfrm>
          <a:off x="7734301" y="30956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133351</xdr:colOff>
      <xdr:row>25</xdr:row>
      <xdr:rowOff>123825</xdr:rowOff>
    </xdr:from>
    <xdr:ext cx="933449" cy="168120"/>
    <xdr:sp macro="" textlink="" fLocksText="0">
      <xdr:nvSpPr>
        <xdr:cNvPr id="288" name="Gefaltete Ecke 287">
          <a:extLst>
            <a:ext uri="{FF2B5EF4-FFF2-40B4-BE49-F238E27FC236}">
              <a16:creationId xmlns:a16="http://schemas.microsoft.com/office/drawing/2014/main" id="{00000000-0008-0000-1000-000020010000}"/>
            </a:ext>
          </a:extLst>
        </xdr:cNvPr>
        <xdr:cNvSpPr/>
      </xdr:nvSpPr>
      <xdr:spPr>
        <a:xfrm>
          <a:off x="6229351" y="55149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114301</xdr:colOff>
      <xdr:row>26</xdr:row>
      <xdr:rowOff>114300</xdr:rowOff>
    </xdr:from>
    <xdr:ext cx="933449" cy="168120"/>
    <xdr:sp macro="" textlink="" fLocksText="0">
      <xdr:nvSpPr>
        <xdr:cNvPr id="289" name="Gefaltete Ecke 288">
          <a:extLst>
            <a:ext uri="{FF2B5EF4-FFF2-40B4-BE49-F238E27FC236}">
              <a16:creationId xmlns:a16="http://schemas.microsoft.com/office/drawing/2014/main" id="{00000000-0008-0000-1000-000021010000}"/>
            </a:ext>
          </a:extLst>
        </xdr:cNvPr>
        <xdr:cNvSpPr/>
      </xdr:nvSpPr>
      <xdr:spPr>
        <a:xfrm>
          <a:off x="7591426" y="56959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266701</xdr:colOff>
      <xdr:row>32</xdr:row>
      <xdr:rowOff>85725</xdr:rowOff>
    </xdr:from>
    <xdr:ext cx="933449" cy="168120"/>
    <xdr:sp macro="" textlink="" fLocksText="0">
      <xdr:nvSpPr>
        <xdr:cNvPr id="290" name="Gefaltete Ecke 289">
          <a:extLst>
            <a:ext uri="{FF2B5EF4-FFF2-40B4-BE49-F238E27FC236}">
              <a16:creationId xmlns:a16="http://schemas.microsoft.com/office/drawing/2014/main" id="{00000000-0008-0000-1000-000022010000}"/>
            </a:ext>
          </a:extLst>
        </xdr:cNvPr>
        <xdr:cNvSpPr/>
      </xdr:nvSpPr>
      <xdr:spPr>
        <a:xfrm>
          <a:off x="6362701" y="68103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171451</xdr:colOff>
      <xdr:row>31</xdr:row>
      <xdr:rowOff>57150</xdr:rowOff>
    </xdr:from>
    <xdr:ext cx="933449" cy="168120"/>
    <xdr:sp macro="" textlink="" fLocksText="0">
      <xdr:nvSpPr>
        <xdr:cNvPr id="291" name="Gefaltete Ecke 290">
          <a:extLst>
            <a:ext uri="{FF2B5EF4-FFF2-40B4-BE49-F238E27FC236}">
              <a16:creationId xmlns:a16="http://schemas.microsoft.com/office/drawing/2014/main" id="{00000000-0008-0000-1000-000023010000}"/>
            </a:ext>
          </a:extLst>
        </xdr:cNvPr>
        <xdr:cNvSpPr/>
      </xdr:nvSpPr>
      <xdr:spPr>
        <a:xfrm>
          <a:off x="7648576" y="65913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4</xdr:col>
      <xdr:colOff>523876</xdr:colOff>
      <xdr:row>28</xdr:row>
      <xdr:rowOff>95250</xdr:rowOff>
    </xdr:from>
    <xdr:ext cx="933449" cy="168120"/>
    <xdr:sp macro="" textlink="" fLocksText="0">
      <xdr:nvSpPr>
        <xdr:cNvPr id="292" name="Gefaltete Ecke 291">
          <a:extLst>
            <a:ext uri="{FF2B5EF4-FFF2-40B4-BE49-F238E27FC236}">
              <a16:creationId xmlns:a16="http://schemas.microsoft.com/office/drawing/2014/main" id="{00000000-0008-0000-1000-000024010000}"/>
            </a:ext>
          </a:extLst>
        </xdr:cNvPr>
        <xdr:cNvSpPr/>
      </xdr:nvSpPr>
      <xdr:spPr>
        <a:xfrm>
          <a:off x="6619876" y="60579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152401</xdr:colOff>
      <xdr:row>24</xdr:row>
      <xdr:rowOff>38100</xdr:rowOff>
    </xdr:from>
    <xdr:ext cx="933449" cy="168120"/>
    <xdr:sp macro="" textlink="" fLocksText="0">
      <xdr:nvSpPr>
        <xdr:cNvPr id="293" name="Gefaltete Ecke 292">
          <a:extLst>
            <a:ext uri="{FF2B5EF4-FFF2-40B4-BE49-F238E27FC236}">
              <a16:creationId xmlns:a16="http://schemas.microsoft.com/office/drawing/2014/main" id="{00000000-0008-0000-1000-000025010000}"/>
            </a:ext>
          </a:extLst>
        </xdr:cNvPr>
        <xdr:cNvSpPr/>
      </xdr:nvSpPr>
      <xdr:spPr>
        <a:xfrm>
          <a:off x="7629526" y="52387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123826</xdr:colOff>
      <xdr:row>13</xdr:row>
      <xdr:rowOff>142875</xdr:rowOff>
    </xdr:from>
    <xdr:ext cx="933449" cy="168120"/>
    <xdr:sp macro="" textlink="" fLocksText="0">
      <xdr:nvSpPr>
        <xdr:cNvPr id="294" name="Gefaltete Ecke 293">
          <a:extLst>
            <a:ext uri="{FF2B5EF4-FFF2-40B4-BE49-F238E27FC236}">
              <a16:creationId xmlns:a16="http://schemas.microsoft.com/office/drawing/2014/main" id="{00000000-0008-0000-1000-000026010000}"/>
            </a:ext>
          </a:extLst>
        </xdr:cNvPr>
        <xdr:cNvSpPr/>
      </xdr:nvSpPr>
      <xdr:spPr>
        <a:xfrm>
          <a:off x="8982076" y="31718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1485901</xdr:colOff>
      <xdr:row>14</xdr:row>
      <xdr:rowOff>133350</xdr:rowOff>
    </xdr:from>
    <xdr:ext cx="933449" cy="168120"/>
    <xdr:sp macro="" textlink="" fLocksText="0">
      <xdr:nvSpPr>
        <xdr:cNvPr id="295" name="Gefaltete Ecke 294">
          <a:extLst>
            <a:ext uri="{FF2B5EF4-FFF2-40B4-BE49-F238E27FC236}">
              <a16:creationId xmlns:a16="http://schemas.microsoft.com/office/drawing/2014/main" id="{00000000-0008-0000-1000-000027010000}"/>
            </a:ext>
          </a:extLst>
        </xdr:cNvPr>
        <xdr:cNvSpPr/>
      </xdr:nvSpPr>
      <xdr:spPr>
        <a:xfrm>
          <a:off x="10344151" y="33528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257176</xdr:colOff>
      <xdr:row>20</xdr:row>
      <xdr:rowOff>104775</xdr:rowOff>
    </xdr:from>
    <xdr:ext cx="933449" cy="168120"/>
    <xdr:sp macro="" textlink="" fLocksText="0">
      <xdr:nvSpPr>
        <xdr:cNvPr id="296" name="Gefaltete Ecke 295">
          <a:extLst>
            <a:ext uri="{FF2B5EF4-FFF2-40B4-BE49-F238E27FC236}">
              <a16:creationId xmlns:a16="http://schemas.microsoft.com/office/drawing/2014/main" id="{00000000-0008-0000-1000-000028010000}"/>
            </a:ext>
          </a:extLst>
        </xdr:cNvPr>
        <xdr:cNvSpPr/>
      </xdr:nvSpPr>
      <xdr:spPr>
        <a:xfrm>
          <a:off x="9115426" y="44672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1543051</xdr:colOff>
      <xdr:row>19</xdr:row>
      <xdr:rowOff>76200</xdr:rowOff>
    </xdr:from>
    <xdr:ext cx="933449" cy="168120"/>
    <xdr:sp macro="" textlink="" fLocksText="0">
      <xdr:nvSpPr>
        <xdr:cNvPr id="297" name="Gefaltete Ecke 296">
          <a:extLst>
            <a:ext uri="{FF2B5EF4-FFF2-40B4-BE49-F238E27FC236}">
              <a16:creationId xmlns:a16="http://schemas.microsoft.com/office/drawing/2014/main" id="{00000000-0008-0000-1000-000029010000}"/>
            </a:ext>
          </a:extLst>
        </xdr:cNvPr>
        <xdr:cNvSpPr/>
      </xdr:nvSpPr>
      <xdr:spPr>
        <a:xfrm>
          <a:off x="10401301" y="42481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514351</xdr:colOff>
      <xdr:row>16</xdr:row>
      <xdr:rowOff>114300</xdr:rowOff>
    </xdr:from>
    <xdr:ext cx="933449" cy="168120"/>
    <xdr:sp macro="" textlink="" fLocksText="0">
      <xdr:nvSpPr>
        <xdr:cNvPr id="298" name="Gefaltete Ecke 297">
          <a:extLst>
            <a:ext uri="{FF2B5EF4-FFF2-40B4-BE49-F238E27FC236}">
              <a16:creationId xmlns:a16="http://schemas.microsoft.com/office/drawing/2014/main" id="{00000000-0008-0000-1000-00002A010000}"/>
            </a:ext>
          </a:extLst>
        </xdr:cNvPr>
        <xdr:cNvSpPr/>
      </xdr:nvSpPr>
      <xdr:spPr>
        <a:xfrm>
          <a:off x="9372601" y="37147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1524001</xdr:colOff>
      <xdr:row>12</xdr:row>
      <xdr:rowOff>57150</xdr:rowOff>
    </xdr:from>
    <xdr:ext cx="933449" cy="168120"/>
    <xdr:sp macro="" textlink="" fLocksText="0">
      <xdr:nvSpPr>
        <xdr:cNvPr id="299" name="Gefaltete Ecke 298">
          <a:extLst>
            <a:ext uri="{FF2B5EF4-FFF2-40B4-BE49-F238E27FC236}">
              <a16:creationId xmlns:a16="http://schemas.microsoft.com/office/drawing/2014/main" id="{00000000-0008-0000-1000-00002B010000}"/>
            </a:ext>
          </a:extLst>
        </xdr:cNvPr>
        <xdr:cNvSpPr/>
      </xdr:nvSpPr>
      <xdr:spPr>
        <a:xfrm>
          <a:off x="10382251" y="28956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95251</xdr:colOff>
      <xdr:row>28</xdr:row>
      <xdr:rowOff>171450</xdr:rowOff>
    </xdr:from>
    <xdr:ext cx="933449" cy="168120"/>
    <xdr:sp macro="" textlink="" fLocksText="0">
      <xdr:nvSpPr>
        <xdr:cNvPr id="300" name="Gefaltete Ecke 299">
          <a:extLst>
            <a:ext uri="{FF2B5EF4-FFF2-40B4-BE49-F238E27FC236}">
              <a16:creationId xmlns:a16="http://schemas.microsoft.com/office/drawing/2014/main" id="{00000000-0008-0000-1000-00002C010000}"/>
            </a:ext>
          </a:extLst>
        </xdr:cNvPr>
        <xdr:cNvSpPr/>
      </xdr:nvSpPr>
      <xdr:spPr>
        <a:xfrm>
          <a:off x="8953501" y="61341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1457326</xdr:colOff>
      <xdr:row>29</xdr:row>
      <xdr:rowOff>161925</xdr:rowOff>
    </xdr:from>
    <xdr:ext cx="933449" cy="168120"/>
    <xdr:sp macro="" textlink="" fLocksText="0">
      <xdr:nvSpPr>
        <xdr:cNvPr id="301" name="Gefaltete Ecke 300">
          <a:extLst>
            <a:ext uri="{FF2B5EF4-FFF2-40B4-BE49-F238E27FC236}">
              <a16:creationId xmlns:a16="http://schemas.microsoft.com/office/drawing/2014/main" id="{00000000-0008-0000-1000-00002D010000}"/>
            </a:ext>
          </a:extLst>
        </xdr:cNvPr>
        <xdr:cNvSpPr/>
      </xdr:nvSpPr>
      <xdr:spPr>
        <a:xfrm>
          <a:off x="10315576" y="63150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228601</xdr:colOff>
      <xdr:row>35</xdr:row>
      <xdr:rowOff>133350</xdr:rowOff>
    </xdr:from>
    <xdr:ext cx="933449" cy="168120"/>
    <xdr:sp macro="" textlink="" fLocksText="0">
      <xdr:nvSpPr>
        <xdr:cNvPr id="302" name="Gefaltete Ecke 301">
          <a:extLst>
            <a:ext uri="{FF2B5EF4-FFF2-40B4-BE49-F238E27FC236}">
              <a16:creationId xmlns:a16="http://schemas.microsoft.com/office/drawing/2014/main" id="{00000000-0008-0000-1000-00002E010000}"/>
            </a:ext>
          </a:extLst>
        </xdr:cNvPr>
        <xdr:cNvSpPr/>
      </xdr:nvSpPr>
      <xdr:spPr>
        <a:xfrm>
          <a:off x="9086851" y="74295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1514476</xdr:colOff>
      <xdr:row>34</xdr:row>
      <xdr:rowOff>104775</xdr:rowOff>
    </xdr:from>
    <xdr:ext cx="933449" cy="168120"/>
    <xdr:sp macro="" textlink="" fLocksText="0">
      <xdr:nvSpPr>
        <xdr:cNvPr id="303" name="Gefaltete Ecke 302">
          <a:extLst>
            <a:ext uri="{FF2B5EF4-FFF2-40B4-BE49-F238E27FC236}">
              <a16:creationId xmlns:a16="http://schemas.microsoft.com/office/drawing/2014/main" id="{00000000-0008-0000-1000-00002F010000}"/>
            </a:ext>
          </a:extLst>
        </xdr:cNvPr>
        <xdr:cNvSpPr/>
      </xdr:nvSpPr>
      <xdr:spPr>
        <a:xfrm>
          <a:off x="10372726" y="72104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485776</xdr:colOff>
      <xdr:row>31</xdr:row>
      <xdr:rowOff>142875</xdr:rowOff>
    </xdr:from>
    <xdr:ext cx="933449" cy="168120"/>
    <xdr:sp macro="" textlink="" fLocksText="0">
      <xdr:nvSpPr>
        <xdr:cNvPr id="304" name="Gefaltete Ecke 303">
          <a:extLst>
            <a:ext uri="{FF2B5EF4-FFF2-40B4-BE49-F238E27FC236}">
              <a16:creationId xmlns:a16="http://schemas.microsoft.com/office/drawing/2014/main" id="{00000000-0008-0000-1000-000030010000}"/>
            </a:ext>
          </a:extLst>
        </xdr:cNvPr>
        <xdr:cNvSpPr/>
      </xdr:nvSpPr>
      <xdr:spPr>
        <a:xfrm>
          <a:off x="9344026" y="66770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1495426</xdr:colOff>
      <xdr:row>27</xdr:row>
      <xdr:rowOff>85725</xdr:rowOff>
    </xdr:from>
    <xdr:ext cx="933449" cy="168120"/>
    <xdr:sp macro="" textlink="" fLocksText="0">
      <xdr:nvSpPr>
        <xdr:cNvPr id="305" name="Gefaltete Ecke 304">
          <a:extLst>
            <a:ext uri="{FF2B5EF4-FFF2-40B4-BE49-F238E27FC236}">
              <a16:creationId xmlns:a16="http://schemas.microsoft.com/office/drawing/2014/main" id="{00000000-0008-0000-1000-000031010000}"/>
            </a:ext>
          </a:extLst>
        </xdr:cNvPr>
        <xdr:cNvSpPr/>
      </xdr:nvSpPr>
      <xdr:spPr>
        <a:xfrm>
          <a:off x="10353676" y="58578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209551</xdr:colOff>
      <xdr:row>12</xdr:row>
      <xdr:rowOff>57150</xdr:rowOff>
    </xdr:from>
    <xdr:ext cx="933449" cy="168120"/>
    <xdr:sp macro="" textlink="" fLocksText="0">
      <xdr:nvSpPr>
        <xdr:cNvPr id="306" name="Gefaltete Ecke 305">
          <a:extLst>
            <a:ext uri="{FF2B5EF4-FFF2-40B4-BE49-F238E27FC236}">
              <a16:creationId xmlns:a16="http://schemas.microsoft.com/office/drawing/2014/main" id="{00000000-0008-0000-1000-000032010000}"/>
            </a:ext>
          </a:extLst>
        </xdr:cNvPr>
        <xdr:cNvSpPr/>
      </xdr:nvSpPr>
      <xdr:spPr>
        <a:xfrm>
          <a:off x="11782426" y="28956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1571626</xdr:colOff>
      <xdr:row>13</xdr:row>
      <xdr:rowOff>47625</xdr:rowOff>
    </xdr:from>
    <xdr:ext cx="933449" cy="168120"/>
    <xdr:sp macro="" textlink="" fLocksText="0">
      <xdr:nvSpPr>
        <xdr:cNvPr id="307" name="Gefaltete Ecke 306">
          <a:extLst>
            <a:ext uri="{FF2B5EF4-FFF2-40B4-BE49-F238E27FC236}">
              <a16:creationId xmlns:a16="http://schemas.microsoft.com/office/drawing/2014/main" id="{00000000-0008-0000-1000-000033010000}"/>
            </a:ext>
          </a:extLst>
        </xdr:cNvPr>
        <xdr:cNvSpPr/>
      </xdr:nvSpPr>
      <xdr:spPr>
        <a:xfrm>
          <a:off x="13144501" y="30765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342901</xdr:colOff>
      <xdr:row>19</xdr:row>
      <xdr:rowOff>19050</xdr:rowOff>
    </xdr:from>
    <xdr:ext cx="933449" cy="168120"/>
    <xdr:sp macro="" textlink="" fLocksText="0">
      <xdr:nvSpPr>
        <xdr:cNvPr id="308" name="Gefaltete Ecke 307">
          <a:extLst>
            <a:ext uri="{FF2B5EF4-FFF2-40B4-BE49-F238E27FC236}">
              <a16:creationId xmlns:a16="http://schemas.microsoft.com/office/drawing/2014/main" id="{00000000-0008-0000-1000-000034010000}"/>
            </a:ext>
          </a:extLst>
        </xdr:cNvPr>
        <xdr:cNvSpPr/>
      </xdr:nvSpPr>
      <xdr:spPr>
        <a:xfrm>
          <a:off x="11915776" y="41910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1628776</xdr:colOff>
      <xdr:row>17</xdr:row>
      <xdr:rowOff>180975</xdr:rowOff>
    </xdr:from>
    <xdr:ext cx="933449" cy="168120"/>
    <xdr:sp macro="" textlink="" fLocksText="0">
      <xdr:nvSpPr>
        <xdr:cNvPr id="309" name="Gefaltete Ecke 308">
          <a:extLst>
            <a:ext uri="{FF2B5EF4-FFF2-40B4-BE49-F238E27FC236}">
              <a16:creationId xmlns:a16="http://schemas.microsoft.com/office/drawing/2014/main" id="{00000000-0008-0000-1000-000035010000}"/>
            </a:ext>
          </a:extLst>
        </xdr:cNvPr>
        <xdr:cNvSpPr/>
      </xdr:nvSpPr>
      <xdr:spPr>
        <a:xfrm>
          <a:off x="13201651" y="39719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600076</xdr:colOff>
      <xdr:row>15</xdr:row>
      <xdr:rowOff>28575</xdr:rowOff>
    </xdr:from>
    <xdr:ext cx="933449" cy="168120"/>
    <xdr:sp macro="" textlink="" fLocksText="0">
      <xdr:nvSpPr>
        <xdr:cNvPr id="310" name="Gefaltete Ecke 309">
          <a:extLst>
            <a:ext uri="{FF2B5EF4-FFF2-40B4-BE49-F238E27FC236}">
              <a16:creationId xmlns:a16="http://schemas.microsoft.com/office/drawing/2014/main" id="{00000000-0008-0000-1000-000036010000}"/>
            </a:ext>
          </a:extLst>
        </xdr:cNvPr>
        <xdr:cNvSpPr/>
      </xdr:nvSpPr>
      <xdr:spPr>
        <a:xfrm>
          <a:off x="12172951" y="34385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1609726</xdr:colOff>
      <xdr:row>10</xdr:row>
      <xdr:rowOff>161925</xdr:rowOff>
    </xdr:from>
    <xdr:ext cx="933449" cy="168120"/>
    <xdr:sp macro="" textlink="" fLocksText="0">
      <xdr:nvSpPr>
        <xdr:cNvPr id="311" name="Gefaltete Ecke 310">
          <a:extLst>
            <a:ext uri="{FF2B5EF4-FFF2-40B4-BE49-F238E27FC236}">
              <a16:creationId xmlns:a16="http://schemas.microsoft.com/office/drawing/2014/main" id="{00000000-0008-0000-1000-000037010000}"/>
            </a:ext>
          </a:extLst>
        </xdr:cNvPr>
        <xdr:cNvSpPr/>
      </xdr:nvSpPr>
      <xdr:spPr>
        <a:xfrm>
          <a:off x="13182601" y="26193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238126</xdr:colOff>
      <xdr:row>22</xdr:row>
      <xdr:rowOff>152400</xdr:rowOff>
    </xdr:from>
    <xdr:ext cx="933449" cy="168120"/>
    <xdr:sp macro="" textlink="" fLocksText="0">
      <xdr:nvSpPr>
        <xdr:cNvPr id="312" name="Gefaltete Ecke 311">
          <a:extLst>
            <a:ext uri="{FF2B5EF4-FFF2-40B4-BE49-F238E27FC236}">
              <a16:creationId xmlns:a16="http://schemas.microsoft.com/office/drawing/2014/main" id="{00000000-0008-0000-1000-000038010000}"/>
            </a:ext>
          </a:extLst>
        </xdr:cNvPr>
        <xdr:cNvSpPr/>
      </xdr:nvSpPr>
      <xdr:spPr>
        <a:xfrm>
          <a:off x="11811001" y="48958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1600201</xdr:colOff>
      <xdr:row>23</xdr:row>
      <xdr:rowOff>66675</xdr:rowOff>
    </xdr:from>
    <xdr:ext cx="933449" cy="168120"/>
    <xdr:sp macro="" textlink="" fLocksText="0">
      <xdr:nvSpPr>
        <xdr:cNvPr id="313" name="Gefaltete Ecke 312">
          <a:extLst>
            <a:ext uri="{FF2B5EF4-FFF2-40B4-BE49-F238E27FC236}">
              <a16:creationId xmlns:a16="http://schemas.microsoft.com/office/drawing/2014/main" id="{00000000-0008-0000-1000-000039010000}"/>
            </a:ext>
          </a:extLst>
        </xdr:cNvPr>
        <xdr:cNvSpPr/>
      </xdr:nvSpPr>
      <xdr:spPr>
        <a:xfrm>
          <a:off x="13173076" y="50768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371476</xdr:colOff>
      <xdr:row>29</xdr:row>
      <xdr:rowOff>38100</xdr:rowOff>
    </xdr:from>
    <xdr:ext cx="933449" cy="168120"/>
    <xdr:sp macro="" textlink="" fLocksText="0">
      <xdr:nvSpPr>
        <xdr:cNvPr id="314" name="Gefaltete Ecke 313">
          <a:extLst>
            <a:ext uri="{FF2B5EF4-FFF2-40B4-BE49-F238E27FC236}">
              <a16:creationId xmlns:a16="http://schemas.microsoft.com/office/drawing/2014/main" id="{00000000-0008-0000-1000-00003A010000}"/>
            </a:ext>
          </a:extLst>
        </xdr:cNvPr>
        <xdr:cNvSpPr/>
      </xdr:nvSpPr>
      <xdr:spPr>
        <a:xfrm>
          <a:off x="11944351" y="61912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1657351</xdr:colOff>
      <xdr:row>28</xdr:row>
      <xdr:rowOff>9525</xdr:rowOff>
    </xdr:from>
    <xdr:ext cx="933449" cy="168120"/>
    <xdr:sp macro="" textlink="" fLocksText="0">
      <xdr:nvSpPr>
        <xdr:cNvPr id="315" name="Gefaltete Ecke 314">
          <a:extLst>
            <a:ext uri="{FF2B5EF4-FFF2-40B4-BE49-F238E27FC236}">
              <a16:creationId xmlns:a16="http://schemas.microsoft.com/office/drawing/2014/main" id="{00000000-0008-0000-1000-00003B010000}"/>
            </a:ext>
          </a:extLst>
        </xdr:cNvPr>
        <xdr:cNvSpPr/>
      </xdr:nvSpPr>
      <xdr:spPr>
        <a:xfrm>
          <a:off x="13230226" y="59721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628651</xdr:colOff>
      <xdr:row>25</xdr:row>
      <xdr:rowOff>47625</xdr:rowOff>
    </xdr:from>
    <xdr:ext cx="933449" cy="168120"/>
    <xdr:sp macro="" textlink="" fLocksText="0">
      <xdr:nvSpPr>
        <xdr:cNvPr id="316" name="Gefaltete Ecke 315">
          <a:extLst>
            <a:ext uri="{FF2B5EF4-FFF2-40B4-BE49-F238E27FC236}">
              <a16:creationId xmlns:a16="http://schemas.microsoft.com/office/drawing/2014/main" id="{00000000-0008-0000-1000-00003C010000}"/>
            </a:ext>
          </a:extLst>
        </xdr:cNvPr>
        <xdr:cNvSpPr/>
      </xdr:nvSpPr>
      <xdr:spPr>
        <a:xfrm>
          <a:off x="12201526" y="54387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1638301</xdr:colOff>
      <xdr:row>21</xdr:row>
      <xdr:rowOff>66675</xdr:rowOff>
    </xdr:from>
    <xdr:ext cx="933449" cy="168120"/>
    <xdr:sp macro="" textlink="" fLocksText="0">
      <xdr:nvSpPr>
        <xdr:cNvPr id="317" name="Gefaltete Ecke 316">
          <a:extLst>
            <a:ext uri="{FF2B5EF4-FFF2-40B4-BE49-F238E27FC236}">
              <a16:creationId xmlns:a16="http://schemas.microsoft.com/office/drawing/2014/main" id="{00000000-0008-0000-1000-00003D010000}"/>
            </a:ext>
          </a:extLst>
        </xdr:cNvPr>
        <xdr:cNvSpPr/>
      </xdr:nvSpPr>
      <xdr:spPr>
        <a:xfrm>
          <a:off x="13211176" y="46196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1714501</xdr:colOff>
      <xdr:row>41</xdr:row>
      <xdr:rowOff>47625</xdr:rowOff>
    </xdr:from>
    <xdr:ext cx="933449" cy="168120"/>
    <xdr:sp macro="" textlink="" fLocksText="0">
      <xdr:nvSpPr>
        <xdr:cNvPr id="318" name="Gefaltete Ecke 317">
          <a:extLst>
            <a:ext uri="{FF2B5EF4-FFF2-40B4-BE49-F238E27FC236}">
              <a16:creationId xmlns:a16="http://schemas.microsoft.com/office/drawing/2014/main" id="{00000000-0008-0000-1000-00003E010000}"/>
            </a:ext>
          </a:extLst>
        </xdr:cNvPr>
        <xdr:cNvSpPr/>
      </xdr:nvSpPr>
      <xdr:spPr>
        <a:xfrm>
          <a:off x="2381251" y="85629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361951</xdr:colOff>
      <xdr:row>42</xdr:row>
      <xdr:rowOff>38100</xdr:rowOff>
    </xdr:from>
    <xdr:ext cx="933449" cy="168120"/>
    <xdr:sp macro="" textlink="" fLocksText="0">
      <xdr:nvSpPr>
        <xdr:cNvPr id="319" name="Gefaltete Ecke 318">
          <a:extLst>
            <a:ext uri="{FF2B5EF4-FFF2-40B4-BE49-F238E27FC236}">
              <a16:creationId xmlns:a16="http://schemas.microsoft.com/office/drawing/2014/main" id="{00000000-0008-0000-1000-00003F010000}"/>
            </a:ext>
          </a:extLst>
        </xdr:cNvPr>
        <xdr:cNvSpPr/>
      </xdr:nvSpPr>
      <xdr:spPr>
        <a:xfrm>
          <a:off x="3743326" y="87439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1847851</xdr:colOff>
      <xdr:row>48</xdr:row>
      <xdr:rowOff>9525</xdr:rowOff>
    </xdr:from>
    <xdr:ext cx="933449" cy="168120"/>
    <xdr:sp macro="" textlink="" fLocksText="0">
      <xdr:nvSpPr>
        <xdr:cNvPr id="320" name="Gefaltete Ecke 319">
          <a:extLst>
            <a:ext uri="{FF2B5EF4-FFF2-40B4-BE49-F238E27FC236}">
              <a16:creationId xmlns:a16="http://schemas.microsoft.com/office/drawing/2014/main" id="{00000000-0008-0000-1000-000040010000}"/>
            </a:ext>
          </a:extLst>
        </xdr:cNvPr>
        <xdr:cNvSpPr/>
      </xdr:nvSpPr>
      <xdr:spPr>
        <a:xfrm>
          <a:off x="2514601" y="98583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419101</xdr:colOff>
      <xdr:row>46</xdr:row>
      <xdr:rowOff>171450</xdr:rowOff>
    </xdr:from>
    <xdr:ext cx="933449" cy="168120"/>
    <xdr:sp macro="" textlink="" fLocksText="0">
      <xdr:nvSpPr>
        <xdr:cNvPr id="321" name="Gefaltete Ecke 320">
          <a:extLst>
            <a:ext uri="{FF2B5EF4-FFF2-40B4-BE49-F238E27FC236}">
              <a16:creationId xmlns:a16="http://schemas.microsoft.com/office/drawing/2014/main" id="{00000000-0008-0000-1000-000041010000}"/>
            </a:ext>
          </a:extLst>
        </xdr:cNvPr>
        <xdr:cNvSpPr/>
      </xdr:nvSpPr>
      <xdr:spPr>
        <a:xfrm>
          <a:off x="3800476" y="96393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466726</xdr:colOff>
      <xdr:row>46</xdr:row>
      <xdr:rowOff>47625</xdr:rowOff>
    </xdr:from>
    <xdr:ext cx="933449" cy="168120"/>
    <xdr:sp macro="" textlink="" fLocksText="0">
      <xdr:nvSpPr>
        <xdr:cNvPr id="322" name="Gefaltete Ecke 321">
          <a:extLst>
            <a:ext uri="{FF2B5EF4-FFF2-40B4-BE49-F238E27FC236}">
              <a16:creationId xmlns:a16="http://schemas.microsoft.com/office/drawing/2014/main" id="{00000000-0008-0000-1000-000042010000}"/>
            </a:ext>
          </a:extLst>
        </xdr:cNvPr>
        <xdr:cNvSpPr/>
      </xdr:nvSpPr>
      <xdr:spPr>
        <a:xfrm>
          <a:off x="1133476" y="95154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400051</xdr:colOff>
      <xdr:row>39</xdr:row>
      <xdr:rowOff>152400</xdr:rowOff>
    </xdr:from>
    <xdr:ext cx="933449" cy="168120"/>
    <xdr:sp macro="" textlink="" fLocksText="0">
      <xdr:nvSpPr>
        <xdr:cNvPr id="323" name="Gefaltete Ecke 322">
          <a:extLst>
            <a:ext uri="{FF2B5EF4-FFF2-40B4-BE49-F238E27FC236}">
              <a16:creationId xmlns:a16="http://schemas.microsoft.com/office/drawing/2014/main" id="{00000000-0008-0000-1000-000043010000}"/>
            </a:ext>
          </a:extLst>
        </xdr:cNvPr>
        <xdr:cNvSpPr/>
      </xdr:nvSpPr>
      <xdr:spPr>
        <a:xfrm>
          <a:off x="3781426" y="82867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2495551</xdr:colOff>
      <xdr:row>41</xdr:row>
      <xdr:rowOff>114300</xdr:rowOff>
    </xdr:from>
    <xdr:ext cx="933449" cy="168120"/>
    <xdr:sp macro="" textlink="" fLocksText="0">
      <xdr:nvSpPr>
        <xdr:cNvPr id="324" name="Gefaltete Ecke 323">
          <a:extLst>
            <a:ext uri="{FF2B5EF4-FFF2-40B4-BE49-F238E27FC236}">
              <a16:creationId xmlns:a16="http://schemas.microsoft.com/office/drawing/2014/main" id="{00000000-0008-0000-1000-000044010000}"/>
            </a:ext>
          </a:extLst>
        </xdr:cNvPr>
        <xdr:cNvSpPr/>
      </xdr:nvSpPr>
      <xdr:spPr>
        <a:xfrm>
          <a:off x="5876926" y="86296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2314576</xdr:colOff>
      <xdr:row>48</xdr:row>
      <xdr:rowOff>85725</xdr:rowOff>
    </xdr:from>
    <xdr:ext cx="933449" cy="168120"/>
    <xdr:sp macro="" textlink="" fLocksText="0">
      <xdr:nvSpPr>
        <xdr:cNvPr id="325" name="Gefaltete Ecke 324">
          <a:extLst>
            <a:ext uri="{FF2B5EF4-FFF2-40B4-BE49-F238E27FC236}">
              <a16:creationId xmlns:a16="http://schemas.microsoft.com/office/drawing/2014/main" id="{00000000-0008-0000-1000-000045010000}"/>
            </a:ext>
          </a:extLst>
        </xdr:cNvPr>
        <xdr:cNvSpPr/>
      </xdr:nvSpPr>
      <xdr:spPr>
        <a:xfrm>
          <a:off x="5695951" y="99345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1876426</xdr:colOff>
      <xdr:row>44</xdr:row>
      <xdr:rowOff>152400</xdr:rowOff>
    </xdr:from>
    <xdr:ext cx="933449" cy="168120"/>
    <xdr:sp macro="" textlink="" fLocksText="0">
      <xdr:nvSpPr>
        <xdr:cNvPr id="326" name="Gefaltete Ecke 325">
          <a:extLst>
            <a:ext uri="{FF2B5EF4-FFF2-40B4-BE49-F238E27FC236}">
              <a16:creationId xmlns:a16="http://schemas.microsoft.com/office/drawing/2014/main" id="{00000000-0008-0000-1000-000046010000}"/>
            </a:ext>
          </a:extLst>
        </xdr:cNvPr>
        <xdr:cNvSpPr/>
      </xdr:nvSpPr>
      <xdr:spPr>
        <a:xfrm>
          <a:off x="5257801" y="923925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2</xdr:col>
      <xdr:colOff>1838326</xdr:colOff>
      <xdr:row>44</xdr:row>
      <xdr:rowOff>47625</xdr:rowOff>
    </xdr:from>
    <xdr:ext cx="933449" cy="168120"/>
    <xdr:sp macro="" textlink="" fLocksText="0">
      <xdr:nvSpPr>
        <xdr:cNvPr id="327" name="Gefaltete Ecke 326">
          <a:extLst>
            <a:ext uri="{FF2B5EF4-FFF2-40B4-BE49-F238E27FC236}">
              <a16:creationId xmlns:a16="http://schemas.microsoft.com/office/drawing/2014/main" id="{00000000-0008-0000-1000-000047010000}"/>
            </a:ext>
          </a:extLst>
        </xdr:cNvPr>
        <xdr:cNvSpPr/>
      </xdr:nvSpPr>
      <xdr:spPr>
        <a:xfrm>
          <a:off x="2505076" y="91344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647701</xdr:colOff>
      <xdr:row>41</xdr:row>
      <xdr:rowOff>171450</xdr:rowOff>
    </xdr:from>
    <xdr:ext cx="933449" cy="168120"/>
    <xdr:sp macro="" textlink="" fLocksText="0">
      <xdr:nvSpPr>
        <xdr:cNvPr id="337" name="Gefaltete Ecke 336">
          <a:extLst>
            <a:ext uri="{FF2B5EF4-FFF2-40B4-BE49-F238E27FC236}">
              <a16:creationId xmlns:a16="http://schemas.microsoft.com/office/drawing/2014/main" id="{00000000-0008-0000-1000-000051010000}"/>
            </a:ext>
          </a:extLst>
        </xdr:cNvPr>
        <xdr:cNvSpPr/>
      </xdr:nvSpPr>
      <xdr:spPr>
        <a:xfrm>
          <a:off x="9505951" y="86868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2009776</xdr:colOff>
      <xdr:row>42</xdr:row>
      <xdr:rowOff>161925</xdr:rowOff>
    </xdr:from>
    <xdr:ext cx="933449" cy="168120"/>
    <xdr:sp macro="" textlink="" fLocksText="0">
      <xdr:nvSpPr>
        <xdr:cNvPr id="338" name="Gefaltete Ecke 337">
          <a:extLst>
            <a:ext uri="{FF2B5EF4-FFF2-40B4-BE49-F238E27FC236}">
              <a16:creationId xmlns:a16="http://schemas.microsoft.com/office/drawing/2014/main" id="{00000000-0008-0000-1000-000052010000}"/>
            </a:ext>
          </a:extLst>
        </xdr:cNvPr>
        <xdr:cNvSpPr/>
      </xdr:nvSpPr>
      <xdr:spPr>
        <a:xfrm>
          <a:off x="10868026" y="88677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781051</xdr:colOff>
      <xdr:row>48</xdr:row>
      <xdr:rowOff>133350</xdr:rowOff>
    </xdr:from>
    <xdr:ext cx="933449" cy="168120"/>
    <xdr:sp macro="" textlink="" fLocksText="0">
      <xdr:nvSpPr>
        <xdr:cNvPr id="339" name="Gefaltete Ecke 338">
          <a:extLst>
            <a:ext uri="{FF2B5EF4-FFF2-40B4-BE49-F238E27FC236}">
              <a16:creationId xmlns:a16="http://schemas.microsoft.com/office/drawing/2014/main" id="{00000000-0008-0000-1000-000053010000}"/>
            </a:ext>
          </a:extLst>
        </xdr:cNvPr>
        <xdr:cNvSpPr/>
      </xdr:nvSpPr>
      <xdr:spPr>
        <a:xfrm>
          <a:off x="9639301" y="99822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2066926</xdr:colOff>
      <xdr:row>47</xdr:row>
      <xdr:rowOff>104775</xdr:rowOff>
    </xdr:from>
    <xdr:ext cx="933449" cy="168120"/>
    <xdr:sp macro="" textlink="" fLocksText="0">
      <xdr:nvSpPr>
        <xdr:cNvPr id="340" name="Gefaltete Ecke 339">
          <a:extLst>
            <a:ext uri="{FF2B5EF4-FFF2-40B4-BE49-F238E27FC236}">
              <a16:creationId xmlns:a16="http://schemas.microsoft.com/office/drawing/2014/main" id="{00000000-0008-0000-1000-000054010000}"/>
            </a:ext>
          </a:extLst>
        </xdr:cNvPr>
        <xdr:cNvSpPr/>
      </xdr:nvSpPr>
      <xdr:spPr>
        <a:xfrm>
          <a:off x="10925176" y="976312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5</xdr:col>
      <xdr:colOff>781051</xdr:colOff>
      <xdr:row>46</xdr:row>
      <xdr:rowOff>171450</xdr:rowOff>
    </xdr:from>
    <xdr:ext cx="933449" cy="168120"/>
    <xdr:sp macro="" textlink="" fLocksText="0">
      <xdr:nvSpPr>
        <xdr:cNvPr id="341" name="Gefaltete Ecke 340">
          <a:extLst>
            <a:ext uri="{FF2B5EF4-FFF2-40B4-BE49-F238E27FC236}">
              <a16:creationId xmlns:a16="http://schemas.microsoft.com/office/drawing/2014/main" id="{00000000-0008-0000-1000-000055010000}"/>
            </a:ext>
          </a:extLst>
        </xdr:cNvPr>
        <xdr:cNvSpPr/>
      </xdr:nvSpPr>
      <xdr:spPr>
        <a:xfrm>
          <a:off x="8258176" y="96393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2047876</xdr:colOff>
      <xdr:row>40</xdr:row>
      <xdr:rowOff>85725</xdr:rowOff>
    </xdr:from>
    <xdr:ext cx="933449" cy="168120"/>
    <xdr:sp macro="" textlink="" fLocksText="0">
      <xdr:nvSpPr>
        <xdr:cNvPr id="342" name="Gefaltete Ecke 341">
          <a:extLst>
            <a:ext uri="{FF2B5EF4-FFF2-40B4-BE49-F238E27FC236}">
              <a16:creationId xmlns:a16="http://schemas.microsoft.com/office/drawing/2014/main" id="{00000000-0008-0000-1000-000056010000}"/>
            </a:ext>
          </a:extLst>
        </xdr:cNvPr>
        <xdr:cNvSpPr/>
      </xdr:nvSpPr>
      <xdr:spPr>
        <a:xfrm>
          <a:off x="10906126" y="84105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1114426</xdr:colOff>
      <xdr:row>42</xdr:row>
      <xdr:rowOff>57150</xdr:rowOff>
    </xdr:from>
    <xdr:ext cx="933449" cy="168120"/>
    <xdr:sp macro="" textlink="" fLocksText="0">
      <xdr:nvSpPr>
        <xdr:cNvPr id="343" name="Gefaltete Ecke 342">
          <a:extLst>
            <a:ext uri="{FF2B5EF4-FFF2-40B4-BE49-F238E27FC236}">
              <a16:creationId xmlns:a16="http://schemas.microsoft.com/office/drawing/2014/main" id="{00000000-0008-0000-1000-000057010000}"/>
            </a:ext>
          </a:extLst>
        </xdr:cNvPr>
        <xdr:cNvSpPr/>
      </xdr:nvSpPr>
      <xdr:spPr>
        <a:xfrm>
          <a:off x="12687301" y="87630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1247776</xdr:colOff>
      <xdr:row>49</xdr:row>
      <xdr:rowOff>19050</xdr:rowOff>
    </xdr:from>
    <xdr:ext cx="933449" cy="168120"/>
    <xdr:sp macro="" textlink="" fLocksText="0">
      <xdr:nvSpPr>
        <xdr:cNvPr id="344" name="Gefaltete Ecke 343">
          <a:extLst>
            <a:ext uri="{FF2B5EF4-FFF2-40B4-BE49-F238E27FC236}">
              <a16:creationId xmlns:a16="http://schemas.microsoft.com/office/drawing/2014/main" id="{00000000-0008-0000-1000-000058010000}"/>
            </a:ext>
          </a:extLst>
        </xdr:cNvPr>
        <xdr:cNvSpPr/>
      </xdr:nvSpPr>
      <xdr:spPr>
        <a:xfrm>
          <a:off x="12820651" y="100584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809626</xdr:colOff>
      <xdr:row>45</xdr:row>
      <xdr:rowOff>47625</xdr:rowOff>
    </xdr:from>
    <xdr:ext cx="933449" cy="168120"/>
    <xdr:sp macro="" textlink="" fLocksText="0">
      <xdr:nvSpPr>
        <xdr:cNvPr id="345" name="Gefaltete Ecke 344">
          <a:extLst>
            <a:ext uri="{FF2B5EF4-FFF2-40B4-BE49-F238E27FC236}">
              <a16:creationId xmlns:a16="http://schemas.microsoft.com/office/drawing/2014/main" id="{00000000-0008-0000-1000-000059010000}"/>
            </a:ext>
          </a:extLst>
        </xdr:cNvPr>
        <xdr:cNvSpPr/>
      </xdr:nvSpPr>
      <xdr:spPr>
        <a:xfrm>
          <a:off x="12382501" y="93249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6</xdr:col>
      <xdr:colOff>771526</xdr:colOff>
      <xdr:row>44</xdr:row>
      <xdr:rowOff>171450</xdr:rowOff>
    </xdr:from>
    <xdr:ext cx="933449" cy="168120"/>
    <xdr:sp macro="" textlink="" fLocksText="0">
      <xdr:nvSpPr>
        <xdr:cNvPr id="346" name="Gefaltete Ecke 345">
          <a:extLst>
            <a:ext uri="{FF2B5EF4-FFF2-40B4-BE49-F238E27FC236}">
              <a16:creationId xmlns:a16="http://schemas.microsoft.com/office/drawing/2014/main" id="{00000000-0008-0000-1000-00005A010000}"/>
            </a:ext>
          </a:extLst>
        </xdr:cNvPr>
        <xdr:cNvSpPr/>
      </xdr:nvSpPr>
      <xdr:spPr>
        <a:xfrm>
          <a:off x="9629776" y="9258300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7</xdr:col>
      <xdr:colOff>533401</xdr:colOff>
      <xdr:row>33</xdr:row>
      <xdr:rowOff>47625</xdr:rowOff>
    </xdr:from>
    <xdr:ext cx="933449" cy="168120"/>
    <xdr:sp macro="" textlink="" fLocksText="0">
      <xdr:nvSpPr>
        <xdr:cNvPr id="347" name="Gefaltete Ecke 346">
          <a:extLst>
            <a:ext uri="{FF2B5EF4-FFF2-40B4-BE49-F238E27FC236}">
              <a16:creationId xmlns:a16="http://schemas.microsoft.com/office/drawing/2014/main" id="{00000000-0008-0000-1000-00005B010000}"/>
            </a:ext>
          </a:extLst>
        </xdr:cNvPr>
        <xdr:cNvSpPr/>
      </xdr:nvSpPr>
      <xdr:spPr>
        <a:xfrm>
          <a:off x="12106276" y="69627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oneCellAnchor>
    <xdr:from>
      <xdr:col>3</xdr:col>
      <xdr:colOff>2657476</xdr:colOff>
      <xdr:row>45</xdr:row>
      <xdr:rowOff>123825</xdr:rowOff>
    </xdr:from>
    <xdr:ext cx="933449" cy="168120"/>
    <xdr:sp macro="" textlink="" fLocksText="0">
      <xdr:nvSpPr>
        <xdr:cNvPr id="348" name="Gefaltete Ecke 347">
          <a:extLst>
            <a:ext uri="{FF2B5EF4-FFF2-40B4-BE49-F238E27FC236}">
              <a16:creationId xmlns:a16="http://schemas.microsoft.com/office/drawing/2014/main" id="{00000000-0008-0000-1000-00005C010000}"/>
            </a:ext>
          </a:extLst>
        </xdr:cNvPr>
        <xdr:cNvSpPr/>
      </xdr:nvSpPr>
      <xdr:spPr>
        <a:xfrm>
          <a:off x="6038851" y="9401175"/>
          <a:ext cx="933449" cy="168120"/>
        </a:xfrm>
        <a:prstGeom prst="foldedCorner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36000" tIns="0" rIns="36000" bIns="0" numCol="1" spcCol="0" rtlCol="0" fromWordArt="0" anchor="t" anchorCtr="0" forceAA="0" compatLnSpc="1">
          <a:prstTxWarp prst="textNoShape">
            <a:avLst/>
          </a:prstTxWarp>
          <a:spAutoFit/>
        </a:bodyPr>
        <a:lstStyle/>
        <a:p>
          <a:pPr algn="ctr"/>
          <a:endParaRPr lang="en-US" sz="900" b="0" i="0" u="none" strike="noStrike">
            <a:solidFill>
              <a:srgbClr val="000000"/>
            </a:solidFill>
            <a:latin typeface="Calibri"/>
          </a:endParaRPr>
        </a:p>
      </xdr:txBody>
    </xdr:sp>
    <xdr:clientData fLocksWithSheet="0"/>
  </xdr:oneCellAnchor>
  <xdr:twoCellAnchor editAs="oneCell">
    <xdr:from>
      <xdr:col>0</xdr:col>
      <xdr:colOff>76200</xdr:colOff>
      <xdr:row>0</xdr:row>
      <xdr:rowOff>114300</xdr:rowOff>
    </xdr:from>
    <xdr:to>
      <xdr:col>0</xdr:col>
      <xdr:colOff>400200</xdr:colOff>
      <xdr:row>0</xdr:row>
      <xdr:rowOff>439765</xdr:rowOff>
    </xdr:to>
    <xdr:grpSp>
      <xdr:nvGrpSpPr>
        <xdr:cNvPr id="349" name="Gruppieren 34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000-00005D010000}"/>
            </a:ext>
          </a:extLst>
        </xdr:cNvPr>
        <xdr:cNvGrpSpPr/>
      </xdr:nvGrpSpPr>
      <xdr:grpSpPr>
        <a:xfrm>
          <a:off x="76200" y="114300"/>
          <a:ext cx="324000" cy="325465"/>
          <a:chOff x="9191625" y="3009900"/>
          <a:chExt cx="324000" cy="325465"/>
        </a:xfrm>
      </xdr:grpSpPr>
      <xdr:sp macro="" textlink="">
        <xdr:nvSpPr>
          <xdr:cNvPr id="350" name="Rechteck 349">
            <a:extLst>
              <a:ext uri="{FF2B5EF4-FFF2-40B4-BE49-F238E27FC236}">
                <a16:creationId xmlns:a16="http://schemas.microsoft.com/office/drawing/2014/main" id="{00000000-0008-0000-1000-00005E01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51" name="Pfeil nach links 350">
            <a:extLst>
              <a:ext uri="{FF2B5EF4-FFF2-40B4-BE49-F238E27FC236}">
                <a16:creationId xmlns:a16="http://schemas.microsoft.com/office/drawing/2014/main" id="{00000000-0008-0000-1000-00005F01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525780</xdr:colOff>
          <xdr:row>0</xdr:row>
          <xdr:rowOff>7620</xdr:rowOff>
        </xdr:from>
        <xdr:to>
          <xdr:col>7</xdr:col>
          <xdr:colOff>2785110</xdr:colOff>
          <xdr:row>0</xdr:row>
          <xdr:rowOff>541020</xdr:rowOff>
        </xdr:to>
        <xdr:pic>
          <xdr:nvPicPr>
            <xdr:cNvPr id="133" name="Grafik 45">
              <a:extLst>
                <a:ext uri="{FF2B5EF4-FFF2-40B4-BE49-F238E27FC236}">
                  <a16:creationId xmlns:a16="http://schemas.microsoft.com/office/drawing/2014/main" id="{00000000-0008-0000-1000-00008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34151"/>
                </a:ext>
              </a:extLst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12412980" y="762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11</xdr:row>
          <xdr:rowOff>19137</xdr:rowOff>
        </xdr:from>
        <xdr:to>
          <xdr:col>16</xdr:col>
          <xdr:colOff>132300</xdr:colOff>
          <xdr:row>11</xdr:row>
          <xdr:rowOff>222853</xdr:rowOff>
        </xdr:to>
        <xdr:grpSp>
          <xdr:nvGrpSpPr>
            <xdr:cNvPr id="2" name="Gruppieren 1">
              <a:extLst>
                <a:ext uri="{FF2B5EF4-FFF2-40B4-BE49-F238E27FC236}">
                  <a16:creationId xmlns:a16="http://schemas.microsoft.com/office/drawing/2014/main" id="{00000000-0008-0000-1100-000002000000}"/>
                </a:ext>
              </a:extLst>
            </xdr:cNvPr>
            <xdr:cNvGrpSpPr/>
          </xdr:nvGrpSpPr>
          <xdr:grpSpPr>
            <a:xfrm>
              <a:off x="4427409" y="2648037"/>
              <a:ext cx="2341911" cy="203716"/>
              <a:chOff x="3581386" y="2105144"/>
              <a:chExt cx="2247892" cy="276225"/>
            </a:xfrm>
          </xdr:grpSpPr>
          <xdr:sp macro="" textlink="">
            <xdr:nvSpPr>
              <xdr:cNvPr id="38913" name="Group Box 1" hidden="1">
                <a:extLst>
                  <a:ext uri="{63B3BB69-23CF-44E3-9099-C40C66FF867C}">
                    <a14:compatExt spid="_x0000_s38913"/>
                  </a:ext>
                  <a:ext uri="{FF2B5EF4-FFF2-40B4-BE49-F238E27FC236}">
                    <a16:creationId xmlns:a16="http://schemas.microsoft.com/office/drawing/2014/main" id="{00000000-0008-0000-1100-000001980000}"/>
                  </a:ext>
                </a:extLst>
              </xdr:cNvPr>
              <xdr:cNvSpPr/>
            </xdr:nvSpPr>
            <xdr:spPr bwMode="auto">
              <a:xfrm>
                <a:off x="3581386" y="2105144"/>
                <a:ext cx="2247892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14" name="Option Button 2" hidden="1">
                <a:extLst>
                  <a:ext uri="{63B3BB69-23CF-44E3-9099-C40C66FF867C}">
                    <a14:compatExt spid="_x0000_s38914"/>
                  </a:ext>
                  <a:ext uri="{FF2B5EF4-FFF2-40B4-BE49-F238E27FC236}">
                    <a16:creationId xmlns:a16="http://schemas.microsoft.com/office/drawing/2014/main" id="{00000000-0008-0000-1100-000002980000}"/>
                  </a:ext>
                </a:extLst>
              </xdr:cNvPr>
              <xdr:cNvSpPr/>
            </xdr:nvSpPr>
            <xdr:spPr bwMode="auto">
              <a:xfrm>
                <a:off x="3705222" y="2152649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15" name="Option Button 3" hidden="1">
                <a:extLst>
                  <a:ext uri="{63B3BB69-23CF-44E3-9099-C40C66FF867C}">
                    <a14:compatExt spid="_x0000_s38915"/>
                  </a:ext>
                  <a:ext uri="{FF2B5EF4-FFF2-40B4-BE49-F238E27FC236}">
                    <a16:creationId xmlns:a16="http://schemas.microsoft.com/office/drawing/2014/main" id="{00000000-0008-0000-1100-000003980000}"/>
                  </a:ext>
                </a:extLst>
              </xdr:cNvPr>
              <xdr:cNvSpPr/>
            </xdr:nvSpPr>
            <xdr:spPr bwMode="auto">
              <a:xfrm>
                <a:off x="4143371" y="2152649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16" name="Option Button 4" hidden="1">
                <a:extLst>
                  <a:ext uri="{63B3BB69-23CF-44E3-9099-C40C66FF867C}">
                    <a14:compatExt spid="_x0000_s38916"/>
                  </a:ext>
                  <a:ext uri="{FF2B5EF4-FFF2-40B4-BE49-F238E27FC236}">
                    <a16:creationId xmlns:a16="http://schemas.microsoft.com/office/drawing/2014/main" id="{00000000-0008-0000-1100-000004980000}"/>
                  </a:ext>
                </a:extLst>
              </xdr:cNvPr>
              <xdr:cNvSpPr/>
            </xdr:nvSpPr>
            <xdr:spPr bwMode="auto">
              <a:xfrm>
                <a:off x="4581519" y="2152645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17" name="Option Button 5" hidden="1">
                <a:extLst>
                  <a:ext uri="{63B3BB69-23CF-44E3-9099-C40C66FF867C}">
                    <a14:compatExt spid="_x0000_s38917"/>
                  </a:ext>
                  <a:ext uri="{FF2B5EF4-FFF2-40B4-BE49-F238E27FC236}">
                    <a16:creationId xmlns:a16="http://schemas.microsoft.com/office/drawing/2014/main" id="{00000000-0008-0000-1100-000005980000}"/>
                  </a:ext>
                </a:extLst>
              </xdr:cNvPr>
              <xdr:cNvSpPr/>
            </xdr:nvSpPr>
            <xdr:spPr bwMode="auto">
              <a:xfrm>
                <a:off x="5019669" y="2152649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18" name="Option Button 6" hidden="1">
                <a:extLst>
                  <a:ext uri="{63B3BB69-23CF-44E3-9099-C40C66FF867C}">
                    <a14:compatExt spid="_x0000_s38918"/>
                  </a:ext>
                  <a:ext uri="{FF2B5EF4-FFF2-40B4-BE49-F238E27FC236}">
                    <a16:creationId xmlns:a16="http://schemas.microsoft.com/office/drawing/2014/main" id="{00000000-0008-0000-1100-000006980000}"/>
                  </a:ext>
                </a:extLst>
              </xdr:cNvPr>
              <xdr:cNvSpPr/>
            </xdr:nvSpPr>
            <xdr:spPr bwMode="auto">
              <a:xfrm>
                <a:off x="5457824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76406</xdr:colOff>
          <xdr:row>12</xdr:row>
          <xdr:rowOff>28557</xdr:rowOff>
        </xdr:from>
        <xdr:to>
          <xdr:col>16</xdr:col>
          <xdr:colOff>132308</xdr:colOff>
          <xdr:row>12</xdr:row>
          <xdr:rowOff>232265</xdr:rowOff>
        </xdr:to>
        <xdr:grpSp>
          <xdr:nvGrpSpPr>
            <xdr:cNvPr id="9" name="Gruppieren 8">
              <a:extLst>
                <a:ext uri="{FF2B5EF4-FFF2-40B4-BE49-F238E27FC236}">
                  <a16:creationId xmlns:a16="http://schemas.microsoft.com/office/drawing/2014/main" id="{00000000-0008-0000-1100-000009000000}"/>
                </a:ext>
              </a:extLst>
            </xdr:cNvPr>
            <xdr:cNvGrpSpPr/>
          </xdr:nvGrpSpPr>
          <xdr:grpSpPr>
            <a:xfrm>
              <a:off x="4427426" y="3053697"/>
              <a:ext cx="2341902" cy="203708"/>
              <a:chOff x="3581407" y="2104446"/>
              <a:chExt cx="2247901" cy="276223"/>
            </a:xfrm>
          </xdr:grpSpPr>
          <xdr:sp macro="" textlink="">
            <xdr:nvSpPr>
              <xdr:cNvPr id="38919" name="Group Box 7" hidden="1">
                <a:extLst>
                  <a:ext uri="{63B3BB69-23CF-44E3-9099-C40C66FF867C}">
                    <a14:compatExt spid="_x0000_s38919"/>
                  </a:ext>
                  <a:ext uri="{FF2B5EF4-FFF2-40B4-BE49-F238E27FC236}">
                    <a16:creationId xmlns:a16="http://schemas.microsoft.com/office/drawing/2014/main" id="{00000000-0008-0000-1100-000007980000}"/>
                  </a:ext>
                </a:extLst>
              </xdr:cNvPr>
              <xdr:cNvSpPr/>
            </xdr:nvSpPr>
            <xdr:spPr bwMode="auto">
              <a:xfrm>
                <a:off x="3581407" y="2104446"/>
                <a:ext cx="2247901" cy="2762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20" name="Option Button 8" hidden="1">
                <a:extLst>
                  <a:ext uri="{63B3BB69-23CF-44E3-9099-C40C66FF867C}">
                    <a14:compatExt spid="_x0000_s38920"/>
                  </a:ext>
                  <a:ext uri="{FF2B5EF4-FFF2-40B4-BE49-F238E27FC236}">
                    <a16:creationId xmlns:a16="http://schemas.microsoft.com/office/drawing/2014/main" id="{00000000-0008-0000-1100-000008980000}"/>
                  </a:ext>
                </a:extLst>
              </xdr:cNvPr>
              <xdr:cNvSpPr/>
            </xdr:nvSpPr>
            <xdr:spPr bwMode="auto">
              <a:xfrm>
                <a:off x="370522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21" name="Option Button 9" hidden="1">
                <a:extLst>
                  <a:ext uri="{63B3BB69-23CF-44E3-9099-C40C66FF867C}">
                    <a14:compatExt spid="_x0000_s38921"/>
                  </a:ext>
                  <a:ext uri="{FF2B5EF4-FFF2-40B4-BE49-F238E27FC236}">
                    <a16:creationId xmlns:a16="http://schemas.microsoft.com/office/drawing/2014/main" id="{00000000-0008-0000-1100-000009980000}"/>
                  </a:ext>
                </a:extLst>
              </xdr:cNvPr>
              <xdr:cNvSpPr/>
            </xdr:nvSpPr>
            <xdr:spPr bwMode="auto">
              <a:xfrm>
                <a:off x="4143374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22" name="Option Button 10" hidden="1">
                <a:extLst>
                  <a:ext uri="{63B3BB69-23CF-44E3-9099-C40C66FF867C}">
                    <a14:compatExt spid="_x0000_s38922"/>
                  </a:ext>
                  <a:ext uri="{FF2B5EF4-FFF2-40B4-BE49-F238E27FC236}">
                    <a16:creationId xmlns:a16="http://schemas.microsoft.com/office/drawing/2014/main" id="{00000000-0008-0000-1100-00000A980000}"/>
                  </a:ext>
                </a:extLst>
              </xdr:cNvPr>
              <xdr:cNvSpPr/>
            </xdr:nvSpPr>
            <xdr:spPr bwMode="auto">
              <a:xfrm>
                <a:off x="4581526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23" name="Option Button 11" hidden="1">
                <a:extLst>
                  <a:ext uri="{63B3BB69-23CF-44E3-9099-C40C66FF867C}">
                    <a14:compatExt spid="_x0000_s38923"/>
                  </a:ext>
                  <a:ext uri="{FF2B5EF4-FFF2-40B4-BE49-F238E27FC236}">
                    <a16:creationId xmlns:a16="http://schemas.microsoft.com/office/drawing/2014/main" id="{00000000-0008-0000-1100-00000B980000}"/>
                  </a:ext>
                </a:extLst>
              </xdr:cNvPr>
              <xdr:cNvSpPr/>
            </xdr:nvSpPr>
            <xdr:spPr bwMode="auto">
              <a:xfrm>
                <a:off x="501967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24" name="Option Button 12" hidden="1">
                <a:extLst>
                  <a:ext uri="{63B3BB69-23CF-44E3-9099-C40C66FF867C}">
                    <a14:compatExt spid="_x0000_s38924"/>
                  </a:ext>
                  <a:ext uri="{FF2B5EF4-FFF2-40B4-BE49-F238E27FC236}">
                    <a16:creationId xmlns:a16="http://schemas.microsoft.com/office/drawing/2014/main" id="{00000000-0008-0000-1100-00000C980000}"/>
                  </a:ext>
                </a:extLst>
              </xdr:cNvPr>
              <xdr:cNvSpPr/>
            </xdr:nvSpPr>
            <xdr:spPr bwMode="auto">
              <a:xfrm>
                <a:off x="545782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76387</xdr:colOff>
          <xdr:row>12</xdr:row>
          <xdr:rowOff>390629</xdr:rowOff>
        </xdr:from>
        <xdr:to>
          <xdr:col>16</xdr:col>
          <xdr:colOff>132298</xdr:colOff>
          <xdr:row>13</xdr:row>
          <xdr:rowOff>184584</xdr:rowOff>
        </xdr:to>
        <xdr:grpSp>
          <xdr:nvGrpSpPr>
            <xdr:cNvPr id="16" name="Gruppieren 15">
              <a:extLst>
                <a:ext uri="{FF2B5EF4-FFF2-40B4-BE49-F238E27FC236}">
                  <a16:creationId xmlns:a16="http://schemas.microsoft.com/office/drawing/2014/main" id="{00000000-0008-0000-1100-000010000000}"/>
                </a:ext>
              </a:extLst>
            </xdr:cNvPr>
            <xdr:cNvGrpSpPr/>
          </xdr:nvGrpSpPr>
          <xdr:grpSpPr>
            <a:xfrm>
              <a:off x="4427407" y="3415769"/>
              <a:ext cx="2341911" cy="190195"/>
              <a:chOff x="3581386" y="2105174"/>
              <a:chExt cx="2247895" cy="276225"/>
            </a:xfrm>
          </xdr:grpSpPr>
          <xdr:sp macro="" textlink="">
            <xdr:nvSpPr>
              <xdr:cNvPr id="38925" name="Group Box 13" hidden="1">
                <a:extLst>
                  <a:ext uri="{63B3BB69-23CF-44E3-9099-C40C66FF867C}">
                    <a14:compatExt spid="_x0000_s38925"/>
                  </a:ext>
                  <a:ext uri="{FF2B5EF4-FFF2-40B4-BE49-F238E27FC236}">
                    <a16:creationId xmlns:a16="http://schemas.microsoft.com/office/drawing/2014/main" id="{00000000-0008-0000-1100-00000D980000}"/>
                  </a:ext>
                </a:extLst>
              </xdr:cNvPr>
              <xdr:cNvSpPr/>
            </xdr:nvSpPr>
            <xdr:spPr bwMode="auto">
              <a:xfrm>
                <a:off x="3581386" y="210517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26" name="Option Button 14" hidden="1">
                <a:extLst>
                  <a:ext uri="{63B3BB69-23CF-44E3-9099-C40C66FF867C}">
                    <a14:compatExt spid="_x0000_s38926"/>
                  </a:ext>
                  <a:ext uri="{FF2B5EF4-FFF2-40B4-BE49-F238E27FC236}">
                    <a16:creationId xmlns:a16="http://schemas.microsoft.com/office/drawing/2014/main" id="{00000000-0008-0000-1100-00000E9800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27" name="Option Button 15" hidden="1">
                <a:extLst>
                  <a:ext uri="{63B3BB69-23CF-44E3-9099-C40C66FF867C}">
                    <a14:compatExt spid="_x0000_s38927"/>
                  </a:ext>
                  <a:ext uri="{FF2B5EF4-FFF2-40B4-BE49-F238E27FC236}">
                    <a16:creationId xmlns:a16="http://schemas.microsoft.com/office/drawing/2014/main" id="{00000000-0008-0000-1100-00000F9800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28" name="Option Button 16" hidden="1">
                <a:extLst>
                  <a:ext uri="{63B3BB69-23CF-44E3-9099-C40C66FF867C}">
                    <a14:compatExt spid="_x0000_s38928"/>
                  </a:ext>
                  <a:ext uri="{FF2B5EF4-FFF2-40B4-BE49-F238E27FC236}">
                    <a16:creationId xmlns:a16="http://schemas.microsoft.com/office/drawing/2014/main" id="{00000000-0008-0000-1100-0000109800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29" name="Option Button 17" hidden="1">
                <a:extLst>
                  <a:ext uri="{63B3BB69-23CF-44E3-9099-C40C66FF867C}">
                    <a14:compatExt spid="_x0000_s38929"/>
                  </a:ext>
                  <a:ext uri="{FF2B5EF4-FFF2-40B4-BE49-F238E27FC236}">
                    <a16:creationId xmlns:a16="http://schemas.microsoft.com/office/drawing/2014/main" id="{00000000-0008-0000-1100-0000119800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30" name="Option Button 18" hidden="1">
                <a:extLst>
                  <a:ext uri="{63B3BB69-23CF-44E3-9099-C40C66FF867C}">
                    <a14:compatExt spid="_x0000_s38930"/>
                  </a:ext>
                  <a:ext uri="{FF2B5EF4-FFF2-40B4-BE49-F238E27FC236}">
                    <a16:creationId xmlns:a16="http://schemas.microsoft.com/office/drawing/2014/main" id="{00000000-0008-0000-1100-0000129800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15</xdr:row>
          <xdr:rowOff>19087</xdr:rowOff>
        </xdr:from>
        <xdr:to>
          <xdr:col>16</xdr:col>
          <xdr:colOff>132300</xdr:colOff>
          <xdr:row>15</xdr:row>
          <xdr:rowOff>203957</xdr:rowOff>
        </xdr:to>
        <xdr:grpSp>
          <xdr:nvGrpSpPr>
            <xdr:cNvPr id="23" name="Gruppieren 22">
              <a:extLst>
                <a:ext uri="{FF2B5EF4-FFF2-40B4-BE49-F238E27FC236}">
                  <a16:creationId xmlns:a16="http://schemas.microsoft.com/office/drawing/2014/main" id="{00000000-0008-0000-1100-000017000000}"/>
                </a:ext>
              </a:extLst>
            </xdr:cNvPr>
            <xdr:cNvGrpSpPr/>
          </xdr:nvGrpSpPr>
          <xdr:grpSpPr>
            <a:xfrm>
              <a:off x="4427409" y="3867187"/>
              <a:ext cx="2341911" cy="184870"/>
              <a:chOff x="3581386" y="2104686"/>
              <a:chExt cx="2247895" cy="276222"/>
            </a:xfrm>
          </xdr:grpSpPr>
          <xdr:sp macro="" textlink="">
            <xdr:nvSpPr>
              <xdr:cNvPr id="38931" name="Group Box 19" hidden="1">
                <a:extLst>
                  <a:ext uri="{63B3BB69-23CF-44E3-9099-C40C66FF867C}">
                    <a14:compatExt spid="_x0000_s38931"/>
                  </a:ext>
                  <a:ext uri="{FF2B5EF4-FFF2-40B4-BE49-F238E27FC236}">
                    <a16:creationId xmlns:a16="http://schemas.microsoft.com/office/drawing/2014/main" id="{00000000-0008-0000-1100-000013980000}"/>
                  </a:ext>
                </a:extLst>
              </xdr:cNvPr>
              <xdr:cNvSpPr/>
            </xdr:nvSpPr>
            <xdr:spPr bwMode="auto">
              <a:xfrm>
                <a:off x="3581386" y="2104686"/>
                <a:ext cx="2247895" cy="2762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32" name="Option Button 20" hidden="1">
                <a:extLst>
                  <a:ext uri="{63B3BB69-23CF-44E3-9099-C40C66FF867C}">
                    <a14:compatExt spid="_x0000_s38932"/>
                  </a:ext>
                  <a:ext uri="{FF2B5EF4-FFF2-40B4-BE49-F238E27FC236}">
                    <a16:creationId xmlns:a16="http://schemas.microsoft.com/office/drawing/2014/main" id="{00000000-0008-0000-1100-000014980000}"/>
                  </a:ext>
                </a:extLst>
              </xdr:cNvPr>
              <xdr:cNvSpPr/>
            </xdr:nvSpPr>
            <xdr:spPr bwMode="auto">
              <a:xfrm>
                <a:off x="3705226" y="215266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33" name="Option Button 21" hidden="1">
                <a:extLst>
                  <a:ext uri="{63B3BB69-23CF-44E3-9099-C40C66FF867C}">
                    <a14:compatExt spid="_x0000_s38933"/>
                  </a:ext>
                  <a:ext uri="{FF2B5EF4-FFF2-40B4-BE49-F238E27FC236}">
                    <a16:creationId xmlns:a16="http://schemas.microsoft.com/office/drawing/2014/main" id="{00000000-0008-0000-1100-000015980000}"/>
                  </a:ext>
                </a:extLst>
              </xdr:cNvPr>
              <xdr:cNvSpPr/>
            </xdr:nvSpPr>
            <xdr:spPr bwMode="auto">
              <a:xfrm>
                <a:off x="4143376" y="215266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34" name="Option Button 22" hidden="1">
                <a:extLst>
                  <a:ext uri="{63B3BB69-23CF-44E3-9099-C40C66FF867C}">
                    <a14:compatExt spid="_x0000_s38934"/>
                  </a:ext>
                  <a:ext uri="{FF2B5EF4-FFF2-40B4-BE49-F238E27FC236}">
                    <a16:creationId xmlns:a16="http://schemas.microsoft.com/office/drawing/2014/main" id="{00000000-0008-0000-1100-000016980000}"/>
                  </a:ext>
                </a:extLst>
              </xdr:cNvPr>
              <xdr:cNvSpPr/>
            </xdr:nvSpPr>
            <xdr:spPr bwMode="auto">
              <a:xfrm>
                <a:off x="4581525" y="215266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35" name="Option Button 23" hidden="1">
                <a:extLst>
                  <a:ext uri="{63B3BB69-23CF-44E3-9099-C40C66FF867C}">
                    <a14:compatExt spid="_x0000_s38935"/>
                  </a:ext>
                  <a:ext uri="{FF2B5EF4-FFF2-40B4-BE49-F238E27FC236}">
                    <a16:creationId xmlns:a16="http://schemas.microsoft.com/office/drawing/2014/main" id="{00000000-0008-0000-1100-000017980000}"/>
                  </a:ext>
                </a:extLst>
              </xdr:cNvPr>
              <xdr:cNvSpPr/>
            </xdr:nvSpPr>
            <xdr:spPr bwMode="auto">
              <a:xfrm>
                <a:off x="5019675" y="215266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36" name="Option Button 24" hidden="1">
                <a:extLst>
                  <a:ext uri="{63B3BB69-23CF-44E3-9099-C40C66FF867C}">
                    <a14:compatExt spid="_x0000_s38936"/>
                  </a:ext>
                  <a:ext uri="{FF2B5EF4-FFF2-40B4-BE49-F238E27FC236}">
                    <a16:creationId xmlns:a16="http://schemas.microsoft.com/office/drawing/2014/main" id="{00000000-0008-0000-1100-000018980000}"/>
                  </a:ext>
                </a:extLst>
              </xdr:cNvPr>
              <xdr:cNvSpPr/>
            </xdr:nvSpPr>
            <xdr:spPr bwMode="auto">
              <a:xfrm>
                <a:off x="5457824" y="215266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16</xdr:row>
          <xdr:rowOff>28589</xdr:rowOff>
        </xdr:from>
        <xdr:to>
          <xdr:col>16</xdr:col>
          <xdr:colOff>132300</xdr:colOff>
          <xdr:row>16</xdr:row>
          <xdr:rowOff>204324</xdr:rowOff>
        </xdr:to>
        <xdr:grpSp>
          <xdr:nvGrpSpPr>
            <xdr:cNvPr id="30" name="Gruppieren 29">
              <a:extLst>
                <a:ext uri="{FF2B5EF4-FFF2-40B4-BE49-F238E27FC236}">
                  <a16:creationId xmlns:a16="http://schemas.microsoft.com/office/drawing/2014/main" id="{00000000-0008-0000-1100-00001E000000}"/>
                </a:ext>
              </a:extLst>
            </xdr:cNvPr>
            <xdr:cNvGrpSpPr/>
          </xdr:nvGrpSpPr>
          <xdr:grpSpPr>
            <a:xfrm>
              <a:off x="4427409" y="4272929"/>
              <a:ext cx="2341911" cy="175735"/>
              <a:chOff x="3581386" y="2105424"/>
              <a:chExt cx="2247895" cy="276227"/>
            </a:xfrm>
          </xdr:grpSpPr>
          <xdr:sp macro="" textlink="">
            <xdr:nvSpPr>
              <xdr:cNvPr id="38937" name="Group Box 25" hidden="1">
                <a:extLst>
                  <a:ext uri="{63B3BB69-23CF-44E3-9099-C40C66FF867C}">
                    <a14:compatExt spid="_x0000_s38937"/>
                  </a:ext>
                  <a:ext uri="{FF2B5EF4-FFF2-40B4-BE49-F238E27FC236}">
                    <a16:creationId xmlns:a16="http://schemas.microsoft.com/office/drawing/2014/main" id="{00000000-0008-0000-1100-000019980000}"/>
                  </a:ext>
                </a:extLst>
              </xdr:cNvPr>
              <xdr:cNvSpPr/>
            </xdr:nvSpPr>
            <xdr:spPr bwMode="auto">
              <a:xfrm>
                <a:off x="3581386" y="2105424"/>
                <a:ext cx="2247895" cy="27622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38" name="Option Button 26" hidden="1">
                <a:extLst>
                  <a:ext uri="{63B3BB69-23CF-44E3-9099-C40C66FF867C}">
                    <a14:compatExt spid="_x0000_s38938"/>
                  </a:ext>
                  <a:ext uri="{FF2B5EF4-FFF2-40B4-BE49-F238E27FC236}">
                    <a16:creationId xmlns:a16="http://schemas.microsoft.com/office/drawing/2014/main" id="{00000000-0008-0000-1100-00001A980000}"/>
                  </a:ext>
                </a:extLst>
              </xdr:cNvPr>
              <xdr:cNvSpPr/>
            </xdr:nvSpPr>
            <xdr:spPr bwMode="auto">
              <a:xfrm>
                <a:off x="3705226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39" name="Option Button 27" hidden="1">
                <a:extLst>
                  <a:ext uri="{63B3BB69-23CF-44E3-9099-C40C66FF867C}">
                    <a14:compatExt spid="_x0000_s38939"/>
                  </a:ext>
                  <a:ext uri="{FF2B5EF4-FFF2-40B4-BE49-F238E27FC236}">
                    <a16:creationId xmlns:a16="http://schemas.microsoft.com/office/drawing/2014/main" id="{00000000-0008-0000-1100-00001B980000}"/>
                  </a:ext>
                </a:extLst>
              </xdr:cNvPr>
              <xdr:cNvSpPr/>
            </xdr:nvSpPr>
            <xdr:spPr bwMode="auto">
              <a:xfrm>
                <a:off x="4143376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40" name="Option Button 28" hidden="1">
                <a:extLst>
                  <a:ext uri="{63B3BB69-23CF-44E3-9099-C40C66FF867C}">
                    <a14:compatExt spid="_x0000_s38940"/>
                  </a:ext>
                  <a:ext uri="{FF2B5EF4-FFF2-40B4-BE49-F238E27FC236}">
                    <a16:creationId xmlns:a16="http://schemas.microsoft.com/office/drawing/2014/main" id="{00000000-0008-0000-1100-00001C980000}"/>
                  </a:ext>
                </a:extLst>
              </xdr:cNvPr>
              <xdr:cNvSpPr/>
            </xdr:nvSpPr>
            <xdr:spPr bwMode="auto">
              <a:xfrm>
                <a:off x="4581525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41" name="Option Button 29" hidden="1">
                <a:extLst>
                  <a:ext uri="{63B3BB69-23CF-44E3-9099-C40C66FF867C}">
                    <a14:compatExt spid="_x0000_s38941"/>
                  </a:ext>
                  <a:ext uri="{FF2B5EF4-FFF2-40B4-BE49-F238E27FC236}">
                    <a16:creationId xmlns:a16="http://schemas.microsoft.com/office/drawing/2014/main" id="{00000000-0008-0000-1100-00001D980000}"/>
                  </a:ext>
                </a:extLst>
              </xdr:cNvPr>
              <xdr:cNvSpPr/>
            </xdr:nvSpPr>
            <xdr:spPr bwMode="auto">
              <a:xfrm>
                <a:off x="5019675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42" name="Option Button 30" hidden="1">
                <a:extLst>
                  <a:ext uri="{63B3BB69-23CF-44E3-9099-C40C66FF867C}">
                    <a14:compatExt spid="_x0000_s38942"/>
                  </a:ext>
                  <a:ext uri="{FF2B5EF4-FFF2-40B4-BE49-F238E27FC236}">
                    <a16:creationId xmlns:a16="http://schemas.microsoft.com/office/drawing/2014/main" id="{00000000-0008-0000-1100-00001E980000}"/>
                  </a:ext>
                </a:extLst>
              </xdr:cNvPr>
              <xdr:cNvSpPr/>
            </xdr:nvSpPr>
            <xdr:spPr bwMode="auto">
              <a:xfrm>
                <a:off x="5457824" y="2152647"/>
                <a:ext cx="216000" cy="1800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17</xdr:row>
          <xdr:rowOff>9591</xdr:rowOff>
        </xdr:from>
        <xdr:to>
          <xdr:col>16</xdr:col>
          <xdr:colOff>132300</xdr:colOff>
          <xdr:row>17</xdr:row>
          <xdr:rowOff>203596</xdr:rowOff>
        </xdr:to>
        <xdr:grpSp>
          <xdr:nvGrpSpPr>
            <xdr:cNvPr id="37" name="Gruppieren 36">
              <a:extLst>
                <a:ext uri="{FF2B5EF4-FFF2-40B4-BE49-F238E27FC236}">
                  <a16:creationId xmlns:a16="http://schemas.microsoft.com/office/drawing/2014/main" id="{00000000-0008-0000-1100-000025000000}"/>
                </a:ext>
              </a:extLst>
            </xdr:cNvPr>
            <xdr:cNvGrpSpPr/>
          </xdr:nvGrpSpPr>
          <xdr:grpSpPr>
            <a:xfrm>
              <a:off x="4427409" y="4650171"/>
              <a:ext cx="2341911" cy="194005"/>
              <a:chOff x="3581386" y="2104692"/>
              <a:chExt cx="2247895" cy="276226"/>
            </a:xfrm>
          </xdr:grpSpPr>
          <xdr:sp macro="" textlink="">
            <xdr:nvSpPr>
              <xdr:cNvPr id="38943" name="Group Box 31" hidden="1">
                <a:extLst>
                  <a:ext uri="{63B3BB69-23CF-44E3-9099-C40C66FF867C}">
                    <a14:compatExt spid="_x0000_s38943"/>
                  </a:ext>
                  <a:ext uri="{FF2B5EF4-FFF2-40B4-BE49-F238E27FC236}">
                    <a16:creationId xmlns:a16="http://schemas.microsoft.com/office/drawing/2014/main" id="{00000000-0008-0000-1100-00001F980000}"/>
                  </a:ext>
                </a:extLst>
              </xdr:cNvPr>
              <xdr:cNvSpPr/>
            </xdr:nvSpPr>
            <xdr:spPr bwMode="auto">
              <a:xfrm>
                <a:off x="3581386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44" name="Option Button 32" hidden="1">
                <a:extLst>
                  <a:ext uri="{63B3BB69-23CF-44E3-9099-C40C66FF867C}">
                    <a14:compatExt spid="_x0000_s38944"/>
                  </a:ext>
                  <a:ext uri="{FF2B5EF4-FFF2-40B4-BE49-F238E27FC236}">
                    <a16:creationId xmlns:a16="http://schemas.microsoft.com/office/drawing/2014/main" id="{00000000-0008-0000-1100-000020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45" name="Option Button 33" hidden="1">
                <a:extLst>
                  <a:ext uri="{63B3BB69-23CF-44E3-9099-C40C66FF867C}">
                    <a14:compatExt spid="_x0000_s38945"/>
                  </a:ext>
                  <a:ext uri="{FF2B5EF4-FFF2-40B4-BE49-F238E27FC236}">
                    <a16:creationId xmlns:a16="http://schemas.microsoft.com/office/drawing/2014/main" id="{00000000-0008-0000-1100-000021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46" name="Option Button 34" hidden="1">
                <a:extLst>
                  <a:ext uri="{63B3BB69-23CF-44E3-9099-C40C66FF867C}">
                    <a14:compatExt spid="_x0000_s38946"/>
                  </a:ext>
                  <a:ext uri="{FF2B5EF4-FFF2-40B4-BE49-F238E27FC236}">
                    <a16:creationId xmlns:a16="http://schemas.microsoft.com/office/drawing/2014/main" id="{00000000-0008-0000-1100-000022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47" name="Option Button 35" hidden="1">
                <a:extLst>
                  <a:ext uri="{63B3BB69-23CF-44E3-9099-C40C66FF867C}">
                    <a14:compatExt spid="_x0000_s38947"/>
                  </a:ext>
                  <a:ext uri="{FF2B5EF4-FFF2-40B4-BE49-F238E27FC236}">
                    <a16:creationId xmlns:a16="http://schemas.microsoft.com/office/drawing/2014/main" id="{00000000-0008-0000-1100-000023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48" name="Option Button 36" hidden="1">
                <a:extLst>
                  <a:ext uri="{63B3BB69-23CF-44E3-9099-C40C66FF867C}">
                    <a14:compatExt spid="_x0000_s38948"/>
                  </a:ext>
                  <a:ext uri="{FF2B5EF4-FFF2-40B4-BE49-F238E27FC236}">
                    <a16:creationId xmlns:a16="http://schemas.microsoft.com/office/drawing/2014/main" id="{00000000-0008-0000-1100-000024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24</xdr:row>
          <xdr:rowOff>19000</xdr:rowOff>
        </xdr:from>
        <xdr:to>
          <xdr:col>16</xdr:col>
          <xdr:colOff>132300</xdr:colOff>
          <xdr:row>24</xdr:row>
          <xdr:rowOff>194736</xdr:rowOff>
        </xdr:to>
        <xdr:grpSp>
          <xdr:nvGrpSpPr>
            <xdr:cNvPr id="44" name="Gruppieren 43">
              <a:extLst>
                <a:ext uri="{FF2B5EF4-FFF2-40B4-BE49-F238E27FC236}">
                  <a16:creationId xmlns:a16="http://schemas.microsoft.com/office/drawing/2014/main" id="{00000000-0008-0000-1100-00002C000000}"/>
                </a:ext>
              </a:extLst>
            </xdr:cNvPr>
            <xdr:cNvGrpSpPr/>
          </xdr:nvGrpSpPr>
          <xdr:grpSpPr>
            <a:xfrm>
              <a:off x="4427409" y="7235140"/>
              <a:ext cx="2341911" cy="175736"/>
              <a:chOff x="3581386" y="2105158"/>
              <a:chExt cx="2247895" cy="276221"/>
            </a:xfrm>
          </xdr:grpSpPr>
          <xdr:sp macro="" textlink="">
            <xdr:nvSpPr>
              <xdr:cNvPr id="38949" name="Group Box 37" hidden="1">
                <a:extLst>
                  <a:ext uri="{63B3BB69-23CF-44E3-9099-C40C66FF867C}">
                    <a14:compatExt spid="_x0000_s38949"/>
                  </a:ext>
                  <a:ext uri="{FF2B5EF4-FFF2-40B4-BE49-F238E27FC236}">
                    <a16:creationId xmlns:a16="http://schemas.microsoft.com/office/drawing/2014/main" id="{00000000-0008-0000-1100-000025980000}"/>
                  </a:ext>
                </a:extLst>
              </xdr:cNvPr>
              <xdr:cNvSpPr/>
            </xdr:nvSpPr>
            <xdr:spPr bwMode="auto">
              <a:xfrm>
                <a:off x="3581386" y="2105158"/>
                <a:ext cx="2247895" cy="27622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50" name="Option Button 38" hidden="1">
                <a:extLst>
                  <a:ext uri="{63B3BB69-23CF-44E3-9099-C40C66FF867C}">
                    <a14:compatExt spid="_x0000_s38950"/>
                  </a:ext>
                  <a:ext uri="{FF2B5EF4-FFF2-40B4-BE49-F238E27FC236}">
                    <a16:creationId xmlns:a16="http://schemas.microsoft.com/office/drawing/2014/main" id="{00000000-0008-0000-1100-0000269800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51" name="Option Button 39" hidden="1">
                <a:extLst>
                  <a:ext uri="{63B3BB69-23CF-44E3-9099-C40C66FF867C}">
                    <a14:compatExt spid="_x0000_s38951"/>
                  </a:ext>
                  <a:ext uri="{FF2B5EF4-FFF2-40B4-BE49-F238E27FC236}">
                    <a16:creationId xmlns:a16="http://schemas.microsoft.com/office/drawing/2014/main" id="{00000000-0008-0000-1100-0000279800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52" name="Option Button 40" hidden="1">
                <a:extLst>
                  <a:ext uri="{63B3BB69-23CF-44E3-9099-C40C66FF867C}">
                    <a14:compatExt spid="_x0000_s38952"/>
                  </a:ext>
                  <a:ext uri="{FF2B5EF4-FFF2-40B4-BE49-F238E27FC236}">
                    <a16:creationId xmlns:a16="http://schemas.microsoft.com/office/drawing/2014/main" id="{00000000-0008-0000-1100-0000289800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53" name="Option Button 41" hidden="1">
                <a:extLst>
                  <a:ext uri="{63B3BB69-23CF-44E3-9099-C40C66FF867C}">
                    <a14:compatExt spid="_x0000_s38953"/>
                  </a:ext>
                  <a:ext uri="{FF2B5EF4-FFF2-40B4-BE49-F238E27FC236}">
                    <a16:creationId xmlns:a16="http://schemas.microsoft.com/office/drawing/2014/main" id="{00000000-0008-0000-1100-0000299800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54" name="Option Button 42" hidden="1">
                <a:extLst>
                  <a:ext uri="{63B3BB69-23CF-44E3-9099-C40C66FF867C}">
                    <a14:compatExt spid="_x0000_s38954"/>
                  </a:ext>
                  <a:ext uri="{FF2B5EF4-FFF2-40B4-BE49-F238E27FC236}">
                    <a16:creationId xmlns:a16="http://schemas.microsoft.com/office/drawing/2014/main" id="{00000000-0008-0000-1100-00002A9800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25</xdr:row>
          <xdr:rowOff>9525</xdr:rowOff>
        </xdr:from>
        <xdr:to>
          <xdr:col>16</xdr:col>
          <xdr:colOff>132300</xdr:colOff>
          <xdr:row>25</xdr:row>
          <xdr:rowOff>203530</xdr:rowOff>
        </xdr:to>
        <xdr:grpSp>
          <xdr:nvGrpSpPr>
            <xdr:cNvPr id="51" name="Gruppieren 50">
              <a:extLst>
                <a:ext uri="{FF2B5EF4-FFF2-40B4-BE49-F238E27FC236}">
                  <a16:creationId xmlns:a16="http://schemas.microsoft.com/office/drawing/2014/main" id="{00000000-0008-0000-1100-000033000000}"/>
                </a:ext>
              </a:extLst>
            </xdr:cNvPr>
            <xdr:cNvGrpSpPr/>
          </xdr:nvGrpSpPr>
          <xdr:grpSpPr>
            <a:xfrm>
              <a:off x="4427409" y="7621905"/>
              <a:ext cx="2341911" cy="194005"/>
              <a:chOff x="3581386" y="2105027"/>
              <a:chExt cx="2247895" cy="276225"/>
            </a:xfrm>
          </xdr:grpSpPr>
          <xdr:sp macro="" textlink="">
            <xdr:nvSpPr>
              <xdr:cNvPr id="38955" name="Group Box 43" hidden="1">
                <a:extLst>
                  <a:ext uri="{63B3BB69-23CF-44E3-9099-C40C66FF867C}">
                    <a14:compatExt spid="_x0000_s38955"/>
                  </a:ext>
                  <a:ext uri="{FF2B5EF4-FFF2-40B4-BE49-F238E27FC236}">
                    <a16:creationId xmlns:a16="http://schemas.microsoft.com/office/drawing/2014/main" id="{00000000-0008-0000-1100-00002B980000}"/>
                  </a:ext>
                </a:extLst>
              </xdr:cNvPr>
              <xdr:cNvSpPr/>
            </xdr:nvSpPr>
            <xdr:spPr bwMode="auto">
              <a:xfrm>
                <a:off x="3581386" y="2105027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56" name="Option Button 44" hidden="1">
                <a:extLst>
                  <a:ext uri="{63B3BB69-23CF-44E3-9099-C40C66FF867C}">
                    <a14:compatExt spid="_x0000_s38956"/>
                  </a:ext>
                  <a:ext uri="{FF2B5EF4-FFF2-40B4-BE49-F238E27FC236}">
                    <a16:creationId xmlns:a16="http://schemas.microsoft.com/office/drawing/2014/main" id="{00000000-0008-0000-1100-00002C980000}"/>
                  </a:ext>
                </a:extLst>
              </xdr:cNvPr>
              <xdr:cNvSpPr/>
            </xdr:nvSpPr>
            <xdr:spPr bwMode="auto">
              <a:xfrm>
                <a:off x="3705226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57" name="Option Button 45" hidden="1">
                <a:extLst>
                  <a:ext uri="{63B3BB69-23CF-44E3-9099-C40C66FF867C}">
                    <a14:compatExt spid="_x0000_s38957"/>
                  </a:ext>
                  <a:ext uri="{FF2B5EF4-FFF2-40B4-BE49-F238E27FC236}">
                    <a16:creationId xmlns:a16="http://schemas.microsoft.com/office/drawing/2014/main" id="{00000000-0008-0000-1100-00002D980000}"/>
                  </a:ext>
                </a:extLst>
              </xdr:cNvPr>
              <xdr:cNvSpPr/>
            </xdr:nvSpPr>
            <xdr:spPr bwMode="auto">
              <a:xfrm>
                <a:off x="4143376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58" name="Option Button 46" hidden="1">
                <a:extLst>
                  <a:ext uri="{63B3BB69-23CF-44E3-9099-C40C66FF867C}">
                    <a14:compatExt spid="_x0000_s38958"/>
                  </a:ext>
                  <a:ext uri="{FF2B5EF4-FFF2-40B4-BE49-F238E27FC236}">
                    <a16:creationId xmlns:a16="http://schemas.microsoft.com/office/drawing/2014/main" id="{00000000-0008-0000-1100-00002E980000}"/>
                  </a:ext>
                </a:extLst>
              </xdr:cNvPr>
              <xdr:cNvSpPr/>
            </xdr:nvSpPr>
            <xdr:spPr bwMode="auto">
              <a:xfrm>
                <a:off x="4581525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59" name="Option Button 47" hidden="1">
                <a:extLst>
                  <a:ext uri="{63B3BB69-23CF-44E3-9099-C40C66FF867C}">
                    <a14:compatExt spid="_x0000_s38959"/>
                  </a:ext>
                  <a:ext uri="{FF2B5EF4-FFF2-40B4-BE49-F238E27FC236}">
                    <a16:creationId xmlns:a16="http://schemas.microsoft.com/office/drawing/2014/main" id="{00000000-0008-0000-1100-00002F980000}"/>
                  </a:ext>
                </a:extLst>
              </xdr:cNvPr>
              <xdr:cNvSpPr/>
            </xdr:nvSpPr>
            <xdr:spPr bwMode="auto">
              <a:xfrm>
                <a:off x="5019675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60" name="Option Button 48" hidden="1">
                <a:extLst>
                  <a:ext uri="{63B3BB69-23CF-44E3-9099-C40C66FF867C}">
                    <a14:compatExt spid="_x0000_s38960"/>
                  </a:ext>
                  <a:ext uri="{FF2B5EF4-FFF2-40B4-BE49-F238E27FC236}">
                    <a16:creationId xmlns:a16="http://schemas.microsoft.com/office/drawing/2014/main" id="{00000000-0008-0000-1100-000030980000}"/>
                  </a:ext>
                </a:extLst>
              </xdr:cNvPr>
              <xdr:cNvSpPr/>
            </xdr:nvSpPr>
            <xdr:spPr bwMode="auto">
              <a:xfrm>
                <a:off x="5457824" y="2152650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26</xdr:row>
          <xdr:rowOff>19016</xdr:rowOff>
        </xdr:from>
        <xdr:to>
          <xdr:col>16</xdr:col>
          <xdr:colOff>132300</xdr:colOff>
          <xdr:row>26</xdr:row>
          <xdr:rowOff>188312</xdr:rowOff>
        </xdr:to>
        <xdr:grpSp>
          <xdr:nvGrpSpPr>
            <xdr:cNvPr id="58" name="Gruppieren 57">
              <a:extLst>
                <a:ext uri="{FF2B5EF4-FFF2-40B4-BE49-F238E27FC236}">
                  <a16:creationId xmlns:a16="http://schemas.microsoft.com/office/drawing/2014/main" id="{00000000-0008-0000-1100-00003A000000}"/>
                </a:ext>
              </a:extLst>
            </xdr:cNvPr>
            <xdr:cNvGrpSpPr/>
          </xdr:nvGrpSpPr>
          <xdr:grpSpPr>
            <a:xfrm>
              <a:off x="4427409" y="8027636"/>
              <a:ext cx="2341911" cy="169296"/>
              <a:chOff x="3581386" y="2104735"/>
              <a:chExt cx="2247895" cy="276225"/>
            </a:xfrm>
          </xdr:grpSpPr>
          <xdr:sp macro="" textlink="">
            <xdr:nvSpPr>
              <xdr:cNvPr id="38961" name="Group Box 49" hidden="1">
                <a:extLst>
                  <a:ext uri="{63B3BB69-23CF-44E3-9099-C40C66FF867C}">
                    <a14:compatExt spid="_x0000_s38961"/>
                  </a:ext>
                  <a:ext uri="{FF2B5EF4-FFF2-40B4-BE49-F238E27FC236}">
                    <a16:creationId xmlns:a16="http://schemas.microsoft.com/office/drawing/2014/main" id="{00000000-0008-0000-1100-000031980000}"/>
                  </a:ext>
                </a:extLst>
              </xdr:cNvPr>
              <xdr:cNvSpPr/>
            </xdr:nvSpPr>
            <xdr:spPr bwMode="auto">
              <a:xfrm>
                <a:off x="3581386" y="2104735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62" name="Option Button 50" hidden="1">
                <a:extLst>
                  <a:ext uri="{63B3BB69-23CF-44E3-9099-C40C66FF867C}">
                    <a14:compatExt spid="_x0000_s38962"/>
                  </a:ext>
                  <a:ext uri="{FF2B5EF4-FFF2-40B4-BE49-F238E27FC236}">
                    <a16:creationId xmlns:a16="http://schemas.microsoft.com/office/drawing/2014/main" id="{00000000-0008-0000-1100-000032980000}"/>
                  </a:ext>
                </a:extLst>
              </xdr:cNvPr>
              <xdr:cNvSpPr/>
            </xdr:nvSpPr>
            <xdr:spPr bwMode="auto">
              <a:xfrm>
                <a:off x="3705226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63" name="Option Button 51" hidden="1">
                <a:extLst>
                  <a:ext uri="{63B3BB69-23CF-44E3-9099-C40C66FF867C}">
                    <a14:compatExt spid="_x0000_s38963"/>
                  </a:ext>
                  <a:ext uri="{FF2B5EF4-FFF2-40B4-BE49-F238E27FC236}">
                    <a16:creationId xmlns:a16="http://schemas.microsoft.com/office/drawing/2014/main" id="{00000000-0008-0000-1100-000033980000}"/>
                  </a:ext>
                </a:extLst>
              </xdr:cNvPr>
              <xdr:cNvSpPr/>
            </xdr:nvSpPr>
            <xdr:spPr bwMode="auto">
              <a:xfrm>
                <a:off x="4143376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64" name="Option Button 52" hidden="1">
                <a:extLst>
                  <a:ext uri="{63B3BB69-23CF-44E3-9099-C40C66FF867C}">
                    <a14:compatExt spid="_x0000_s38964"/>
                  </a:ext>
                  <a:ext uri="{FF2B5EF4-FFF2-40B4-BE49-F238E27FC236}">
                    <a16:creationId xmlns:a16="http://schemas.microsoft.com/office/drawing/2014/main" id="{00000000-0008-0000-1100-000034980000}"/>
                  </a:ext>
                </a:extLst>
              </xdr:cNvPr>
              <xdr:cNvSpPr/>
            </xdr:nvSpPr>
            <xdr:spPr bwMode="auto">
              <a:xfrm>
                <a:off x="4581525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65" name="Option Button 53" hidden="1">
                <a:extLst>
                  <a:ext uri="{63B3BB69-23CF-44E3-9099-C40C66FF867C}">
                    <a14:compatExt spid="_x0000_s38965"/>
                  </a:ext>
                  <a:ext uri="{FF2B5EF4-FFF2-40B4-BE49-F238E27FC236}">
                    <a16:creationId xmlns:a16="http://schemas.microsoft.com/office/drawing/2014/main" id="{00000000-0008-0000-1100-000035980000}"/>
                  </a:ext>
                </a:extLst>
              </xdr:cNvPr>
              <xdr:cNvSpPr/>
            </xdr:nvSpPr>
            <xdr:spPr bwMode="auto">
              <a:xfrm>
                <a:off x="5019675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66" name="Option Button 54" hidden="1">
                <a:extLst>
                  <a:ext uri="{63B3BB69-23CF-44E3-9099-C40C66FF867C}">
                    <a14:compatExt spid="_x0000_s38966"/>
                  </a:ext>
                  <a:ext uri="{FF2B5EF4-FFF2-40B4-BE49-F238E27FC236}">
                    <a16:creationId xmlns:a16="http://schemas.microsoft.com/office/drawing/2014/main" id="{00000000-0008-0000-1100-000036980000}"/>
                  </a:ext>
                </a:extLst>
              </xdr:cNvPr>
              <xdr:cNvSpPr/>
            </xdr:nvSpPr>
            <xdr:spPr bwMode="auto">
              <a:xfrm>
                <a:off x="5457824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27</xdr:row>
          <xdr:rowOff>28578</xdr:rowOff>
        </xdr:from>
        <xdr:to>
          <xdr:col>16</xdr:col>
          <xdr:colOff>132301</xdr:colOff>
          <xdr:row>27</xdr:row>
          <xdr:rowOff>204311</xdr:rowOff>
        </xdr:to>
        <xdr:grpSp>
          <xdr:nvGrpSpPr>
            <xdr:cNvPr id="65" name="Gruppieren 64">
              <a:extLst>
                <a:ext uri="{FF2B5EF4-FFF2-40B4-BE49-F238E27FC236}">
                  <a16:creationId xmlns:a16="http://schemas.microsoft.com/office/drawing/2014/main" id="{00000000-0008-0000-1100-000041000000}"/>
                </a:ext>
              </a:extLst>
            </xdr:cNvPr>
            <xdr:cNvGrpSpPr/>
          </xdr:nvGrpSpPr>
          <xdr:grpSpPr>
            <a:xfrm>
              <a:off x="4427413" y="8433438"/>
              <a:ext cx="2341908" cy="175733"/>
              <a:chOff x="3581397" y="2105465"/>
              <a:chExt cx="2247892" cy="276224"/>
            </a:xfrm>
          </xdr:grpSpPr>
          <xdr:sp macro="" textlink="">
            <xdr:nvSpPr>
              <xdr:cNvPr id="38967" name="Group Box 55" hidden="1">
                <a:extLst>
                  <a:ext uri="{63B3BB69-23CF-44E3-9099-C40C66FF867C}">
                    <a14:compatExt spid="_x0000_s38967"/>
                  </a:ext>
                  <a:ext uri="{FF2B5EF4-FFF2-40B4-BE49-F238E27FC236}">
                    <a16:creationId xmlns:a16="http://schemas.microsoft.com/office/drawing/2014/main" id="{00000000-0008-0000-1100-000037980000}"/>
                  </a:ext>
                </a:extLst>
              </xdr:cNvPr>
              <xdr:cNvSpPr/>
            </xdr:nvSpPr>
            <xdr:spPr bwMode="auto">
              <a:xfrm>
                <a:off x="3581397" y="2105465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68" name="Option Button 56" hidden="1">
                <a:extLst>
                  <a:ext uri="{63B3BB69-23CF-44E3-9099-C40C66FF867C}">
                    <a14:compatExt spid="_x0000_s38968"/>
                  </a:ext>
                  <a:ext uri="{FF2B5EF4-FFF2-40B4-BE49-F238E27FC236}">
                    <a16:creationId xmlns:a16="http://schemas.microsoft.com/office/drawing/2014/main" id="{00000000-0008-0000-1100-00003898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69" name="Option Button 57" hidden="1">
                <a:extLst>
                  <a:ext uri="{63B3BB69-23CF-44E3-9099-C40C66FF867C}">
                    <a14:compatExt spid="_x0000_s38969"/>
                  </a:ext>
                  <a:ext uri="{FF2B5EF4-FFF2-40B4-BE49-F238E27FC236}">
                    <a16:creationId xmlns:a16="http://schemas.microsoft.com/office/drawing/2014/main" id="{00000000-0008-0000-1100-00003998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70" name="Option Button 58" hidden="1">
                <a:extLst>
                  <a:ext uri="{63B3BB69-23CF-44E3-9099-C40C66FF867C}">
                    <a14:compatExt spid="_x0000_s38970"/>
                  </a:ext>
                  <a:ext uri="{FF2B5EF4-FFF2-40B4-BE49-F238E27FC236}">
                    <a16:creationId xmlns:a16="http://schemas.microsoft.com/office/drawing/2014/main" id="{00000000-0008-0000-1100-00003A98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71" name="Option Button 59" hidden="1">
                <a:extLst>
                  <a:ext uri="{63B3BB69-23CF-44E3-9099-C40C66FF867C}">
                    <a14:compatExt spid="_x0000_s38971"/>
                  </a:ext>
                  <a:ext uri="{FF2B5EF4-FFF2-40B4-BE49-F238E27FC236}">
                    <a16:creationId xmlns:a16="http://schemas.microsoft.com/office/drawing/2014/main" id="{00000000-0008-0000-1100-00003B98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72" name="Option Button 60" hidden="1">
                <a:extLst>
                  <a:ext uri="{63B3BB69-23CF-44E3-9099-C40C66FF867C}">
                    <a14:compatExt spid="_x0000_s38972"/>
                  </a:ext>
                  <a:ext uri="{FF2B5EF4-FFF2-40B4-BE49-F238E27FC236}">
                    <a16:creationId xmlns:a16="http://schemas.microsoft.com/office/drawing/2014/main" id="{00000000-0008-0000-1100-00003C98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10</xdr:row>
          <xdr:rowOff>18952</xdr:rowOff>
        </xdr:from>
        <xdr:to>
          <xdr:col>16</xdr:col>
          <xdr:colOff>132296</xdr:colOff>
          <xdr:row>10</xdr:row>
          <xdr:rowOff>222093</xdr:rowOff>
        </xdr:to>
        <xdr:grpSp>
          <xdr:nvGrpSpPr>
            <xdr:cNvPr id="72" name="Gruppieren 71">
              <a:extLst>
                <a:ext uri="{FF2B5EF4-FFF2-40B4-BE49-F238E27FC236}">
                  <a16:creationId xmlns:a16="http://schemas.microsoft.com/office/drawing/2014/main" id="{00000000-0008-0000-1100-000048000000}"/>
                </a:ext>
              </a:extLst>
            </xdr:cNvPr>
            <xdr:cNvGrpSpPr/>
          </xdr:nvGrpSpPr>
          <xdr:grpSpPr>
            <a:xfrm>
              <a:off x="4417695" y="2251612"/>
              <a:ext cx="2351621" cy="203141"/>
              <a:chOff x="3581395" y="2104595"/>
              <a:chExt cx="2247900" cy="276226"/>
            </a:xfrm>
          </xdr:grpSpPr>
          <xdr:sp macro="" textlink="">
            <xdr:nvSpPr>
              <xdr:cNvPr id="38973" name="Group Box 61" hidden="1">
                <a:extLst>
                  <a:ext uri="{63B3BB69-23CF-44E3-9099-C40C66FF867C}">
                    <a14:compatExt spid="_x0000_s38973"/>
                  </a:ext>
                  <a:ext uri="{FF2B5EF4-FFF2-40B4-BE49-F238E27FC236}">
                    <a16:creationId xmlns:a16="http://schemas.microsoft.com/office/drawing/2014/main" id="{00000000-0008-0000-1100-00003D980000}"/>
                  </a:ext>
                </a:extLst>
              </xdr:cNvPr>
              <xdr:cNvSpPr/>
            </xdr:nvSpPr>
            <xdr:spPr bwMode="auto">
              <a:xfrm>
                <a:off x="3581395" y="2104595"/>
                <a:ext cx="2247900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74" name="Option Button 62" hidden="1">
                <a:extLst>
                  <a:ext uri="{63B3BB69-23CF-44E3-9099-C40C66FF867C}">
                    <a14:compatExt spid="_x0000_s38974"/>
                  </a:ext>
                  <a:ext uri="{FF2B5EF4-FFF2-40B4-BE49-F238E27FC236}">
                    <a16:creationId xmlns:a16="http://schemas.microsoft.com/office/drawing/2014/main" id="{00000000-0008-0000-1100-00003E980000}"/>
                  </a:ext>
                </a:extLst>
              </xdr:cNvPr>
              <xdr:cNvSpPr/>
            </xdr:nvSpPr>
            <xdr:spPr bwMode="auto">
              <a:xfrm>
                <a:off x="3705225" y="215266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75" name="Option Button 63" hidden="1">
                <a:extLst>
                  <a:ext uri="{63B3BB69-23CF-44E3-9099-C40C66FF867C}">
                    <a14:compatExt spid="_x0000_s38975"/>
                  </a:ext>
                  <a:ext uri="{FF2B5EF4-FFF2-40B4-BE49-F238E27FC236}">
                    <a16:creationId xmlns:a16="http://schemas.microsoft.com/office/drawing/2014/main" id="{00000000-0008-0000-1100-00003F980000}"/>
                  </a:ext>
                </a:extLst>
              </xdr:cNvPr>
              <xdr:cNvSpPr/>
            </xdr:nvSpPr>
            <xdr:spPr bwMode="auto">
              <a:xfrm>
                <a:off x="4143376" y="215266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76" name="Option Button 64" hidden="1">
                <a:extLst>
                  <a:ext uri="{63B3BB69-23CF-44E3-9099-C40C66FF867C}">
                    <a14:compatExt spid="_x0000_s38976"/>
                  </a:ext>
                  <a:ext uri="{FF2B5EF4-FFF2-40B4-BE49-F238E27FC236}">
                    <a16:creationId xmlns:a16="http://schemas.microsoft.com/office/drawing/2014/main" id="{00000000-0008-0000-1100-000040980000}"/>
                  </a:ext>
                </a:extLst>
              </xdr:cNvPr>
              <xdr:cNvSpPr/>
            </xdr:nvSpPr>
            <xdr:spPr bwMode="auto">
              <a:xfrm>
                <a:off x="4581526" y="215266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77" name="Option Button 65" hidden="1">
                <a:extLst>
                  <a:ext uri="{63B3BB69-23CF-44E3-9099-C40C66FF867C}">
                    <a14:compatExt spid="_x0000_s38977"/>
                  </a:ext>
                  <a:ext uri="{FF2B5EF4-FFF2-40B4-BE49-F238E27FC236}">
                    <a16:creationId xmlns:a16="http://schemas.microsoft.com/office/drawing/2014/main" id="{00000000-0008-0000-1100-000041980000}"/>
                  </a:ext>
                </a:extLst>
              </xdr:cNvPr>
              <xdr:cNvSpPr/>
            </xdr:nvSpPr>
            <xdr:spPr bwMode="auto">
              <a:xfrm>
                <a:off x="5019673" y="215266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78" name="Option Button 66" hidden="1">
                <a:extLst>
                  <a:ext uri="{63B3BB69-23CF-44E3-9099-C40C66FF867C}">
                    <a14:compatExt spid="_x0000_s38978"/>
                  </a:ext>
                  <a:ext uri="{FF2B5EF4-FFF2-40B4-BE49-F238E27FC236}">
                    <a16:creationId xmlns:a16="http://schemas.microsoft.com/office/drawing/2014/main" id="{00000000-0008-0000-1100-000042980000}"/>
                  </a:ext>
                </a:extLst>
              </xdr:cNvPr>
              <xdr:cNvSpPr/>
            </xdr:nvSpPr>
            <xdr:spPr bwMode="auto">
              <a:xfrm>
                <a:off x="5457824" y="215266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20</xdr:col>
      <xdr:colOff>1495425</xdr:colOff>
      <xdr:row>1</xdr:row>
      <xdr:rowOff>57150</xdr:rowOff>
    </xdr:from>
    <xdr:to>
      <xdr:col>20</xdr:col>
      <xdr:colOff>1668225</xdr:colOff>
      <xdr:row>1</xdr:row>
      <xdr:rowOff>229950</xdr:rowOff>
    </xdr:to>
    <xdr:grpSp>
      <xdr:nvGrpSpPr>
        <xdr:cNvPr id="79" name="Gruppieren 7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4F000000}"/>
            </a:ext>
          </a:extLst>
        </xdr:cNvPr>
        <xdr:cNvGrpSpPr/>
      </xdr:nvGrpSpPr>
      <xdr:grpSpPr>
        <a:xfrm>
          <a:off x="8818245" y="621030"/>
          <a:ext cx="172800" cy="172800"/>
          <a:chOff x="8105775" y="571500"/>
          <a:chExt cx="172800" cy="172800"/>
        </a:xfrm>
      </xdr:grpSpPr>
      <xdr:sp macro="" textlink="">
        <xdr:nvSpPr>
          <xdr:cNvPr id="80" name="Rechteck 79">
            <a:extLst>
              <a:ext uri="{FF2B5EF4-FFF2-40B4-BE49-F238E27FC236}">
                <a16:creationId xmlns:a16="http://schemas.microsoft.com/office/drawing/2014/main" id="{00000000-0008-0000-1100-000050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1" name="Textfeld 80">
            <a:extLst>
              <a:ext uri="{FF2B5EF4-FFF2-40B4-BE49-F238E27FC236}">
                <a16:creationId xmlns:a16="http://schemas.microsoft.com/office/drawing/2014/main" id="{00000000-0008-0000-1100-000051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19050</xdr:colOff>
      <xdr:row>7</xdr:row>
      <xdr:rowOff>38100</xdr:rowOff>
    </xdr:from>
    <xdr:to>
      <xdr:col>1</xdr:col>
      <xdr:colOff>44282</xdr:colOff>
      <xdr:row>10</xdr:row>
      <xdr:rowOff>171450</xdr:rowOff>
    </xdr:to>
    <xdr:pic>
      <xdr:nvPicPr>
        <xdr:cNvPr id="82" name="Picture 2">
          <a:extLst>
            <a:ext uri="{FF2B5EF4-FFF2-40B4-BE49-F238E27FC236}">
              <a16:creationId xmlns:a16="http://schemas.microsoft.com/office/drawing/2014/main" id="{00000000-0008-0000-1100-00005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9050" y="1971675"/>
          <a:ext cx="491957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</xdr:colOff>
      <xdr:row>13</xdr:row>
      <xdr:rowOff>190501</xdr:rowOff>
    </xdr:from>
    <xdr:to>
      <xdr:col>0</xdr:col>
      <xdr:colOff>447675</xdr:colOff>
      <xdr:row>15</xdr:row>
      <xdr:rowOff>278424</xdr:rowOff>
    </xdr:to>
    <xdr:pic>
      <xdr:nvPicPr>
        <xdr:cNvPr id="83" name="Picture 2">
          <a:extLst>
            <a:ext uri="{FF2B5EF4-FFF2-40B4-BE49-F238E27FC236}">
              <a16:creationId xmlns:a16="http://schemas.microsoft.com/office/drawing/2014/main" id="{00000000-0008-0000-1100-00005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9050" y="3629026"/>
          <a:ext cx="428625" cy="516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18</xdr:row>
          <xdr:rowOff>9609</xdr:rowOff>
        </xdr:from>
        <xdr:to>
          <xdr:col>16</xdr:col>
          <xdr:colOff>132300</xdr:colOff>
          <xdr:row>18</xdr:row>
          <xdr:rowOff>212750</xdr:rowOff>
        </xdr:to>
        <xdr:grpSp>
          <xdr:nvGrpSpPr>
            <xdr:cNvPr id="84" name="Gruppieren 83">
              <a:extLst>
                <a:ext uri="{FF2B5EF4-FFF2-40B4-BE49-F238E27FC236}">
                  <a16:creationId xmlns:a16="http://schemas.microsoft.com/office/drawing/2014/main" id="{00000000-0008-0000-1100-000054000000}"/>
                </a:ext>
              </a:extLst>
            </xdr:cNvPr>
            <xdr:cNvGrpSpPr/>
          </xdr:nvGrpSpPr>
          <xdr:grpSpPr>
            <a:xfrm>
              <a:off x="4427409" y="5046429"/>
              <a:ext cx="2341911" cy="203141"/>
              <a:chOff x="3581386" y="2105455"/>
              <a:chExt cx="2247895" cy="276226"/>
            </a:xfrm>
          </xdr:grpSpPr>
          <xdr:sp macro="" textlink="">
            <xdr:nvSpPr>
              <xdr:cNvPr id="38979" name="Group Box 67" hidden="1">
                <a:extLst>
                  <a:ext uri="{63B3BB69-23CF-44E3-9099-C40C66FF867C}">
                    <a14:compatExt spid="_x0000_s38979"/>
                  </a:ext>
                  <a:ext uri="{FF2B5EF4-FFF2-40B4-BE49-F238E27FC236}">
                    <a16:creationId xmlns:a16="http://schemas.microsoft.com/office/drawing/2014/main" id="{00000000-0008-0000-1100-000043980000}"/>
                  </a:ext>
                </a:extLst>
              </xdr:cNvPr>
              <xdr:cNvSpPr/>
            </xdr:nvSpPr>
            <xdr:spPr bwMode="auto">
              <a:xfrm>
                <a:off x="3581386" y="2105455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80" name="Option Button 68" hidden="1">
                <a:extLst>
                  <a:ext uri="{63B3BB69-23CF-44E3-9099-C40C66FF867C}">
                    <a14:compatExt spid="_x0000_s38980"/>
                  </a:ext>
                  <a:ext uri="{FF2B5EF4-FFF2-40B4-BE49-F238E27FC236}">
                    <a16:creationId xmlns:a16="http://schemas.microsoft.com/office/drawing/2014/main" id="{00000000-0008-0000-1100-000044980000}"/>
                  </a:ext>
                </a:extLst>
              </xdr:cNvPr>
              <xdr:cNvSpPr/>
            </xdr:nvSpPr>
            <xdr:spPr bwMode="auto">
              <a:xfrm>
                <a:off x="3705226" y="2152639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81" name="Option Button 69" hidden="1">
                <a:extLst>
                  <a:ext uri="{63B3BB69-23CF-44E3-9099-C40C66FF867C}">
                    <a14:compatExt spid="_x0000_s38981"/>
                  </a:ext>
                  <a:ext uri="{FF2B5EF4-FFF2-40B4-BE49-F238E27FC236}">
                    <a16:creationId xmlns:a16="http://schemas.microsoft.com/office/drawing/2014/main" id="{00000000-0008-0000-1100-000045980000}"/>
                  </a:ext>
                </a:extLst>
              </xdr:cNvPr>
              <xdr:cNvSpPr/>
            </xdr:nvSpPr>
            <xdr:spPr bwMode="auto">
              <a:xfrm>
                <a:off x="4143376" y="2152639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82" name="Option Button 70" hidden="1">
                <a:extLst>
                  <a:ext uri="{63B3BB69-23CF-44E3-9099-C40C66FF867C}">
                    <a14:compatExt spid="_x0000_s38982"/>
                  </a:ext>
                  <a:ext uri="{FF2B5EF4-FFF2-40B4-BE49-F238E27FC236}">
                    <a16:creationId xmlns:a16="http://schemas.microsoft.com/office/drawing/2014/main" id="{00000000-0008-0000-1100-000046980000}"/>
                  </a:ext>
                </a:extLst>
              </xdr:cNvPr>
              <xdr:cNvSpPr/>
            </xdr:nvSpPr>
            <xdr:spPr bwMode="auto">
              <a:xfrm>
                <a:off x="4581525" y="2152639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83" name="Option Button 71" hidden="1">
                <a:extLst>
                  <a:ext uri="{63B3BB69-23CF-44E3-9099-C40C66FF867C}">
                    <a14:compatExt spid="_x0000_s38983"/>
                  </a:ext>
                  <a:ext uri="{FF2B5EF4-FFF2-40B4-BE49-F238E27FC236}">
                    <a16:creationId xmlns:a16="http://schemas.microsoft.com/office/drawing/2014/main" id="{00000000-0008-0000-1100-000047980000}"/>
                  </a:ext>
                </a:extLst>
              </xdr:cNvPr>
              <xdr:cNvSpPr/>
            </xdr:nvSpPr>
            <xdr:spPr bwMode="auto">
              <a:xfrm>
                <a:off x="5019675" y="2152639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84" name="Option Button 72" hidden="1">
                <a:extLst>
                  <a:ext uri="{63B3BB69-23CF-44E3-9099-C40C66FF867C}">
                    <a14:compatExt spid="_x0000_s38984"/>
                  </a:ext>
                  <a:ext uri="{FF2B5EF4-FFF2-40B4-BE49-F238E27FC236}">
                    <a16:creationId xmlns:a16="http://schemas.microsoft.com/office/drawing/2014/main" id="{00000000-0008-0000-1100-000048980000}"/>
                  </a:ext>
                </a:extLst>
              </xdr:cNvPr>
              <xdr:cNvSpPr/>
            </xdr:nvSpPr>
            <xdr:spPr bwMode="auto">
              <a:xfrm>
                <a:off x="5457824" y="2152639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19</xdr:row>
          <xdr:rowOff>9609</xdr:rowOff>
        </xdr:from>
        <xdr:to>
          <xdr:col>16</xdr:col>
          <xdr:colOff>132300</xdr:colOff>
          <xdr:row>19</xdr:row>
          <xdr:rowOff>212750</xdr:rowOff>
        </xdr:to>
        <xdr:grpSp>
          <xdr:nvGrpSpPr>
            <xdr:cNvPr id="91" name="Gruppieren 90">
              <a:extLst>
                <a:ext uri="{FF2B5EF4-FFF2-40B4-BE49-F238E27FC236}">
                  <a16:creationId xmlns:a16="http://schemas.microsoft.com/office/drawing/2014/main" id="{00000000-0008-0000-1100-00005B000000}"/>
                </a:ext>
              </a:extLst>
            </xdr:cNvPr>
            <xdr:cNvGrpSpPr/>
          </xdr:nvGrpSpPr>
          <xdr:grpSpPr>
            <a:xfrm>
              <a:off x="4427409" y="5442669"/>
              <a:ext cx="2341911" cy="203141"/>
              <a:chOff x="3581386" y="2105455"/>
              <a:chExt cx="2247895" cy="276226"/>
            </a:xfrm>
          </xdr:grpSpPr>
          <xdr:sp macro="" textlink="">
            <xdr:nvSpPr>
              <xdr:cNvPr id="38985" name="Group Box 73" hidden="1">
                <a:extLst>
                  <a:ext uri="{63B3BB69-23CF-44E3-9099-C40C66FF867C}">
                    <a14:compatExt spid="_x0000_s38985"/>
                  </a:ext>
                  <a:ext uri="{FF2B5EF4-FFF2-40B4-BE49-F238E27FC236}">
                    <a16:creationId xmlns:a16="http://schemas.microsoft.com/office/drawing/2014/main" id="{00000000-0008-0000-1100-000049980000}"/>
                  </a:ext>
                </a:extLst>
              </xdr:cNvPr>
              <xdr:cNvSpPr/>
            </xdr:nvSpPr>
            <xdr:spPr bwMode="auto">
              <a:xfrm>
                <a:off x="3581386" y="2105455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86" name="Option Button 74" hidden="1">
                <a:extLst>
                  <a:ext uri="{63B3BB69-23CF-44E3-9099-C40C66FF867C}">
                    <a14:compatExt spid="_x0000_s38986"/>
                  </a:ext>
                  <a:ext uri="{FF2B5EF4-FFF2-40B4-BE49-F238E27FC236}">
                    <a16:creationId xmlns:a16="http://schemas.microsoft.com/office/drawing/2014/main" id="{00000000-0008-0000-1100-00004A980000}"/>
                  </a:ext>
                </a:extLst>
              </xdr:cNvPr>
              <xdr:cNvSpPr/>
            </xdr:nvSpPr>
            <xdr:spPr bwMode="auto">
              <a:xfrm>
                <a:off x="3705226" y="2152639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87" name="Option Button 75" hidden="1">
                <a:extLst>
                  <a:ext uri="{63B3BB69-23CF-44E3-9099-C40C66FF867C}">
                    <a14:compatExt spid="_x0000_s38987"/>
                  </a:ext>
                  <a:ext uri="{FF2B5EF4-FFF2-40B4-BE49-F238E27FC236}">
                    <a16:creationId xmlns:a16="http://schemas.microsoft.com/office/drawing/2014/main" id="{00000000-0008-0000-1100-00004B980000}"/>
                  </a:ext>
                </a:extLst>
              </xdr:cNvPr>
              <xdr:cNvSpPr/>
            </xdr:nvSpPr>
            <xdr:spPr bwMode="auto">
              <a:xfrm>
                <a:off x="4143376" y="2152639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88" name="Option Button 76" hidden="1">
                <a:extLst>
                  <a:ext uri="{63B3BB69-23CF-44E3-9099-C40C66FF867C}">
                    <a14:compatExt spid="_x0000_s38988"/>
                  </a:ext>
                  <a:ext uri="{FF2B5EF4-FFF2-40B4-BE49-F238E27FC236}">
                    <a16:creationId xmlns:a16="http://schemas.microsoft.com/office/drawing/2014/main" id="{00000000-0008-0000-1100-00004C980000}"/>
                  </a:ext>
                </a:extLst>
              </xdr:cNvPr>
              <xdr:cNvSpPr/>
            </xdr:nvSpPr>
            <xdr:spPr bwMode="auto">
              <a:xfrm>
                <a:off x="4581525" y="2152639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89" name="Option Button 77" hidden="1">
                <a:extLst>
                  <a:ext uri="{63B3BB69-23CF-44E3-9099-C40C66FF867C}">
                    <a14:compatExt spid="_x0000_s38989"/>
                  </a:ext>
                  <a:ext uri="{FF2B5EF4-FFF2-40B4-BE49-F238E27FC236}">
                    <a16:creationId xmlns:a16="http://schemas.microsoft.com/office/drawing/2014/main" id="{00000000-0008-0000-1100-00004D980000}"/>
                  </a:ext>
                </a:extLst>
              </xdr:cNvPr>
              <xdr:cNvSpPr/>
            </xdr:nvSpPr>
            <xdr:spPr bwMode="auto">
              <a:xfrm>
                <a:off x="5019675" y="2152639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90" name="Option Button 78" hidden="1">
                <a:extLst>
                  <a:ext uri="{63B3BB69-23CF-44E3-9099-C40C66FF867C}">
                    <a14:compatExt spid="_x0000_s38990"/>
                  </a:ext>
                  <a:ext uri="{FF2B5EF4-FFF2-40B4-BE49-F238E27FC236}">
                    <a16:creationId xmlns:a16="http://schemas.microsoft.com/office/drawing/2014/main" id="{00000000-0008-0000-1100-00004E980000}"/>
                  </a:ext>
                </a:extLst>
              </xdr:cNvPr>
              <xdr:cNvSpPr/>
            </xdr:nvSpPr>
            <xdr:spPr bwMode="auto">
              <a:xfrm>
                <a:off x="5457824" y="2152639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20</xdr:row>
          <xdr:rowOff>19116</xdr:rowOff>
        </xdr:from>
        <xdr:to>
          <xdr:col>16</xdr:col>
          <xdr:colOff>132300</xdr:colOff>
          <xdr:row>20</xdr:row>
          <xdr:rowOff>213121</xdr:rowOff>
        </xdr:to>
        <xdr:grpSp>
          <xdr:nvGrpSpPr>
            <xdr:cNvPr id="98" name="Gruppieren 97">
              <a:extLst>
                <a:ext uri="{FF2B5EF4-FFF2-40B4-BE49-F238E27FC236}">
                  <a16:creationId xmlns:a16="http://schemas.microsoft.com/office/drawing/2014/main" id="{00000000-0008-0000-1100-000062000000}"/>
                </a:ext>
              </a:extLst>
            </xdr:cNvPr>
            <xdr:cNvGrpSpPr/>
          </xdr:nvGrpSpPr>
          <xdr:grpSpPr>
            <a:xfrm>
              <a:off x="4427409" y="5848416"/>
              <a:ext cx="2341911" cy="194005"/>
              <a:chOff x="3581386" y="2104692"/>
              <a:chExt cx="2247895" cy="276226"/>
            </a:xfrm>
          </xdr:grpSpPr>
          <xdr:sp macro="" textlink="">
            <xdr:nvSpPr>
              <xdr:cNvPr id="38991" name="Group Box 79" hidden="1">
                <a:extLst>
                  <a:ext uri="{63B3BB69-23CF-44E3-9099-C40C66FF867C}">
                    <a14:compatExt spid="_x0000_s38991"/>
                  </a:ext>
                  <a:ext uri="{FF2B5EF4-FFF2-40B4-BE49-F238E27FC236}">
                    <a16:creationId xmlns:a16="http://schemas.microsoft.com/office/drawing/2014/main" id="{00000000-0008-0000-1100-00004F980000}"/>
                  </a:ext>
                </a:extLst>
              </xdr:cNvPr>
              <xdr:cNvSpPr/>
            </xdr:nvSpPr>
            <xdr:spPr bwMode="auto">
              <a:xfrm>
                <a:off x="3581386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92" name="Option Button 80" hidden="1">
                <a:extLst>
                  <a:ext uri="{63B3BB69-23CF-44E3-9099-C40C66FF867C}">
                    <a14:compatExt spid="_x0000_s38992"/>
                  </a:ext>
                  <a:ext uri="{FF2B5EF4-FFF2-40B4-BE49-F238E27FC236}">
                    <a16:creationId xmlns:a16="http://schemas.microsoft.com/office/drawing/2014/main" id="{00000000-0008-0000-1100-000050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93" name="Option Button 81" hidden="1">
                <a:extLst>
                  <a:ext uri="{63B3BB69-23CF-44E3-9099-C40C66FF867C}">
                    <a14:compatExt spid="_x0000_s38993"/>
                  </a:ext>
                  <a:ext uri="{FF2B5EF4-FFF2-40B4-BE49-F238E27FC236}">
                    <a16:creationId xmlns:a16="http://schemas.microsoft.com/office/drawing/2014/main" id="{00000000-0008-0000-1100-000051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94" name="Option Button 82" hidden="1">
                <a:extLst>
                  <a:ext uri="{63B3BB69-23CF-44E3-9099-C40C66FF867C}">
                    <a14:compatExt spid="_x0000_s38994"/>
                  </a:ext>
                  <a:ext uri="{FF2B5EF4-FFF2-40B4-BE49-F238E27FC236}">
                    <a16:creationId xmlns:a16="http://schemas.microsoft.com/office/drawing/2014/main" id="{00000000-0008-0000-1100-000052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95" name="Option Button 83" hidden="1">
                <a:extLst>
                  <a:ext uri="{63B3BB69-23CF-44E3-9099-C40C66FF867C}">
                    <a14:compatExt spid="_x0000_s38995"/>
                  </a:ext>
                  <a:ext uri="{FF2B5EF4-FFF2-40B4-BE49-F238E27FC236}">
                    <a16:creationId xmlns:a16="http://schemas.microsoft.com/office/drawing/2014/main" id="{00000000-0008-0000-1100-000053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96" name="Option Button 84" hidden="1">
                <a:extLst>
                  <a:ext uri="{63B3BB69-23CF-44E3-9099-C40C66FF867C}">
                    <a14:compatExt spid="_x0000_s38996"/>
                  </a:ext>
                  <a:ext uri="{FF2B5EF4-FFF2-40B4-BE49-F238E27FC236}">
                    <a16:creationId xmlns:a16="http://schemas.microsoft.com/office/drawing/2014/main" id="{00000000-0008-0000-1100-000054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21</xdr:row>
          <xdr:rowOff>9591</xdr:rowOff>
        </xdr:from>
        <xdr:to>
          <xdr:col>16</xdr:col>
          <xdr:colOff>132300</xdr:colOff>
          <xdr:row>21</xdr:row>
          <xdr:rowOff>203596</xdr:rowOff>
        </xdr:to>
        <xdr:grpSp>
          <xdr:nvGrpSpPr>
            <xdr:cNvPr id="105" name="Gruppieren 104">
              <a:extLst>
                <a:ext uri="{FF2B5EF4-FFF2-40B4-BE49-F238E27FC236}">
                  <a16:creationId xmlns:a16="http://schemas.microsoft.com/office/drawing/2014/main" id="{00000000-0008-0000-1100-000069000000}"/>
                </a:ext>
              </a:extLst>
            </xdr:cNvPr>
            <xdr:cNvGrpSpPr/>
          </xdr:nvGrpSpPr>
          <xdr:grpSpPr>
            <a:xfrm>
              <a:off x="4427409" y="6235131"/>
              <a:ext cx="2341911" cy="194005"/>
              <a:chOff x="3581386" y="2104692"/>
              <a:chExt cx="2247895" cy="276226"/>
            </a:xfrm>
          </xdr:grpSpPr>
          <xdr:sp macro="" textlink="">
            <xdr:nvSpPr>
              <xdr:cNvPr id="38997" name="Group Box 85" hidden="1">
                <a:extLst>
                  <a:ext uri="{63B3BB69-23CF-44E3-9099-C40C66FF867C}">
                    <a14:compatExt spid="_x0000_s38997"/>
                  </a:ext>
                  <a:ext uri="{FF2B5EF4-FFF2-40B4-BE49-F238E27FC236}">
                    <a16:creationId xmlns:a16="http://schemas.microsoft.com/office/drawing/2014/main" id="{00000000-0008-0000-1100-000055980000}"/>
                  </a:ext>
                </a:extLst>
              </xdr:cNvPr>
              <xdr:cNvSpPr/>
            </xdr:nvSpPr>
            <xdr:spPr bwMode="auto">
              <a:xfrm>
                <a:off x="3581386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8998" name="Option Button 86" hidden="1">
                <a:extLst>
                  <a:ext uri="{63B3BB69-23CF-44E3-9099-C40C66FF867C}">
                    <a14:compatExt spid="_x0000_s38998"/>
                  </a:ext>
                  <a:ext uri="{FF2B5EF4-FFF2-40B4-BE49-F238E27FC236}">
                    <a16:creationId xmlns:a16="http://schemas.microsoft.com/office/drawing/2014/main" id="{00000000-0008-0000-1100-000056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8999" name="Option Button 87" hidden="1">
                <a:extLst>
                  <a:ext uri="{63B3BB69-23CF-44E3-9099-C40C66FF867C}">
                    <a14:compatExt spid="_x0000_s38999"/>
                  </a:ext>
                  <a:ext uri="{FF2B5EF4-FFF2-40B4-BE49-F238E27FC236}">
                    <a16:creationId xmlns:a16="http://schemas.microsoft.com/office/drawing/2014/main" id="{00000000-0008-0000-1100-000057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00" name="Option Button 88" hidden="1">
                <a:extLst>
                  <a:ext uri="{63B3BB69-23CF-44E3-9099-C40C66FF867C}">
                    <a14:compatExt spid="_x0000_s39000"/>
                  </a:ext>
                  <a:ext uri="{FF2B5EF4-FFF2-40B4-BE49-F238E27FC236}">
                    <a16:creationId xmlns:a16="http://schemas.microsoft.com/office/drawing/2014/main" id="{00000000-0008-0000-1100-000058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01" name="Option Button 89" hidden="1">
                <a:extLst>
                  <a:ext uri="{63B3BB69-23CF-44E3-9099-C40C66FF867C}">
                    <a14:compatExt spid="_x0000_s39001"/>
                  </a:ext>
                  <a:ext uri="{FF2B5EF4-FFF2-40B4-BE49-F238E27FC236}">
                    <a16:creationId xmlns:a16="http://schemas.microsoft.com/office/drawing/2014/main" id="{00000000-0008-0000-1100-000059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02" name="Option Button 90" hidden="1">
                <a:extLst>
                  <a:ext uri="{63B3BB69-23CF-44E3-9099-C40C66FF867C}">
                    <a14:compatExt spid="_x0000_s39002"/>
                  </a:ext>
                  <a:ext uri="{FF2B5EF4-FFF2-40B4-BE49-F238E27FC236}">
                    <a16:creationId xmlns:a16="http://schemas.microsoft.com/office/drawing/2014/main" id="{00000000-0008-0000-1100-00005A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22</xdr:row>
          <xdr:rowOff>9591</xdr:rowOff>
        </xdr:from>
        <xdr:to>
          <xdr:col>16</xdr:col>
          <xdr:colOff>132300</xdr:colOff>
          <xdr:row>22</xdr:row>
          <xdr:rowOff>203596</xdr:rowOff>
        </xdr:to>
        <xdr:grpSp>
          <xdr:nvGrpSpPr>
            <xdr:cNvPr id="112" name="Gruppieren 111">
              <a:extLst>
                <a:ext uri="{FF2B5EF4-FFF2-40B4-BE49-F238E27FC236}">
                  <a16:creationId xmlns:a16="http://schemas.microsoft.com/office/drawing/2014/main" id="{00000000-0008-0000-1100-000070000000}"/>
                </a:ext>
              </a:extLst>
            </xdr:cNvPr>
            <xdr:cNvGrpSpPr/>
          </xdr:nvGrpSpPr>
          <xdr:grpSpPr>
            <a:xfrm>
              <a:off x="4427409" y="6631371"/>
              <a:ext cx="2341911" cy="194005"/>
              <a:chOff x="3581386" y="2104692"/>
              <a:chExt cx="2247895" cy="276226"/>
            </a:xfrm>
          </xdr:grpSpPr>
          <xdr:sp macro="" textlink="">
            <xdr:nvSpPr>
              <xdr:cNvPr id="39003" name="Group Box 91" hidden="1">
                <a:extLst>
                  <a:ext uri="{63B3BB69-23CF-44E3-9099-C40C66FF867C}">
                    <a14:compatExt spid="_x0000_s39003"/>
                  </a:ext>
                  <a:ext uri="{FF2B5EF4-FFF2-40B4-BE49-F238E27FC236}">
                    <a16:creationId xmlns:a16="http://schemas.microsoft.com/office/drawing/2014/main" id="{00000000-0008-0000-1100-00005B980000}"/>
                  </a:ext>
                </a:extLst>
              </xdr:cNvPr>
              <xdr:cNvSpPr/>
            </xdr:nvSpPr>
            <xdr:spPr bwMode="auto">
              <a:xfrm>
                <a:off x="3581386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04" name="Option Button 92" hidden="1">
                <a:extLst>
                  <a:ext uri="{63B3BB69-23CF-44E3-9099-C40C66FF867C}">
                    <a14:compatExt spid="_x0000_s39004"/>
                  </a:ext>
                  <a:ext uri="{FF2B5EF4-FFF2-40B4-BE49-F238E27FC236}">
                    <a16:creationId xmlns:a16="http://schemas.microsoft.com/office/drawing/2014/main" id="{00000000-0008-0000-1100-00005C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05" name="Option Button 93" hidden="1">
                <a:extLst>
                  <a:ext uri="{63B3BB69-23CF-44E3-9099-C40C66FF867C}">
                    <a14:compatExt spid="_x0000_s39005"/>
                  </a:ext>
                  <a:ext uri="{FF2B5EF4-FFF2-40B4-BE49-F238E27FC236}">
                    <a16:creationId xmlns:a16="http://schemas.microsoft.com/office/drawing/2014/main" id="{00000000-0008-0000-1100-00005D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06" name="Option Button 94" hidden="1">
                <a:extLst>
                  <a:ext uri="{63B3BB69-23CF-44E3-9099-C40C66FF867C}">
                    <a14:compatExt spid="_x0000_s39006"/>
                  </a:ext>
                  <a:ext uri="{FF2B5EF4-FFF2-40B4-BE49-F238E27FC236}">
                    <a16:creationId xmlns:a16="http://schemas.microsoft.com/office/drawing/2014/main" id="{00000000-0008-0000-1100-00005E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07" name="Option Button 95" hidden="1">
                <a:extLst>
                  <a:ext uri="{63B3BB69-23CF-44E3-9099-C40C66FF867C}">
                    <a14:compatExt spid="_x0000_s39007"/>
                  </a:ext>
                  <a:ext uri="{FF2B5EF4-FFF2-40B4-BE49-F238E27FC236}">
                    <a16:creationId xmlns:a16="http://schemas.microsoft.com/office/drawing/2014/main" id="{00000000-0008-0000-1100-00005F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08" name="Option Button 96" hidden="1">
                <a:extLst>
                  <a:ext uri="{63B3BB69-23CF-44E3-9099-C40C66FF867C}">
                    <a14:compatExt spid="_x0000_s39008"/>
                  </a:ext>
                  <a:ext uri="{FF2B5EF4-FFF2-40B4-BE49-F238E27FC236}">
                    <a16:creationId xmlns:a16="http://schemas.microsoft.com/office/drawing/2014/main" id="{00000000-0008-0000-1100-000060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0</xdr:colOff>
      <xdr:row>22</xdr:row>
      <xdr:rowOff>361951</xdr:rowOff>
    </xdr:from>
    <xdr:to>
      <xdr:col>1</xdr:col>
      <xdr:colOff>55245</xdr:colOff>
      <xdr:row>24</xdr:row>
      <xdr:rowOff>180976</xdr:rowOff>
    </xdr:to>
    <xdr:pic>
      <xdr:nvPicPr>
        <xdr:cNvPr id="119" name="Picture 2">
          <a:extLst>
            <a:ext uri="{FF2B5EF4-FFF2-40B4-BE49-F238E27FC236}">
              <a16:creationId xmlns:a16="http://schemas.microsoft.com/office/drawing/2014/main" id="{00000000-0008-0000-1100-00007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0" y="7029451"/>
          <a:ext cx="52197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28</xdr:row>
      <xdr:rowOff>1</xdr:rowOff>
    </xdr:from>
    <xdr:to>
      <xdr:col>1</xdr:col>
      <xdr:colOff>62865</xdr:colOff>
      <xdr:row>29</xdr:row>
      <xdr:rowOff>314326</xdr:rowOff>
    </xdr:to>
    <xdr:pic>
      <xdr:nvPicPr>
        <xdr:cNvPr id="120" name="Picture 2">
          <a:extLst>
            <a:ext uri="{FF2B5EF4-FFF2-40B4-BE49-F238E27FC236}">
              <a16:creationId xmlns:a16="http://schemas.microsoft.com/office/drawing/2014/main" id="{00000000-0008-0000-1100-00007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66675" y="8867776"/>
          <a:ext cx="46291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29</xdr:row>
          <xdr:rowOff>9591</xdr:rowOff>
        </xdr:from>
        <xdr:to>
          <xdr:col>16</xdr:col>
          <xdr:colOff>132300</xdr:colOff>
          <xdr:row>29</xdr:row>
          <xdr:rowOff>203596</xdr:rowOff>
        </xdr:to>
        <xdr:grpSp>
          <xdr:nvGrpSpPr>
            <xdr:cNvPr id="121" name="Gruppieren 120">
              <a:extLst>
                <a:ext uri="{FF2B5EF4-FFF2-40B4-BE49-F238E27FC236}">
                  <a16:creationId xmlns:a16="http://schemas.microsoft.com/office/drawing/2014/main" id="{00000000-0008-0000-1100-000079000000}"/>
                </a:ext>
              </a:extLst>
            </xdr:cNvPr>
            <xdr:cNvGrpSpPr/>
          </xdr:nvGrpSpPr>
          <xdr:grpSpPr>
            <a:xfrm>
              <a:off x="4427409" y="9008811"/>
              <a:ext cx="2341911" cy="194005"/>
              <a:chOff x="3581386" y="2104692"/>
              <a:chExt cx="2247895" cy="276226"/>
            </a:xfrm>
          </xdr:grpSpPr>
          <xdr:sp macro="" textlink="">
            <xdr:nvSpPr>
              <xdr:cNvPr id="39009" name="Group Box 97" hidden="1">
                <a:extLst>
                  <a:ext uri="{63B3BB69-23CF-44E3-9099-C40C66FF867C}">
                    <a14:compatExt spid="_x0000_s39009"/>
                  </a:ext>
                  <a:ext uri="{FF2B5EF4-FFF2-40B4-BE49-F238E27FC236}">
                    <a16:creationId xmlns:a16="http://schemas.microsoft.com/office/drawing/2014/main" id="{00000000-0008-0000-1100-000061980000}"/>
                  </a:ext>
                </a:extLst>
              </xdr:cNvPr>
              <xdr:cNvSpPr/>
            </xdr:nvSpPr>
            <xdr:spPr bwMode="auto">
              <a:xfrm>
                <a:off x="3581386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10" name="Option Button 98" hidden="1">
                <a:extLst>
                  <a:ext uri="{63B3BB69-23CF-44E3-9099-C40C66FF867C}">
                    <a14:compatExt spid="_x0000_s39010"/>
                  </a:ext>
                  <a:ext uri="{FF2B5EF4-FFF2-40B4-BE49-F238E27FC236}">
                    <a16:creationId xmlns:a16="http://schemas.microsoft.com/office/drawing/2014/main" id="{00000000-0008-0000-1100-000062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11" name="Option Button 99" hidden="1">
                <a:extLst>
                  <a:ext uri="{63B3BB69-23CF-44E3-9099-C40C66FF867C}">
                    <a14:compatExt spid="_x0000_s39011"/>
                  </a:ext>
                  <a:ext uri="{FF2B5EF4-FFF2-40B4-BE49-F238E27FC236}">
                    <a16:creationId xmlns:a16="http://schemas.microsoft.com/office/drawing/2014/main" id="{00000000-0008-0000-1100-000063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12" name="Option Button 100" hidden="1">
                <a:extLst>
                  <a:ext uri="{63B3BB69-23CF-44E3-9099-C40C66FF867C}">
                    <a14:compatExt spid="_x0000_s39012"/>
                  </a:ext>
                  <a:ext uri="{FF2B5EF4-FFF2-40B4-BE49-F238E27FC236}">
                    <a16:creationId xmlns:a16="http://schemas.microsoft.com/office/drawing/2014/main" id="{00000000-0008-0000-1100-000064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13" name="Option Button 101" hidden="1">
                <a:extLst>
                  <a:ext uri="{63B3BB69-23CF-44E3-9099-C40C66FF867C}">
                    <a14:compatExt spid="_x0000_s39013"/>
                  </a:ext>
                  <a:ext uri="{FF2B5EF4-FFF2-40B4-BE49-F238E27FC236}">
                    <a16:creationId xmlns:a16="http://schemas.microsoft.com/office/drawing/2014/main" id="{00000000-0008-0000-1100-000065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14" name="Option Button 102" hidden="1">
                <a:extLst>
                  <a:ext uri="{63B3BB69-23CF-44E3-9099-C40C66FF867C}">
                    <a14:compatExt spid="_x0000_s39014"/>
                  </a:ext>
                  <a:ext uri="{FF2B5EF4-FFF2-40B4-BE49-F238E27FC236}">
                    <a16:creationId xmlns:a16="http://schemas.microsoft.com/office/drawing/2014/main" id="{00000000-0008-0000-1100-000066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30</xdr:row>
          <xdr:rowOff>9615</xdr:rowOff>
        </xdr:from>
        <xdr:to>
          <xdr:col>16</xdr:col>
          <xdr:colOff>132300</xdr:colOff>
          <xdr:row>30</xdr:row>
          <xdr:rowOff>194485</xdr:rowOff>
        </xdr:to>
        <xdr:grpSp>
          <xdr:nvGrpSpPr>
            <xdr:cNvPr id="128" name="Gruppieren 127">
              <a:extLst>
                <a:ext uri="{FF2B5EF4-FFF2-40B4-BE49-F238E27FC236}">
                  <a16:creationId xmlns:a16="http://schemas.microsoft.com/office/drawing/2014/main" id="{00000000-0008-0000-1100-000080000000}"/>
                </a:ext>
              </a:extLst>
            </xdr:cNvPr>
            <xdr:cNvGrpSpPr/>
          </xdr:nvGrpSpPr>
          <xdr:grpSpPr>
            <a:xfrm>
              <a:off x="4427409" y="9405075"/>
              <a:ext cx="2341911" cy="184870"/>
              <a:chOff x="3581386" y="2105385"/>
              <a:chExt cx="2247895" cy="276226"/>
            </a:xfrm>
          </xdr:grpSpPr>
          <xdr:sp macro="" textlink="">
            <xdr:nvSpPr>
              <xdr:cNvPr id="39015" name="Group Box 103" hidden="1">
                <a:extLst>
                  <a:ext uri="{63B3BB69-23CF-44E3-9099-C40C66FF867C}">
                    <a14:compatExt spid="_x0000_s39015"/>
                  </a:ext>
                  <a:ext uri="{FF2B5EF4-FFF2-40B4-BE49-F238E27FC236}">
                    <a16:creationId xmlns:a16="http://schemas.microsoft.com/office/drawing/2014/main" id="{00000000-0008-0000-1100-000067980000}"/>
                  </a:ext>
                </a:extLst>
              </xdr:cNvPr>
              <xdr:cNvSpPr/>
            </xdr:nvSpPr>
            <xdr:spPr bwMode="auto">
              <a:xfrm>
                <a:off x="3581386" y="2105385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16" name="Option Button 104" hidden="1">
                <a:extLst>
                  <a:ext uri="{63B3BB69-23CF-44E3-9099-C40C66FF867C}">
                    <a14:compatExt spid="_x0000_s39016"/>
                  </a:ext>
                  <a:ext uri="{FF2B5EF4-FFF2-40B4-BE49-F238E27FC236}">
                    <a16:creationId xmlns:a16="http://schemas.microsoft.com/office/drawing/2014/main" id="{00000000-0008-0000-1100-000068980000}"/>
                  </a:ext>
                </a:extLst>
              </xdr:cNvPr>
              <xdr:cNvSpPr/>
            </xdr:nvSpPr>
            <xdr:spPr bwMode="auto">
              <a:xfrm>
                <a:off x="3705226" y="215264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17" name="Option Button 105" hidden="1">
                <a:extLst>
                  <a:ext uri="{63B3BB69-23CF-44E3-9099-C40C66FF867C}">
                    <a14:compatExt spid="_x0000_s39017"/>
                  </a:ext>
                  <a:ext uri="{FF2B5EF4-FFF2-40B4-BE49-F238E27FC236}">
                    <a16:creationId xmlns:a16="http://schemas.microsoft.com/office/drawing/2014/main" id="{00000000-0008-0000-1100-000069980000}"/>
                  </a:ext>
                </a:extLst>
              </xdr:cNvPr>
              <xdr:cNvSpPr/>
            </xdr:nvSpPr>
            <xdr:spPr bwMode="auto">
              <a:xfrm>
                <a:off x="4143376" y="215264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18" name="Option Button 106" hidden="1">
                <a:extLst>
                  <a:ext uri="{63B3BB69-23CF-44E3-9099-C40C66FF867C}">
                    <a14:compatExt spid="_x0000_s39018"/>
                  </a:ext>
                  <a:ext uri="{FF2B5EF4-FFF2-40B4-BE49-F238E27FC236}">
                    <a16:creationId xmlns:a16="http://schemas.microsoft.com/office/drawing/2014/main" id="{00000000-0008-0000-1100-00006A980000}"/>
                  </a:ext>
                </a:extLst>
              </xdr:cNvPr>
              <xdr:cNvSpPr/>
            </xdr:nvSpPr>
            <xdr:spPr bwMode="auto">
              <a:xfrm>
                <a:off x="4581525" y="215264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19" name="Option Button 107" hidden="1">
                <a:extLst>
                  <a:ext uri="{63B3BB69-23CF-44E3-9099-C40C66FF867C}">
                    <a14:compatExt spid="_x0000_s39019"/>
                  </a:ext>
                  <a:ext uri="{FF2B5EF4-FFF2-40B4-BE49-F238E27FC236}">
                    <a16:creationId xmlns:a16="http://schemas.microsoft.com/office/drawing/2014/main" id="{00000000-0008-0000-1100-00006B980000}"/>
                  </a:ext>
                </a:extLst>
              </xdr:cNvPr>
              <xdr:cNvSpPr/>
            </xdr:nvSpPr>
            <xdr:spPr bwMode="auto">
              <a:xfrm>
                <a:off x="5019675" y="215264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20" name="Option Button 108" hidden="1">
                <a:extLst>
                  <a:ext uri="{63B3BB69-23CF-44E3-9099-C40C66FF867C}">
                    <a14:compatExt spid="_x0000_s39020"/>
                  </a:ext>
                  <a:ext uri="{FF2B5EF4-FFF2-40B4-BE49-F238E27FC236}">
                    <a16:creationId xmlns:a16="http://schemas.microsoft.com/office/drawing/2014/main" id="{00000000-0008-0000-1100-00006C980000}"/>
                  </a:ext>
                </a:extLst>
              </xdr:cNvPr>
              <xdr:cNvSpPr/>
            </xdr:nvSpPr>
            <xdr:spPr bwMode="auto">
              <a:xfrm>
                <a:off x="5457824" y="215264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1</xdr:colOff>
      <xdr:row>32</xdr:row>
      <xdr:rowOff>19050</xdr:rowOff>
    </xdr:from>
    <xdr:to>
      <xdr:col>0</xdr:col>
      <xdr:colOff>440263</xdr:colOff>
      <xdr:row>33</xdr:row>
      <xdr:rowOff>171450</xdr:rowOff>
    </xdr:to>
    <xdr:pic>
      <xdr:nvPicPr>
        <xdr:cNvPr id="135" name="Picture 2">
          <a:extLst>
            <a:ext uri="{FF2B5EF4-FFF2-40B4-BE49-F238E27FC236}">
              <a16:creationId xmlns:a16="http://schemas.microsoft.com/office/drawing/2014/main" id="{00000000-0008-0000-1100-00008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" y="10439400"/>
          <a:ext cx="440262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31</xdr:row>
          <xdr:rowOff>9591</xdr:rowOff>
        </xdr:from>
        <xdr:to>
          <xdr:col>16</xdr:col>
          <xdr:colOff>132300</xdr:colOff>
          <xdr:row>31</xdr:row>
          <xdr:rowOff>203596</xdr:rowOff>
        </xdr:to>
        <xdr:grpSp>
          <xdr:nvGrpSpPr>
            <xdr:cNvPr id="136" name="Gruppieren 135">
              <a:extLst>
                <a:ext uri="{FF2B5EF4-FFF2-40B4-BE49-F238E27FC236}">
                  <a16:creationId xmlns:a16="http://schemas.microsoft.com/office/drawing/2014/main" id="{00000000-0008-0000-1100-000088000000}"/>
                </a:ext>
              </a:extLst>
            </xdr:cNvPr>
            <xdr:cNvGrpSpPr/>
          </xdr:nvGrpSpPr>
          <xdr:grpSpPr>
            <a:xfrm>
              <a:off x="4427409" y="9801291"/>
              <a:ext cx="2341911" cy="194005"/>
              <a:chOff x="3581386" y="2104692"/>
              <a:chExt cx="2247895" cy="276226"/>
            </a:xfrm>
          </xdr:grpSpPr>
          <xdr:sp macro="" textlink="">
            <xdr:nvSpPr>
              <xdr:cNvPr id="39021" name="Group Box 109" hidden="1">
                <a:extLst>
                  <a:ext uri="{63B3BB69-23CF-44E3-9099-C40C66FF867C}">
                    <a14:compatExt spid="_x0000_s39021"/>
                  </a:ext>
                  <a:ext uri="{FF2B5EF4-FFF2-40B4-BE49-F238E27FC236}">
                    <a16:creationId xmlns:a16="http://schemas.microsoft.com/office/drawing/2014/main" id="{00000000-0008-0000-1100-00006D980000}"/>
                  </a:ext>
                </a:extLst>
              </xdr:cNvPr>
              <xdr:cNvSpPr/>
            </xdr:nvSpPr>
            <xdr:spPr bwMode="auto">
              <a:xfrm>
                <a:off x="3581386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22" name="Option Button 110" hidden="1">
                <a:extLst>
                  <a:ext uri="{63B3BB69-23CF-44E3-9099-C40C66FF867C}">
                    <a14:compatExt spid="_x0000_s39022"/>
                  </a:ext>
                  <a:ext uri="{FF2B5EF4-FFF2-40B4-BE49-F238E27FC236}">
                    <a16:creationId xmlns:a16="http://schemas.microsoft.com/office/drawing/2014/main" id="{00000000-0008-0000-1100-00006E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23" name="Option Button 111" hidden="1">
                <a:extLst>
                  <a:ext uri="{63B3BB69-23CF-44E3-9099-C40C66FF867C}">
                    <a14:compatExt spid="_x0000_s39023"/>
                  </a:ext>
                  <a:ext uri="{FF2B5EF4-FFF2-40B4-BE49-F238E27FC236}">
                    <a16:creationId xmlns:a16="http://schemas.microsoft.com/office/drawing/2014/main" id="{00000000-0008-0000-1100-00006F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24" name="Option Button 112" hidden="1">
                <a:extLst>
                  <a:ext uri="{63B3BB69-23CF-44E3-9099-C40C66FF867C}">
                    <a14:compatExt spid="_x0000_s39024"/>
                  </a:ext>
                  <a:ext uri="{FF2B5EF4-FFF2-40B4-BE49-F238E27FC236}">
                    <a16:creationId xmlns:a16="http://schemas.microsoft.com/office/drawing/2014/main" id="{00000000-0008-0000-1100-000070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25" name="Option Button 113" hidden="1">
                <a:extLst>
                  <a:ext uri="{63B3BB69-23CF-44E3-9099-C40C66FF867C}">
                    <a14:compatExt spid="_x0000_s39025"/>
                  </a:ext>
                  <a:ext uri="{FF2B5EF4-FFF2-40B4-BE49-F238E27FC236}">
                    <a16:creationId xmlns:a16="http://schemas.microsoft.com/office/drawing/2014/main" id="{00000000-0008-0000-1100-000071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26" name="Option Button 114" hidden="1">
                <a:extLst>
                  <a:ext uri="{63B3BB69-23CF-44E3-9099-C40C66FF867C}">
                    <a14:compatExt spid="_x0000_s39026"/>
                  </a:ext>
                  <a:ext uri="{FF2B5EF4-FFF2-40B4-BE49-F238E27FC236}">
                    <a16:creationId xmlns:a16="http://schemas.microsoft.com/office/drawing/2014/main" id="{00000000-0008-0000-1100-000072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33</xdr:row>
          <xdr:rowOff>19237</xdr:rowOff>
        </xdr:from>
        <xdr:to>
          <xdr:col>16</xdr:col>
          <xdr:colOff>132301</xdr:colOff>
          <xdr:row>33</xdr:row>
          <xdr:rowOff>204105</xdr:rowOff>
        </xdr:to>
        <xdr:grpSp>
          <xdr:nvGrpSpPr>
            <xdr:cNvPr id="143" name="Gruppieren 142">
              <a:extLst>
                <a:ext uri="{FF2B5EF4-FFF2-40B4-BE49-F238E27FC236}">
                  <a16:creationId xmlns:a16="http://schemas.microsoft.com/office/drawing/2014/main" id="{00000000-0008-0000-1100-00008F000000}"/>
                </a:ext>
              </a:extLst>
            </xdr:cNvPr>
            <xdr:cNvGrpSpPr/>
          </xdr:nvGrpSpPr>
          <xdr:grpSpPr>
            <a:xfrm>
              <a:off x="4427413" y="10557697"/>
              <a:ext cx="2341908" cy="184868"/>
              <a:chOff x="3581397" y="2105708"/>
              <a:chExt cx="2247892" cy="276222"/>
            </a:xfrm>
          </xdr:grpSpPr>
          <xdr:sp macro="" textlink="">
            <xdr:nvSpPr>
              <xdr:cNvPr id="39027" name="Group Box 115" hidden="1">
                <a:extLst>
                  <a:ext uri="{63B3BB69-23CF-44E3-9099-C40C66FF867C}">
                    <a14:compatExt spid="_x0000_s39027"/>
                  </a:ext>
                  <a:ext uri="{FF2B5EF4-FFF2-40B4-BE49-F238E27FC236}">
                    <a16:creationId xmlns:a16="http://schemas.microsoft.com/office/drawing/2014/main" id="{00000000-0008-0000-1100-000073980000}"/>
                  </a:ext>
                </a:extLst>
              </xdr:cNvPr>
              <xdr:cNvSpPr/>
            </xdr:nvSpPr>
            <xdr:spPr bwMode="auto">
              <a:xfrm>
                <a:off x="3581397" y="2105708"/>
                <a:ext cx="2247892" cy="2762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28" name="Option Button 116" hidden="1">
                <a:extLst>
                  <a:ext uri="{63B3BB69-23CF-44E3-9099-C40C66FF867C}">
                    <a14:compatExt spid="_x0000_s39028"/>
                  </a:ext>
                  <a:ext uri="{FF2B5EF4-FFF2-40B4-BE49-F238E27FC236}">
                    <a16:creationId xmlns:a16="http://schemas.microsoft.com/office/drawing/2014/main" id="{00000000-0008-0000-1100-000074980000}"/>
                  </a:ext>
                </a:extLst>
              </xdr:cNvPr>
              <xdr:cNvSpPr/>
            </xdr:nvSpPr>
            <xdr:spPr bwMode="auto">
              <a:xfrm>
                <a:off x="370522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29" name="Option Button 117" hidden="1">
                <a:extLst>
                  <a:ext uri="{63B3BB69-23CF-44E3-9099-C40C66FF867C}">
                    <a14:compatExt spid="_x0000_s39029"/>
                  </a:ext>
                  <a:ext uri="{FF2B5EF4-FFF2-40B4-BE49-F238E27FC236}">
                    <a16:creationId xmlns:a16="http://schemas.microsoft.com/office/drawing/2014/main" id="{00000000-0008-0000-1100-000075980000}"/>
                  </a:ext>
                </a:extLst>
              </xdr:cNvPr>
              <xdr:cNvSpPr/>
            </xdr:nvSpPr>
            <xdr:spPr bwMode="auto">
              <a:xfrm>
                <a:off x="414337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30" name="Option Button 118" hidden="1">
                <a:extLst>
                  <a:ext uri="{63B3BB69-23CF-44E3-9099-C40C66FF867C}">
                    <a14:compatExt spid="_x0000_s39030"/>
                  </a:ext>
                  <a:ext uri="{FF2B5EF4-FFF2-40B4-BE49-F238E27FC236}">
                    <a16:creationId xmlns:a16="http://schemas.microsoft.com/office/drawing/2014/main" id="{00000000-0008-0000-1100-000076980000}"/>
                  </a:ext>
                </a:extLst>
              </xdr:cNvPr>
              <xdr:cNvSpPr/>
            </xdr:nvSpPr>
            <xdr:spPr bwMode="auto">
              <a:xfrm>
                <a:off x="45815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31" name="Option Button 119" hidden="1">
                <a:extLst>
                  <a:ext uri="{63B3BB69-23CF-44E3-9099-C40C66FF867C}">
                    <a14:compatExt spid="_x0000_s39031"/>
                  </a:ext>
                  <a:ext uri="{FF2B5EF4-FFF2-40B4-BE49-F238E27FC236}">
                    <a16:creationId xmlns:a16="http://schemas.microsoft.com/office/drawing/2014/main" id="{00000000-0008-0000-1100-000077980000}"/>
                  </a:ext>
                </a:extLst>
              </xdr:cNvPr>
              <xdr:cNvSpPr/>
            </xdr:nvSpPr>
            <xdr:spPr bwMode="auto">
              <a:xfrm>
                <a:off x="501967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32" name="Option Button 120" hidden="1">
                <a:extLst>
                  <a:ext uri="{63B3BB69-23CF-44E3-9099-C40C66FF867C}">
                    <a14:compatExt spid="_x0000_s39032"/>
                  </a:ext>
                  <a:ext uri="{FF2B5EF4-FFF2-40B4-BE49-F238E27FC236}">
                    <a16:creationId xmlns:a16="http://schemas.microsoft.com/office/drawing/2014/main" id="{00000000-0008-0000-1100-000078980000}"/>
                  </a:ext>
                </a:extLst>
              </xdr:cNvPr>
              <xdr:cNvSpPr/>
            </xdr:nvSpPr>
            <xdr:spPr bwMode="auto">
              <a:xfrm>
                <a:off x="54578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34</xdr:row>
          <xdr:rowOff>19053</xdr:rowOff>
        </xdr:from>
        <xdr:to>
          <xdr:col>16</xdr:col>
          <xdr:colOff>132301</xdr:colOff>
          <xdr:row>34</xdr:row>
          <xdr:rowOff>194786</xdr:rowOff>
        </xdr:to>
        <xdr:grpSp>
          <xdr:nvGrpSpPr>
            <xdr:cNvPr id="150" name="Gruppieren 149">
              <a:extLst>
                <a:ext uri="{FF2B5EF4-FFF2-40B4-BE49-F238E27FC236}">
                  <a16:creationId xmlns:a16="http://schemas.microsoft.com/office/drawing/2014/main" id="{00000000-0008-0000-1100-000096000000}"/>
                </a:ext>
              </a:extLst>
            </xdr:cNvPr>
            <xdr:cNvGrpSpPr/>
          </xdr:nvGrpSpPr>
          <xdr:grpSpPr>
            <a:xfrm>
              <a:off x="4427413" y="10953753"/>
              <a:ext cx="2341908" cy="175733"/>
              <a:chOff x="3581397" y="2105465"/>
              <a:chExt cx="2247892" cy="276224"/>
            </a:xfrm>
          </xdr:grpSpPr>
          <xdr:sp macro="" textlink="">
            <xdr:nvSpPr>
              <xdr:cNvPr id="39033" name="Group Box 121" hidden="1">
                <a:extLst>
                  <a:ext uri="{63B3BB69-23CF-44E3-9099-C40C66FF867C}">
                    <a14:compatExt spid="_x0000_s39033"/>
                  </a:ext>
                  <a:ext uri="{FF2B5EF4-FFF2-40B4-BE49-F238E27FC236}">
                    <a16:creationId xmlns:a16="http://schemas.microsoft.com/office/drawing/2014/main" id="{00000000-0008-0000-1100-000079980000}"/>
                  </a:ext>
                </a:extLst>
              </xdr:cNvPr>
              <xdr:cNvSpPr/>
            </xdr:nvSpPr>
            <xdr:spPr bwMode="auto">
              <a:xfrm>
                <a:off x="3581397" y="2105465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34" name="Option Button 122" hidden="1">
                <a:extLst>
                  <a:ext uri="{63B3BB69-23CF-44E3-9099-C40C66FF867C}">
                    <a14:compatExt spid="_x0000_s39034"/>
                  </a:ext>
                  <a:ext uri="{FF2B5EF4-FFF2-40B4-BE49-F238E27FC236}">
                    <a16:creationId xmlns:a16="http://schemas.microsoft.com/office/drawing/2014/main" id="{00000000-0008-0000-1100-00007A98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35" name="Option Button 123" hidden="1">
                <a:extLst>
                  <a:ext uri="{63B3BB69-23CF-44E3-9099-C40C66FF867C}">
                    <a14:compatExt spid="_x0000_s39035"/>
                  </a:ext>
                  <a:ext uri="{FF2B5EF4-FFF2-40B4-BE49-F238E27FC236}">
                    <a16:creationId xmlns:a16="http://schemas.microsoft.com/office/drawing/2014/main" id="{00000000-0008-0000-1100-00007B98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36" name="Option Button 124" hidden="1">
                <a:extLst>
                  <a:ext uri="{63B3BB69-23CF-44E3-9099-C40C66FF867C}">
                    <a14:compatExt spid="_x0000_s39036"/>
                  </a:ext>
                  <a:ext uri="{FF2B5EF4-FFF2-40B4-BE49-F238E27FC236}">
                    <a16:creationId xmlns:a16="http://schemas.microsoft.com/office/drawing/2014/main" id="{00000000-0008-0000-1100-00007C98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37" name="Option Button 125" hidden="1">
                <a:extLst>
                  <a:ext uri="{63B3BB69-23CF-44E3-9099-C40C66FF867C}">
                    <a14:compatExt spid="_x0000_s39037"/>
                  </a:ext>
                  <a:ext uri="{FF2B5EF4-FFF2-40B4-BE49-F238E27FC236}">
                    <a16:creationId xmlns:a16="http://schemas.microsoft.com/office/drawing/2014/main" id="{00000000-0008-0000-1100-00007D98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38" name="Option Button 126" hidden="1">
                <a:extLst>
                  <a:ext uri="{63B3BB69-23CF-44E3-9099-C40C66FF867C}">
                    <a14:compatExt spid="_x0000_s39038"/>
                  </a:ext>
                  <a:ext uri="{FF2B5EF4-FFF2-40B4-BE49-F238E27FC236}">
                    <a16:creationId xmlns:a16="http://schemas.microsoft.com/office/drawing/2014/main" id="{00000000-0008-0000-1100-00007E98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35</xdr:row>
          <xdr:rowOff>19053</xdr:rowOff>
        </xdr:from>
        <xdr:to>
          <xdr:col>16</xdr:col>
          <xdr:colOff>132301</xdr:colOff>
          <xdr:row>35</xdr:row>
          <xdr:rowOff>194786</xdr:rowOff>
        </xdr:to>
        <xdr:grpSp>
          <xdr:nvGrpSpPr>
            <xdr:cNvPr id="157" name="Gruppieren 156">
              <a:extLst>
                <a:ext uri="{FF2B5EF4-FFF2-40B4-BE49-F238E27FC236}">
                  <a16:creationId xmlns:a16="http://schemas.microsoft.com/office/drawing/2014/main" id="{00000000-0008-0000-1100-00009D000000}"/>
                </a:ext>
              </a:extLst>
            </xdr:cNvPr>
            <xdr:cNvGrpSpPr/>
          </xdr:nvGrpSpPr>
          <xdr:grpSpPr>
            <a:xfrm>
              <a:off x="4427413" y="11349993"/>
              <a:ext cx="2341908" cy="175733"/>
              <a:chOff x="3581397" y="2105465"/>
              <a:chExt cx="2247892" cy="276224"/>
            </a:xfrm>
          </xdr:grpSpPr>
          <xdr:sp macro="" textlink="">
            <xdr:nvSpPr>
              <xdr:cNvPr id="39039" name="Group Box 127" hidden="1">
                <a:extLst>
                  <a:ext uri="{63B3BB69-23CF-44E3-9099-C40C66FF867C}">
                    <a14:compatExt spid="_x0000_s39039"/>
                  </a:ext>
                  <a:ext uri="{FF2B5EF4-FFF2-40B4-BE49-F238E27FC236}">
                    <a16:creationId xmlns:a16="http://schemas.microsoft.com/office/drawing/2014/main" id="{00000000-0008-0000-1100-00007F980000}"/>
                  </a:ext>
                </a:extLst>
              </xdr:cNvPr>
              <xdr:cNvSpPr/>
            </xdr:nvSpPr>
            <xdr:spPr bwMode="auto">
              <a:xfrm>
                <a:off x="3581397" y="2105465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40" name="Option Button 128" hidden="1">
                <a:extLst>
                  <a:ext uri="{63B3BB69-23CF-44E3-9099-C40C66FF867C}">
                    <a14:compatExt spid="_x0000_s39040"/>
                  </a:ext>
                  <a:ext uri="{FF2B5EF4-FFF2-40B4-BE49-F238E27FC236}">
                    <a16:creationId xmlns:a16="http://schemas.microsoft.com/office/drawing/2014/main" id="{00000000-0008-0000-1100-00008098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41" name="Option Button 129" hidden="1">
                <a:extLst>
                  <a:ext uri="{63B3BB69-23CF-44E3-9099-C40C66FF867C}">
                    <a14:compatExt spid="_x0000_s39041"/>
                  </a:ext>
                  <a:ext uri="{FF2B5EF4-FFF2-40B4-BE49-F238E27FC236}">
                    <a16:creationId xmlns:a16="http://schemas.microsoft.com/office/drawing/2014/main" id="{00000000-0008-0000-1100-00008198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42" name="Option Button 130" hidden="1">
                <a:extLst>
                  <a:ext uri="{63B3BB69-23CF-44E3-9099-C40C66FF867C}">
                    <a14:compatExt spid="_x0000_s39042"/>
                  </a:ext>
                  <a:ext uri="{FF2B5EF4-FFF2-40B4-BE49-F238E27FC236}">
                    <a16:creationId xmlns:a16="http://schemas.microsoft.com/office/drawing/2014/main" id="{00000000-0008-0000-1100-00008298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43" name="Option Button 131" hidden="1">
                <a:extLst>
                  <a:ext uri="{63B3BB69-23CF-44E3-9099-C40C66FF867C}">
                    <a14:compatExt spid="_x0000_s39043"/>
                  </a:ext>
                  <a:ext uri="{FF2B5EF4-FFF2-40B4-BE49-F238E27FC236}">
                    <a16:creationId xmlns:a16="http://schemas.microsoft.com/office/drawing/2014/main" id="{00000000-0008-0000-1100-00008398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44" name="Option Button 132" hidden="1">
                <a:extLst>
                  <a:ext uri="{63B3BB69-23CF-44E3-9099-C40C66FF867C}">
                    <a14:compatExt spid="_x0000_s39044"/>
                  </a:ext>
                  <a:ext uri="{FF2B5EF4-FFF2-40B4-BE49-F238E27FC236}">
                    <a16:creationId xmlns:a16="http://schemas.microsoft.com/office/drawing/2014/main" id="{00000000-0008-0000-1100-00008498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36</xdr:row>
          <xdr:rowOff>19053</xdr:rowOff>
        </xdr:from>
        <xdr:to>
          <xdr:col>16</xdr:col>
          <xdr:colOff>132301</xdr:colOff>
          <xdr:row>36</xdr:row>
          <xdr:rowOff>194786</xdr:rowOff>
        </xdr:to>
        <xdr:grpSp>
          <xdr:nvGrpSpPr>
            <xdr:cNvPr id="164" name="Gruppieren 163">
              <a:extLst>
                <a:ext uri="{FF2B5EF4-FFF2-40B4-BE49-F238E27FC236}">
                  <a16:creationId xmlns:a16="http://schemas.microsoft.com/office/drawing/2014/main" id="{00000000-0008-0000-1100-0000A4000000}"/>
                </a:ext>
              </a:extLst>
            </xdr:cNvPr>
            <xdr:cNvGrpSpPr/>
          </xdr:nvGrpSpPr>
          <xdr:grpSpPr>
            <a:xfrm>
              <a:off x="4427413" y="11746233"/>
              <a:ext cx="2341908" cy="175733"/>
              <a:chOff x="3581397" y="2105465"/>
              <a:chExt cx="2247892" cy="276224"/>
            </a:xfrm>
          </xdr:grpSpPr>
          <xdr:sp macro="" textlink="">
            <xdr:nvSpPr>
              <xdr:cNvPr id="39045" name="Group Box 133" hidden="1">
                <a:extLst>
                  <a:ext uri="{63B3BB69-23CF-44E3-9099-C40C66FF867C}">
                    <a14:compatExt spid="_x0000_s39045"/>
                  </a:ext>
                  <a:ext uri="{FF2B5EF4-FFF2-40B4-BE49-F238E27FC236}">
                    <a16:creationId xmlns:a16="http://schemas.microsoft.com/office/drawing/2014/main" id="{00000000-0008-0000-1100-000085980000}"/>
                  </a:ext>
                </a:extLst>
              </xdr:cNvPr>
              <xdr:cNvSpPr/>
            </xdr:nvSpPr>
            <xdr:spPr bwMode="auto">
              <a:xfrm>
                <a:off x="3581397" y="2105465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46" name="Option Button 134" hidden="1">
                <a:extLst>
                  <a:ext uri="{63B3BB69-23CF-44E3-9099-C40C66FF867C}">
                    <a14:compatExt spid="_x0000_s39046"/>
                  </a:ext>
                  <a:ext uri="{FF2B5EF4-FFF2-40B4-BE49-F238E27FC236}">
                    <a16:creationId xmlns:a16="http://schemas.microsoft.com/office/drawing/2014/main" id="{00000000-0008-0000-1100-00008698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47" name="Option Button 135" hidden="1">
                <a:extLst>
                  <a:ext uri="{63B3BB69-23CF-44E3-9099-C40C66FF867C}">
                    <a14:compatExt spid="_x0000_s39047"/>
                  </a:ext>
                  <a:ext uri="{FF2B5EF4-FFF2-40B4-BE49-F238E27FC236}">
                    <a16:creationId xmlns:a16="http://schemas.microsoft.com/office/drawing/2014/main" id="{00000000-0008-0000-1100-00008798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48" name="Option Button 136" hidden="1">
                <a:extLst>
                  <a:ext uri="{63B3BB69-23CF-44E3-9099-C40C66FF867C}">
                    <a14:compatExt spid="_x0000_s39048"/>
                  </a:ext>
                  <a:ext uri="{FF2B5EF4-FFF2-40B4-BE49-F238E27FC236}">
                    <a16:creationId xmlns:a16="http://schemas.microsoft.com/office/drawing/2014/main" id="{00000000-0008-0000-1100-00008898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49" name="Option Button 137" hidden="1">
                <a:extLst>
                  <a:ext uri="{63B3BB69-23CF-44E3-9099-C40C66FF867C}">
                    <a14:compatExt spid="_x0000_s39049"/>
                  </a:ext>
                  <a:ext uri="{FF2B5EF4-FFF2-40B4-BE49-F238E27FC236}">
                    <a16:creationId xmlns:a16="http://schemas.microsoft.com/office/drawing/2014/main" id="{00000000-0008-0000-1100-00008998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50" name="Option Button 138" hidden="1">
                <a:extLst>
                  <a:ext uri="{63B3BB69-23CF-44E3-9099-C40C66FF867C}">
                    <a14:compatExt spid="_x0000_s39050"/>
                  </a:ext>
                  <a:ext uri="{FF2B5EF4-FFF2-40B4-BE49-F238E27FC236}">
                    <a16:creationId xmlns:a16="http://schemas.microsoft.com/office/drawing/2014/main" id="{00000000-0008-0000-1100-00008A98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37</xdr:row>
          <xdr:rowOff>19237</xdr:rowOff>
        </xdr:from>
        <xdr:to>
          <xdr:col>16</xdr:col>
          <xdr:colOff>132301</xdr:colOff>
          <xdr:row>37</xdr:row>
          <xdr:rowOff>204105</xdr:rowOff>
        </xdr:to>
        <xdr:grpSp>
          <xdr:nvGrpSpPr>
            <xdr:cNvPr id="171" name="Gruppieren 170">
              <a:extLst>
                <a:ext uri="{FF2B5EF4-FFF2-40B4-BE49-F238E27FC236}">
                  <a16:creationId xmlns:a16="http://schemas.microsoft.com/office/drawing/2014/main" id="{00000000-0008-0000-1100-0000AB000000}"/>
                </a:ext>
              </a:extLst>
            </xdr:cNvPr>
            <xdr:cNvGrpSpPr/>
          </xdr:nvGrpSpPr>
          <xdr:grpSpPr>
            <a:xfrm>
              <a:off x="4427413" y="12142657"/>
              <a:ext cx="2341908" cy="184868"/>
              <a:chOff x="3581397" y="2105708"/>
              <a:chExt cx="2247892" cy="276222"/>
            </a:xfrm>
          </xdr:grpSpPr>
          <xdr:sp macro="" textlink="">
            <xdr:nvSpPr>
              <xdr:cNvPr id="39051" name="Group Box 139" hidden="1">
                <a:extLst>
                  <a:ext uri="{63B3BB69-23CF-44E3-9099-C40C66FF867C}">
                    <a14:compatExt spid="_x0000_s39051"/>
                  </a:ext>
                  <a:ext uri="{FF2B5EF4-FFF2-40B4-BE49-F238E27FC236}">
                    <a16:creationId xmlns:a16="http://schemas.microsoft.com/office/drawing/2014/main" id="{00000000-0008-0000-1100-00008B980000}"/>
                  </a:ext>
                </a:extLst>
              </xdr:cNvPr>
              <xdr:cNvSpPr/>
            </xdr:nvSpPr>
            <xdr:spPr bwMode="auto">
              <a:xfrm>
                <a:off x="3581397" y="2105708"/>
                <a:ext cx="2247892" cy="2762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52" name="Option Button 140" hidden="1">
                <a:extLst>
                  <a:ext uri="{63B3BB69-23CF-44E3-9099-C40C66FF867C}">
                    <a14:compatExt spid="_x0000_s39052"/>
                  </a:ext>
                  <a:ext uri="{FF2B5EF4-FFF2-40B4-BE49-F238E27FC236}">
                    <a16:creationId xmlns:a16="http://schemas.microsoft.com/office/drawing/2014/main" id="{00000000-0008-0000-1100-00008C980000}"/>
                  </a:ext>
                </a:extLst>
              </xdr:cNvPr>
              <xdr:cNvSpPr/>
            </xdr:nvSpPr>
            <xdr:spPr bwMode="auto">
              <a:xfrm>
                <a:off x="370522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53" name="Option Button 141" hidden="1">
                <a:extLst>
                  <a:ext uri="{63B3BB69-23CF-44E3-9099-C40C66FF867C}">
                    <a14:compatExt spid="_x0000_s39053"/>
                  </a:ext>
                  <a:ext uri="{FF2B5EF4-FFF2-40B4-BE49-F238E27FC236}">
                    <a16:creationId xmlns:a16="http://schemas.microsoft.com/office/drawing/2014/main" id="{00000000-0008-0000-1100-00008D980000}"/>
                  </a:ext>
                </a:extLst>
              </xdr:cNvPr>
              <xdr:cNvSpPr/>
            </xdr:nvSpPr>
            <xdr:spPr bwMode="auto">
              <a:xfrm>
                <a:off x="414337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54" name="Option Button 142" hidden="1">
                <a:extLst>
                  <a:ext uri="{63B3BB69-23CF-44E3-9099-C40C66FF867C}">
                    <a14:compatExt spid="_x0000_s39054"/>
                  </a:ext>
                  <a:ext uri="{FF2B5EF4-FFF2-40B4-BE49-F238E27FC236}">
                    <a16:creationId xmlns:a16="http://schemas.microsoft.com/office/drawing/2014/main" id="{00000000-0008-0000-1100-00008E980000}"/>
                  </a:ext>
                </a:extLst>
              </xdr:cNvPr>
              <xdr:cNvSpPr/>
            </xdr:nvSpPr>
            <xdr:spPr bwMode="auto">
              <a:xfrm>
                <a:off x="45815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55" name="Option Button 143" hidden="1">
                <a:extLst>
                  <a:ext uri="{63B3BB69-23CF-44E3-9099-C40C66FF867C}">
                    <a14:compatExt spid="_x0000_s39055"/>
                  </a:ext>
                  <a:ext uri="{FF2B5EF4-FFF2-40B4-BE49-F238E27FC236}">
                    <a16:creationId xmlns:a16="http://schemas.microsoft.com/office/drawing/2014/main" id="{00000000-0008-0000-1100-00008F980000}"/>
                  </a:ext>
                </a:extLst>
              </xdr:cNvPr>
              <xdr:cNvSpPr/>
            </xdr:nvSpPr>
            <xdr:spPr bwMode="auto">
              <a:xfrm>
                <a:off x="501967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56" name="Option Button 144" hidden="1">
                <a:extLst>
                  <a:ext uri="{63B3BB69-23CF-44E3-9099-C40C66FF867C}">
                    <a14:compatExt spid="_x0000_s39056"/>
                  </a:ext>
                  <a:ext uri="{FF2B5EF4-FFF2-40B4-BE49-F238E27FC236}">
                    <a16:creationId xmlns:a16="http://schemas.microsoft.com/office/drawing/2014/main" id="{00000000-0008-0000-1100-000090980000}"/>
                  </a:ext>
                </a:extLst>
              </xdr:cNvPr>
              <xdr:cNvSpPr/>
            </xdr:nvSpPr>
            <xdr:spPr bwMode="auto">
              <a:xfrm>
                <a:off x="54578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39</xdr:row>
          <xdr:rowOff>28578</xdr:rowOff>
        </xdr:from>
        <xdr:to>
          <xdr:col>16</xdr:col>
          <xdr:colOff>132301</xdr:colOff>
          <xdr:row>39</xdr:row>
          <xdr:rowOff>204311</xdr:rowOff>
        </xdr:to>
        <xdr:grpSp>
          <xdr:nvGrpSpPr>
            <xdr:cNvPr id="178" name="Gruppieren 177">
              <a:extLst>
                <a:ext uri="{FF2B5EF4-FFF2-40B4-BE49-F238E27FC236}">
                  <a16:creationId xmlns:a16="http://schemas.microsoft.com/office/drawing/2014/main" id="{00000000-0008-0000-1100-0000B2000000}"/>
                </a:ext>
              </a:extLst>
            </xdr:cNvPr>
            <xdr:cNvGrpSpPr/>
          </xdr:nvGrpSpPr>
          <xdr:grpSpPr>
            <a:xfrm>
              <a:off x="4427413" y="12944478"/>
              <a:ext cx="2341908" cy="175733"/>
              <a:chOff x="3581397" y="2105465"/>
              <a:chExt cx="2247892" cy="276224"/>
            </a:xfrm>
          </xdr:grpSpPr>
          <xdr:sp macro="" textlink="">
            <xdr:nvSpPr>
              <xdr:cNvPr id="39057" name="Group Box 145" hidden="1">
                <a:extLst>
                  <a:ext uri="{63B3BB69-23CF-44E3-9099-C40C66FF867C}">
                    <a14:compatExt spid="_x0000_s39057"/>
                  </a:ext>
                  <a:ext uri="{FF2B5EF4-FFF2-40B4-BE49-F238E27FC236}">
                    <a16:creationId xmlns:a16="http://schemas.microsoft.com/office/drawing/2014/main" id="{00000000-0008-0000-1100-000091980000}"/>
                  </a:ext>
                </a:extLst>
              </xdr:cNvPr>
              <xdr:cNvSpPr/>
            </xdr:nvSpPr>
            <xdr:spPr bwMode="auto">
              <a:xfrm>
                <a:off x="3581397" y="2105465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58" name="Option Button 146" hidden="1">
                <a:extLst>
                  <a:ext uri="{63B3BB69-23CF-44E3-9099-C40C66FF867C}">
                    <a14:compatExt spid="_x0000_s39058"/>
                  </a:ext>
                  <a:ext uri="{FF2B5EF4-FFF2-40B4-BE49-F238E27FC236}">
                    <a16:creationId xmlns:a16="http://schemas.microsoft.com/office/drawing/2014/main" id="{00000000-0008-0000-1100-00009298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59" name="Option Button 147" hidden="1">
                <a:extLst>
                  <a:ext uri="{63B3BB69-23CF-44E3-9099-C40C66FF867C}">
                    <a14:compatExt spid="_x0000_s39059"/>
                  </a:ext>
                  <a:ext uri="{FF2B5EF4-FFF2-40B4-BE49-F238E27FC236}">
                    <a16:creationId xmlns:a16="http://schemas.microsoft.com/office/drawing/2014/main" id="{00000000-0008-0000-1100-00009398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60" name="Option Button 148" hidden="1">
                <a:extLst>
                  <a:ext uri="{63B3BB69-23CF-44E3-9099-C40C66FF867C}">
                    <a14:compatExt spid="_x0000_s39060"/>
                  </a:ext>
                  <a:ext uri="{FF2B5EF4-FFF2-40B4-BE49-F238E27FC236}">
                    <a16:creationId xmlns:a16="http://schemas.microsoft.com/office/drawing/2014/main" id="{00000000-0008-0000-1100-00009498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61" name="Option Button 149" hidden="1">
                <a:extLst>
                  <a:ext uri="{63B3BB69-23CF-44E3-9099-C40C66FF867C}">
                    <a14:compatExt spid="_x0000_s39061"/>
                  </a:ext>
                  <a:ext uri="{FF2B5EF4-FFF2-40B4-BE49-F238E27FC236}">
                    <a16:creationId xmlns:a16="http://schemas.microsoft.com/office/drawing/2014/main" id="{00000000-0008-0000-1100-00009598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62" name="Option Button 150" hidden="1">
                <a:extLst>
                  <a:ext uri="{63B3BB69-23CF-44E3-9099-C40C66FF867C}">
                    <a14:compatExt spid="_x0000_s39062"/>
                  </a:ext>
                  <a:ext uri="{FF2B5EF4-FFF2-40B4-BE49-F238E27FC236}">
                    <a16:creationId xmlns:a16="http://schemas.microsoft.com/office/drawing/2014/main" id="{00000000-0008-0000-1100-00009698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28576</xdr:colOff>
      <xdr:row>39</xdr:row>
      <xdr:rowOff>361950</xdr:rowOff>
    </xdr:from>
    <xdr:to>
      <xdr:col>1</xdr:col>
      <xdr:colOff>1</xdr:colOff>
      <xdr:row>41</xdr:row>
      <xdr:rowOff>190898</xdr:rowOff>
    </xdr:to>
    <xdr:pic>
      <xdr:nvPicPr>
        <xdr:cNvPr id="185" name="Picture 2">
          <a:extLst>
            <a:ext uri="{FF2B5EF4-FFF2-40B4-BE49-F238E27FC236}">
              <a16:creationId xmlns:a16="http://schemas.microsoft.com/office/drawing/2014/main" id="{00000000-0008-0000-1100-0000B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8576" y="13382625"/>
          <a:ext cx="438150" cy="42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41</xdr:row>
          <xdr:rowOff>9591</xdr:rowOff>
        </xdr:from>
        <xdr:to>
          <xdr:col>16</xdr:col>
          <xdr:colOff>132300</xdr:colOff>
          <xdr:row>41</xdr:row>
          <xdr:rowOff>203596</xdr:rowOff>
        </xdr:to>
        <xdr:grpSp>
          <xdr:nvGrpSpPr>
            <xdr:cNvPr id="186" name="Gruppieren 185">
              <a:extLst>
                <a:ext uri="{FF2B5EF4-FFF2-40B4-BE49-F238E27FC236}">
                  <a16:creationId xmlns:a16="http://schemas.microsoft.com/office/drawing/2014/main" id="{00000000-0008-0000-1100-0000BA000000}"/>
                </a:ext>
              </a:extLst>
            </xdr:cNvPr>
            <xdr:cNvGrpSpPr/>
          </xdr:nvGrpSpPr>
          <xdr:grpSpPr>
            <a:xfrm>
              <a:off x="4427409" y="13519851"/>
              <a:ext cx="2341911" cy="194005"/>
              <a:chOff x="3581386" y="2104692"/>
              <a:chExt cx="2247895" cy="276226"/>
            </a:xfrm>
          </xdr:grpSpPr>
          <xdr:sp macro="" textlink="">
            <xdr:nvSpPr>
              <xdr:cNvPr id="39063" name="Group Box 151" hidden="1">
                <a:extLst>
                  <a:ext uri="{63B3BB69-23CF-44E3-9099-C40C66FF867C}">
                    <a14:compatExt spid="_x0000_s39063"/>
                  </a:ext>
                  <a:ext uri="{FF2B5EF4-FFF2-40B4-BE49-F238E27FC236}">
                    <a16:creationId xmlns:a16="http://schemas.microsoft.com/office/drawing/2014/main" id="{00000000-0008-0000-1100-000097980000}"/>
                  </a:ext>
                </a:extLst>
              </xdr:cNvPr>
              <xdr:cNvSpPr/>
            </xdr:nvSpPr>
            <xdr:spPr bwMode="auto">
              <a:xfrm>
                <a:off x="3581386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64" name="Option Button 152" hidden="1">
                <a:extLst>
                  <a:ext uri="{63B3BB69-23CF-44E3-9099-C40C66FF867C}">
                    <a14:compatExt spid="_x0000_s39064"/>
                  </a:ext>
                  <a:ext uri="{FF2B5EF4-FFF2-40B4-BE49-F238E27FC236}">
                    <a16:creationId xmlns:a16="http://schemas.microsoft.com/office/drawing/2014/main" id="{00000000-0008-0000-1100-000098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65" name="Option Button 153" hidden="1">
                <a:extLst>
                  <a:ext uri="{63B3BB69-23CF-44E3-9099-C40C66FF867C}">
                    <a14:compatExt spid="_x0000_s39065"/>
                  </a:ext>
                  <a:ext uri="{FF2B5EF4-FFF2-40B4-BE49-F238E27FC236}">
                    <a16:creationId xmlns:a16="http://schemas.microsoft.com/office/drawing/2014/main" id="{00000000-0008-0000-1100-000099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66" name="Option Button 154" hidden="1">
                <a:extLst>
                  <a:ext uri="{63B3BB69-23CF-44E3-9099-C40C66FF867C}">
                    <a14:compatExt spid="_x0000_s39066"/>
                  </a:ext>
                  <a:ext uri="{FF2B5EF4-FFF2-40B4-BE49-F238E27FC236}">
                    <a16:creationId xmlns:a16="http://schemas.microsoft.com/office/drawing/2014/main" id="{00000000-0008-0000-1100-00009A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67" name="Option Button 155" hidden="1">
                <a:extLst>
                  <a:ext uri="{63B3BB69-23CF-44E3-9099-C40C66FF867C}">
                    <a14:compatExt spid="_x0000_s39067"/>
                  </a:ext>
                  <a:ext uri="{FF2B5EF4-FFF2-40B4-BE49-F238E27FC236}">
                    <a16:creationId xmlns:a16="http://schemas.microsoft.com/office/drawing/2014/main" id="{00000000-0008-0000-1100-00009B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68" name="Option Button 156" hidden="1">
                <a:extLst>
                  <a:ext uri="{63B3BB69-23CF-44E3-9099-C40C66FF867C}">
                    <a14:compatExt spid="_x0000_s39068"/>
                  </a:ext>
                  <a:ext uri="{FF2B5EF4-FFF2-40B4-BE49-F238E27FC236}">
                    <a16:creationId xmlns:a16="http://schemas.microsoft.com/office/drawing/2014/main" id="{00000000-0008-0000-1100-00009C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42</xdr:row>
          <xdr:rowOff>9591</xdr:rowOff>
        </xdr:from>
        <xdr:to>
          <xdr:col>16</xdr:col>
          <xdr:colOff>132300</xdr:colOff>
          <xdr:row>42</xdr:row>
          <xdr:rowOff>203596</xdr:rowOff>
        </xdr:to>
        <xdr:grpSp>
          <xdr:nvGrpSpPr>
            <xdr:cNvPr id="193" name="Gruppieren 192">
              <a:extLst>
                <a:ext uri="{FF2B5EF4-FFF2-40B4-BE49-F238E27FC236}">
                  <a16:creationId xmlns:a16="http://schemas.microsoft.com/office/drawing/2014/main" id="{00000000-0008-0000-1100-0000C1000000}"/>
                </a:ext>
              </a:extLst>
            </xdr:cNvPr>
            <xdr:cNvGrpSpPr/>
          </xdr:nvGrpSpPr>
          <xdr:grpSpPr>
            <a:xfrm>
              <a:off x="4427409" y="13916091"/>
              <a:ext cx="2341911" cy="194005"/>
              <a:chOff x="3581386" y="2104692"/>
              <a:chExt cx="2247895" cy="276226"/>
            </a:xfrm>
          </xdr:grpSpPr>
          <xdr:sp macro="" textlink="">
            <xdr:nvSpPr>
              <xdr:cNvPr id="39069" name="Group Box 157" hidden="1">
                <a:extLst>
                  <a:ext uri="{63B3BB69-23CF-44E3-9099-C40C66FF867C}">
                    <a14:compatExt spid="_x0000_s39069"/>
                  </a:ext>
                  <a:ext uri="{FF2B5EF4-FFF2-40B4-BE49-F238E27FC236}">
                    <a16:creationId xmlns:a16="http://schemas.microsoft.com/office/drawing/2014/main" id="{00000000-0008-0000-1100-00009D980000}"/>
                  </a:ext>
                </a:extLst>
              </xdr:cNvPr>
              <xdr:cNvSpPr/>
            </xdr:nvSpPr>
            <xdr:spPr bwMode="auto">
              <a:xfrm>
                <a:off x="3581386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70" name="Option Button 158" hidden="1">
                <a:extLst>
                  <a:ext uri="{63B3BB69-23CF-44E3-9099-C40C66FF867C}">
                    <a14:compatExt spid="_x0000_s39070"/>
                  </a:ext>
                  <a:ext uri="{FF2B5EF4-FFF2-40B4-BE49-F238E27FC236}">
                    <a16:creationId xmlns:a16="http://schemas.microsoft.com/office/drawing/2014/main" id="{00000000-0008-0000-1100-00009E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71" name="Option Button 159" hidden="1">
                <a:extLst>
                  <a:ext uri="{63B3BB69-23CF-44E3-9099-C40C66FF867C}">
                    <a14:compatExt spid="_x0000_s39071"/>
                  </a:ext>
                  <a:ext uri="{FF2B5EF4-FFF2-40B4-BE49-F238E27FC236}">
                    <a16:creationId xmlns:a16="http://schemas.microsoft.com/office/drawing/2014/main" id="{00000000-0008-0000-1100-00009F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72" name="Option Button 160" hidden="1">
                <a:extLst>
                  <a:ext uri="{63B3BB69-23CF-44E3-9099-C40C66FF867C}">
                    <a14:compatExt spid="_x0000_s39072"/>
                  </a:ext>
                  <a:ext uri="{FF2B5EF4-FFF2-40B4-BE49-F238E27FC236}">
                    <a16:creationId xmlns:a16="http://schemas.microsoft.com/office/drawing/2014/main" id="{00000000-0008-0000-1100-0000A0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73" name="Option Button 161" hidden="1">
                <a:extLst>
                  <a:ext uri="{63B3BB69-23CF-44E3-9099-C40C66FF867C}">
                    <a14:compatExt spid="_x0000_s39073"/>
                  </a:ext>
                  <a:ext uri="{FF2B5EF4-FFF2-40B4-BE49-F238E27FC236}">
                    <a16:creationId xmlns:a16="http://schemas.microsoft.com/office/drawing/2014/main" id="{00000000-0008-0000-1100-0000A1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74" name="Option Button 162" hidden="1">
                <a:extLst>
                  <a:ext uri="{63B3BB69-23CF-44E3-9099-C40C66FF867C}">
                    <a14:compatExt spid="_x0000_s39074"/>
                  </a:ext>
                  <a:ext uri="{FF2B5EF4-FFF2-40B4-BE49-F238E27FC236}">
                    <a16:creationId xmlns:a16="http://schemas.microsoft.com/office/drawing/2014/main" id="{00000000-0008-0000-1100-0000A2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43</xdr:row>
          <xdr:rowOff>66</xdr:rowOff>
        </xdr:from>
        <xdr:to>
          <xdr:col>16</xdr:col>
          <xdr:colOff>132300</xdr:colOff>
          <xdr:row>43</xdr:row>
          <xdr:rowOff>194071</xdr:rowOff>
        </xdr:to>
        <xdr:grpSp>
          <xdr:nvGrpSpPr>
            <xdr:cNvPr id="200" name="Gruppieren 199">
              <a:extLst>
                <a:ext uri="{FF2B5EF4-FFF2-40B4-BE49-F238E27FC236}">
                  <a16:creationId xmlns:a16="http://schemas.microsoft.com/office/drawing/2014/main" id="{00000000-0008-0000-1100-0000C8000000}"/>
                </a:ext>
              </a:extLst>
            </xdr:cNvPr>
            <xdr:cNvGrpSpPr/>
          </xdr:nvGrpSpPr>
          <xdr:grpSpPr>
            <a:xfrm>
              <a:off x="4427409" y="14302806"/>
              <a:ext cx="2341911" cy="194005"/>
              <a:chOff x="3581386" y="2104692"/>
              <a:chExt cx="2247895" cy="276226"/>
            </a:xfrm>
          </xdr:grpSpPr>
          <xdr:sp macro="" textlink="">
            <xdr:nvSpPr>
              <xdr:cNvPr id="39075" name="Group Box 163" hidden="1">
                <a:extLst>
                  <a:ext uri="{63B3BB69-23CF-44E3-9099-C40C66FF867C}">
                    <a14:compatExt spid="_x0000_s39075"/>
                  </a:ext>
                  <a:ext uri="{FF2B5EF4-FFF2-40B4-BE49-F238E27FC236}">
                    <a16:creationId xmlns:a16="http://schemas.microsoft.com/office/drawing/2014/main" id="{00000000-0008-0000-1100-0000A3980000}"/>
                  </a:ext>
                </a:extLst>
              </xdr:cNvPr>
              <xdr:cNvSpPr/>
            </xdr:nvSpPr>
            <xdr:spPr bwMode="auto">
              <a:xfrm>
                <a:off x="3581386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76" name="Option Button 164" hidden="1">
                <a:extLst>
                  <a:ext uri="{63B3BB69-23CF-44E3-9099-C40C66FF867C}">
                    <a14:compatExt spid="_x0000_s39076"/>
                  </a:ext>
                  <a:ext uri="{FF2B5EF4-FFF2-40B4-BE49-F238E27FC236}">
                    <a16:creationId xmlns:a16="http://schemas.microsoft.com/office/drawing/2014/main" id="{00000000-0008-0000-1100-0000A4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77" name="Option Button 165" hidden="1">
                <a:extLst>
                  <a:ext uri="{63B3BB69-23CF-44E3-9099-C40C66FF867C}">
                    <a14:compatExt spid="_x0000_s39077"/>
                  </a:ext>
                  <a:ext uri="{FF2B5EF4-FFF2-40B4-BE49-F238E27FC236}">
                    <a16:creationId xmlns:a16="http://schemas.microsoft.com/office/drawing/2014/main" id="{00000000-0008-0000-1100-0000A5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78" name="Option Button 166" hidden="1">
                <a:extLst>
                  <a:ext uri="{63B3BB69-23CF-44E3-9099-C40C66FF867C}">
                    <a14:compatExt spid="_x0000_s39078"/>
                  </a:ext>
                  <a:ext uri="{FF2B5EF4-FFF2-40B4-BE49-F238E27FC236}">
                    <a16:creationId xmlns:a16="http://schemas.microsoft.com/office/drawing/2014/main" id="{00000000-0008-0000-1100-0000A6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79" name="Option Button 167" hidden="1">
                <a:extLst>
                  <a:ext uri="{63B3BB69-23CF-44E3-9099-C40C66FF867C}">
                    <a14:compatExt spid="_x0000_s39079"/>
                  </a:ext>
                  <a:ext uri="{FF2B5EF4-FFF2-40B4-BE49-F238E27FC236}">
                    <a16:creationId xmlns:a16="http://schemas.microsoft.com/office/drawing/2014/main" id="{00000000-0008-0000-1100-0000A7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80" name="Option Button 168" hidden="1">
                <a:extLst>
                  <a:ext uri="{63B3BB69-23CF-44E3-9099-C40C66FF867C}">
                    <a14:compatExt spid="_x0000_s39080"/>
                  </a:ext>
                  <a:ext uri="{FF2B5EF4-FFF2-40B4-BE49-F238E27FC236}">
                    <a16:creationId xmlns:a16="http://schemas.microsoft.com/office/drawing/2014/main" id="{00000000-0008-0000-1100-0000A8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28575</xdr:colOff>
      <xdr:row>44</xdr:row>
      <xdr:rowOff>352425</xdr:rowOff>
    </xdr:from>
    <xdr:to>
      <xdr:col>1</xdr:col>
      <xdr:colOff>9525</xdr:colOff>
      <xdr:row>47</xdr:row>
      <xdr:rowOff>2501</xdr:rowOff>
    </xdr:to>
    <xdr:pic>
      <xdr:nvPicPr>
        <xdr:cNvPr id="207" name="Picture 2">
          <a:extLst>
            <a:ext uri="{FF2B5EF4-FFF2-40B4-BE49-F238E27FC236}">
              <a16:creationId xmlns:a16="http://schemas.microsoft.com/office/drawing/2014/main" id="{00000000-0008-0000-1100-0000C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8575" y="15173325"/>
          <a:ext cx="447675" cy="646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44</xdr:row>
          <xdr:rowOff>9591</xdr:rowOff>
        </xdr:from>
        <xdr:to>
          <xdr:col>16</xdr:col>
          <xdr:colOff>132300</xdr:colOff>
          <xdr:row>44</xdr:row>
          <xdr:rowOff>203596</xdr:rowOff>
        </xdr:to>
        <xdr:grpSp>
          <xdr:nvGrpSpPr>
            <xdr:cNvPr id="208" name="Gruppieren 207">
              <a:extLst>
                <a:ext uri="{FF2B5EF4-FFF2-40B4-BE49-F238E27FC236}">
                  <a16:creationId xmlns:a16="http://schemas.microsoft.com/office/drawing/2014/main" id="{00000000-0008-0000-1100-0000D0000000}"/>
                </a:ext>
              </a:extLst>
            </xdr:cNvPr>
            <xdr:cNvGrpSpPr/>
          </xdr:nvGrpSpPr>
          <xdr:grpSpPr>
            <a:xfrm>
              <a:off x="4427409" y="14708571"/>
              <a:ext cx="2341911" cy="194005"/>
              <a:chOff x="3581386" y="2104692"/>
              <a:chExt cx="2247895" cy="276226"/>
            </a:xfrm>
          </xdr:grpSpPr>
          <xdr:sp macro="" textlink="">
            <xdr:nvSpPr>
              <xdr:cNvPr id="39081" name="Group Box 169" hidden="1">
                <a:extLst>
                  <a:ext uri="{63B3BB69-23CF-44E3-9099-C40C66FF867C}">
                    <a14:compatExt spid="_x0000_s39081"/>
                  </a:ext>
                  <a:ext uri="{FF2B5EF4-FFF2-40B4-BE49-F238E27FC236}">
                    <a16:creationId xmlns:a16="http://schemas.microsoft.com/office/drawing/2014/main" id="{00000000-0008-0000-1100-0000A9980000}"/>
                  </a:ext>
                </a:extLst>
              </xdr:cNvPr>
              <xdr:cNvSpPr/>
            </xdr:nvSpPr>
            <xdr:spPr bwMode="auto">
              <a:xfrm>
                <a:off x="3581386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82" name="Option Button 170" hidden="1">
                <a:extLst>
                  <a:ext uri="{63B3BB69-23CF-44E3-9099-C40C66FF867C}">
                    <a14:compatExt spid="_x0000_s39082"/>
                  </a:ext>
                  <a:ext uri="{FF2B5EF4-FFF2-40B4-BE49-F238E27FC236}">
                    <a16:creationId xmlns:a16="http://schemas.microsoft.com/office/drawing/2014/main" id="{00000000-0008-0000-1100-0000AA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83" name="Option Button 171" hidden="1">
                <a:extLst>
                  <a:ext uri="{63B3BB69-23CF-44E3-9099-C40C66FF867C}">
                    <a14:compatExt spid="_x0000_s39083"/>
                  </a:ext>
                  <a:ext uri="{FF2B5EF4-FFF2-40B4-BE49-F238E27FC236}">
                    <a16:creationId xmlns:a16="http://schemas.microsoft.com/office/drawing/2014/main" id="{00000000-0008-0000-1100-0000AB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84" name="Option Button 172" hidden="1">
                <a:extLst>
                  <a:ext uri="{63B3BB69-23CF-44E3-9099-C40C66FF867C}">
                    <a14:compatExt spid="_x0000_s39084"/>
                  </a:ext>
                  <a:ext uri="{FF2B5EF4-FFF2-40B4-BE49-F238E27FC236}">
                    <a16:creationId xmlns:a16="http://schemas.microsoft.com/office/drawing/2014/main" id="{00000000-0008-0000-1100-0000AC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85" name="Option Button 173" hidden="1">
                <a:extLst>
                  <a:ext uri="{63B3BB69-23CF-44E3-9099-C40C66FF867C}">
                    <a14:compatExt spid="_x0000_s39085"/>
                  </a:ext>
                  <a:ext uri="{FF2B5EF4-FFF2-40B4-BE49-F238E27FC236}">
                    <a16:creationId xmlns:a16="http://schemas.microsoft.com/office/drawing/2014/main" id="{00000000-0008-0000-1100-0000AD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86" name="Option Button 174" hidden="1">
                <a:extLst>
                  <a:ext uri="{63B3BB69-23CF-44E3-9099-C40C66FF867C}">
                    <a14:compatExt spid="_x0000_s39086"/>
                  </a:ext>
                  <a:ext uri="{FF2B5EF4-FFF2-40B4-BE49-F238E27FC236}">
                    <a16:creationId xmlns:a16="http://schemas.microsoft.com/office/drawing/2014/main" id="{00000000-0008-0000-1100-0000AE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46</xdr:row>
          <xdr:rowOff>28578</xdr:rowOff>
        </xdr:from>
        <xdr:to>
          <xdr:col>16</xdr:col>
          <xdr:colOff>132301</xdr:colOff>
          <xdr:row>46</xdr:row>
          <xdr:rowOff>204311</xdr:rowOff>
        </xdr:to>
        <xdr:grpSp>
          <xdr:nvGrpSpPr>
            <xdr:cNvPr id="215" name="Gruppieren 214">
              <a:extLst>
                <a:ext uri="{FF2B5EF4-FFF2-40B4-BE49-F238E27FC236}">
                  <a16:creationId xmlns:a16="http://schemas.microsoft.com/office/drawing/2014/main" id="{00000000-0008-0000-1100-0000D7000000}"/>
                </a:ext>
              </a:extLst>
            </xdr:cNvPr>
            <xdr:cNvGrpSpPr/>
          </xdr:nvGrpSpPr>
          <xdr:grpSpPr>
            <a:xfrm>
              <a:off x="4427413" y="15321918"/>
              <a:ext cx="2341908" cy="175733"/>
              <a:chOff x="3581397" y="2105465"/>
              <a:chExt cx="2247892" cy="276224"/>
            </a:xfrm>
          </xdr:grpSpPr>
          <xdr:sp macro="" textlink="">
            <xdr:nvSpPr>
              <xdr:cNvPr id="39087" name="Group Box 175" hidden="1">
                <a:extLst>
                  <a:ext uri="{63B3BB69-23CF-44E3-9099-C40C66FF867C}">
                    <a14:compatExt spid="_x0000_s39087"/>
                  </a:ext>
                  <a:ext uri="{FF2B5EF4-FFF2-40B4-BE49-F238E27FC236}">
                    <a16:creationId xmlns:a16="http://schemas.microsoft.com/office/drawing/2014/main" id="{00000000-0008-0000-1100-0000AF980000}"/>
                  </a:ext>
                </a:extLst>
              </xdr:cNvPr>
              <xdr:cNvSpPr/>
            </xdr:nvSpPr>
            <xdr:spPr bwMode="auto">
              <a:xfrm>
                <a:off x="3581397" y="2105465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88" name="Option Button 176" hidden="1">
                <a:extLst>
                  <a:ext uri="{63B3BB69-23CF-44E3-9099-C40C66FF867C}">
                    <a14:compatExt spid="_x0000_s39088"/>
                  </a:ext>
                  <a:ext uri="{FF2B5EF4-FFF2-40B4-BE49-F238E27FC236}">
                    <a16:creationId xmlns:a16="http://schemas.microsoft.com/office/drawing/2014/main" id="{00000000-0008-0000-1100-0000B098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89" name="Option Button 177" hidden="1">
                <a:extLst>
                  <a:ext uri="{63B3BB69-23CF-44E3-9099-C40C66FF867C}">
                    <a14:compatExt spid="_x0000_s39089"/>
                  </a:ext>
                  <a:ext uri="{FF2B5EF4-FFF2-40B4-BE49-F238E27FC236}">
                    <a16:creationId xmlns:a16="http://schemas.microsoft.com/office/drawing/2014/main" id="{00000000-0008-0000-1100-0000B198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90" name="Option Button 178" hidden="1">
                <a:extLst>
                  <a:ext uri="{63B3BB69-23CF-44E3-9099-C40C66FF867C}">
                    <a14:compatExt spid="_x0000_s39090"/>
                  </a:ext>
                  <a:ext uri="{FF2B5EF4-FFF2-40B4-BE49-F238E27FC236}">
                    <a16:creationId xmlns:a16="http://schemas.microsoft.com/office/drawing/2014/main" id="{00000000-0008-0000-1100-0000B298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91" name="Option Button 179" hidden="1">
                <a:extLst>
                  <a:ext uri="{63B3BB69-23CF-44E3-9099-C40C66FF867C}">
                    <a14:compatExt spid="_x0000_s39091"/>
                  </a:ext>
                  <a:ext uri="{FF2B5EF4-FFF2-40B4-BE49-F238E27FC236}">
                    <a16:creationId xmlns:a16="http://schemas.microsoft.com/office/drawing/2014/main" id="{00000000-0008-0000-1100-0000B398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92" name="Option Button 180" hidden="1">
                <a:extLst>
                  <a:ext uri="{63B3BB69-23CF-44E3-9099-C40C66FF867C}">
                    <a14:compatExt spid="_x0000_s39092"/>
                  </a:ext>
                  <a:ext uri="{FF2B5EF4-FFF2-40B4-BE49-F238E27FC236}">
                    <a16:creationId xmlns:a16="http://schemas.microsoft.com/office/drawing/2014/main" id="{00000000-0008-0000-1100-0000B498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47</xdr:row>
          <xdr:rowOff>19053</xdr:rowOff>
        </xdr:from>
        <xdr:to>
          <xdr:col>16</xdr:col>
          <xdr:colOff>132301</xdr:colOff>
          <xdr:row>47</xdr:row>
          <xdr:rowOff>194786</xdr:rowOff>
        </xdr:to>
        <xdr:grpSp>
          <xdr:nvGrpSpPr>
            <xdr:cNvPr id="222" name="Gruppieren 221">
              <a:extLst>
                <a:ext uri="{FF2B5EF4-FFF2-40B4-BE49-F238E27FC236}">
                  <a16:creationId xmlns:a16="http://schemas.microsoft.com/office/drawing/2014/main" id="{00000000-0008-0000-1100-0000DE000000}"/>
                </a:ext>
              </a:extLst>
            </xdr:cNvPr>
            <xdr:cNvGrpSpPr/>
          </xdr:nvGrpSpPr>
          <xdr:grpSpPr>
            <a:xfrm>
              <a:off x="4427413" y="15708633"/>
              <a:ext cx="2341908" cy="175733"/>
              <a:chOff x="3581397" y="2105465"/>
              <a:chExt cx="2247892" cy="276224"/>
            </a:xfrm>
          </xdr:grpSpPr>
          <xdr:sp macro="" textlink="">
            <xdr:nvSpPr>
              <xdr:cNvPr id="39093" name="Group Box 181" hidden="1">
                <a:extLst>
                  <a:ext uri="{63B3BB69-23CF-44E3-9099-C40C66FF867C}">
                    <a14:compatExt spid="_x0000_s39093"/>
                  </a:ext>
                  <a:ext uri="{FF2B5EF4-FFF2-40B4-BE49-F238E27FC236}">
                    <a16:creationId xmlns:a16="http://schemas.microsoft.com/office/drawing/2014/main" id="{00000000-0008-0000-1100-0000B5980000}"/>
                  </a:ext>
                </a:extLst>
              </xdr:cNvPr>
              <xdr:cNvSpPr/>
            </xdr:nvSpPr>
            <xdr:spPr bwMode="auto">
              <a:xfrm>
                <a:off x="3581397" y="2105465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094" name="Option Button 182" hidden="1">
                <a:extLst>
                  <a:ext uri="{63B3BB69-23CF-44E3-9099-C40C66FF867C}">
                    <a14:compatExt spid="_x0000_s39094"/>
                  </a:ext>
                  <a:ext uri="{FF2B5EF4-FFF2-40B4-BE49-F238E27FC236}">
                    <a16:creationId xmlns:a16="http://schemas.microsoft.com/office/drawing/2014/main" id="{00000000-0008-0000-1100-0000B698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95" name="Option Button 183" hidden="1">
                <a:extLst>
                  <a:ext uri="{63B3BB69-23CF-44E3-9099-C40C66FF867C}">
                    <a14:compatExt spid="_x0000_s39095"/>
                  </a:ext>
                  <a:ext uri="{FF2B5EF4-FFF2-40B4-BE49-F238E27FC236}">
                    <a16:creationId xmlns:a16="http://schemas.microsoft.com/office/drawing/2014/main" id="{00000000-0008-0000-1100-0000B798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96" name="Option Button 184" hidden="1">
                <a:extLst>
                  <a:ext uri="{63B3BB69-23CF-44E3-9099-C40C66FF867C}">
                    <a14:compatExt spid="_x0000_s39096"/>
                  </a:ext>
                  <a:ext uri="{FF2B5EF4-FFF2-40B4-BE49-F238E27FC236}">
                    <a16:creationId xmlns:a16="http://schemas.microsoft.com/office/drawing/2014/main" id="{00000000-0008-0000-1100-0000B898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97" name="Option Button 185" hidden="1">
                <a:extLst>
                  <a:ext uri="{63B3BB69-23CF-44E3-9099-C40C66FF867C}">
                    <a14:compatExt spid="_x0000_s39097"/>
                  </a:ext>
                  <a:ext uri="{FF2B5EF4-FFF2-40B4-BE49-F238E27FC236}">
                    <a16:creationId xmlns:a16="http://schemas.microsoft.com/office/drawing/2014/main" id="{00000000-0008-0000-1100-0000B998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098" name="Option Button 186" hidden="1">
                <a:extLst>
                  <a:ext uri="{63B3BB69-23CF-44E3-9099-C40C66FF867C}">
                    <a14:compatExt spid="_x0000_s39098"/>
                  </a:ext>
                  <a:ext uri="{FF2B5EF4-FFF2-40B4-BE49-F238E27FC236}">
                    <a16:creationId xmlns:a16="http://schemas.microsoft.com/office/drawing/2014/main" id="{00000000-0008-0000-1100-0000BA98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48</xdr:row>
          <xdr:rowOff>28578</xdr:rowOff>
        </xdr:from>
        <xdr:to>
          <xdr:col>16</xdr:col>
          <xdr:colOff>132301</xdr:colOff>
          <xdr:row>48</xdr:row>
          <xdr:rowOff>204311</xdr:rowOff>
        </xdr:to>
        <xdr:grpSp>
          <xdr:nvGrpSpPr>
            <xdr:cNvPr id="229" name="Gruppieren 228">
              <a:extLst>
                <a:ext uri="{FF2B5EF4-FFF2-40B4-BE49-F238E27FC236}">
                  <a16:creationId xmlns:a16="http://schemas.microsoft.com/office/drawing/2014/main" id="{00000000-0008-0000-1100-0000E5000000}"/>
                </a:ext>
              </a:extLst>
            </xdr:cNvPr>
            <xdr:cNvGrpSpPr/>
          </xdr:nvGrpSpPr>
          <xdr:grpSpPr>
            <a:xfrm>
              <a:off x="4427413" y="16114398"/>
              <a:ext cx="2341908" cy="175733"/>
              <a:chOff x="3581397" y="2105465"/>
              <a:chExt cx="2247892" cy="276224"/>
            </a:xfrm>
          </xdr:grpSpPr>
          <xdr:sp macro="" textlink="">
            <xdr:nvSpPr>
              <xdr:cNvPr id="39099" name="Group Box 187" hidden="1">
                <a:extLst>
                  <a:ext uri="{63B3BB69-23CF-44E3-9099-C40C66FF867C}">
                    <a14:compatExt spid="_x0000_s39099"/>
                  </a:ext>
                  <a:ext uri="{FF2B5EF4-FFF2-40B4-BE49-F238E27FC236}">
                    <a16:creationId xmlns:a16="http://schemas.microsoft.com/office/drawing/2014/main" id="{00000000-0008-0000-1100-0000BB980000}"/>
                  </a:ext>
                </a:extLst>
              </xdr:cNvPr>
              <xdr:cNvSpPr/>
            </xdr:nvSpPr>
            <xdr:spPr bwMode="auto">
              <a:xfrm>
                <a:off x="3581397" y="2105465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100" name="Option Button 188" hidden="1">
                <a:extLst>
                  <a:ext uri="{63B3BB69-23CF-44E3-9099-C40C66FF867C}">
                    <a14:compatExt spid="_x0000_s39100"/>
                  </a:ext>
                  <a:ext uri="{FF2B5EF4-FFF2-40B4-BE49-F238E27FC236}">
                    <a16:creationId xmlns:a16="http://schemas.microsoft.com/office/drawing/2014/main" id="{00000000-0008-0000-1100-0000BC98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01" name="Option Button 189" hidden="1">
                <a:extLst>
                  <a:ext uri="{63B3BB69-23CF-44E3-9099-C40C66FF867C}">
                    <a14:compatExt spid="_x0000_s39101"/>
                  </a:ext>
                  <a:ext uri="{FF2B5EF4-FFF2-40B4-BE49-F238E27FC236}">
                    <a16:creationId xmlns:a16="http://schemas.microsoft.com/office/drawing/2014/main" id="{00000000-0008-0000-1100-0000BD98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02" name="Option Button 190" hidden="1">
                <a:extLst>
                  <a:ext uri="{63B3BB69-23CF-44E3-9099-C40C66FF867C}">
                    <a14:compatExt spid="_x0000_s39102"/>
                  </a:ext>
                  <a:ext uri="{FF2B5EF4-FFF2-40B4-BE49-F238E27FC236}">
                    <a16:creationId xmlns:a16="http://schemas.microsoft.com/office/drawing/2014/main" id="{00000000-0008-0000-1100-0000BE98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03" name="Option Button 191" hidden="1">
                <a:extLst>
                  <a:ext uri="{63B3BB69-23CF-44E3-9099-C40C66FF867C}">
                    <a14:compatExt spid="_x0000_s39103"/>
                  </a:ext>
                  <a:ext uri="{FF2B5EF4-FFF2-40B4-BE49-F238E27FC236}">
                    <a16:creationId xmlns:a16="http://schemas.microsoft.com/office/drawing/2014/main" id="{00000000-0008-0000-1100-0000BF98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04" name="Option Button 192" hidden="1">
                <a:extLst>
                  <a:ext uri="{63B3BB69-23CF-44E3-9099-C40C66FF867C}">
                    <a14:compatExt spid="_x0000_s39104"/>
                  </a:ext>
                  <a:ext uri="{FF2B5EF4-FFF2-40B4-BE49-F238E27FC236}">
                    <a16:creationId xmlns:a16="http://schemas.microsoft.com/office/drawing/2014/main" id="{00000000-0008-0000-1100-0000C098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0</xdr:colOff>
      <xdr:row>48</xdr:row>
      <xdr:rowOff>628651</xdr:rowOff>
    </xdr:from>
    <xdr:to>
      <xdr:col>1</xdr:col>
      <xdr:colOff>33068</xdr:colOff>
      <xdr:row>50</xdr:row>
      <xdr:rowOff>276226</xdr:rowOff>
    </xdr:to>
    <xdr:pic>
      <xdr:nvPicPr>
        <xdr:cNvPr id="236" name="Picture 2">
          <a:extLst>
            <a:ext uri="{FF2B5EF4-FFF2-40B4-BE49-F238E27FC236}">
              <a16:creationId xmlns:a16="http://schemas.microsoft.com/office/drawing/2014/main" id="{00000000-0008-0000-1100-0000E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0" y="16849726"/>
          <a:ext cx="499793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50</xdr:row>
          <xdr:rowOff>9591</xdr:rowOff>
        </xdr:from>
        <xdr:to>
          <xdr:col>16</xdr:col>
          <xdr:colOff>132300</xdr:colOff>
          <xdr:row>50</xdr:row>
          <xdr:rowOff>203596</xdr:rowOff>
        </xdr:to>
        <xdr:grpSp>
          <xdr:nvGrpSpPr>
            <xdr:cNvPr id="237" name="Gruppieren 236">
              <a:extLst>
                <a:ext uri="{FF2B5EF4-FFF2-40B4-BE49-F238E27FC236}">
                  <a16:creationId xmlns:a16="http://schemas.microsoft.com/office/drawing/2014/main" id="{00000000-0008-0000-1100-0000ED000000}"/>
                </a:ext>
              </a:extLst>
            </xdr:cNvPr>
            <xdr:cNvGrpSpPr/>
          </xdr:nvGrpSpPr>
          <xdr:grpSpPr>
            <a:xfrm>
              <a:off x="4427409" y="16956471"/>
              <a:ext cx="2341911" cy="194005"/>
              <a:chOff x="3581386" y="2104692"/>
              <a:chExt cx="2247895" cy="276226"/>
            </a:xfrm>
          </xdr:grpSpPr>
          <xdr:sp macro="" textlink="">
            <xdr:nvSpPr>
              <xdr:cNvPr id="39105" name="Group Box 193" hidden="1">
                <a:extLst>
                  <a:ext uri="{63B3BB69-23CF-44E3-9099-C40C66FF867C}">
                    <a14:compatExt spid="_x0000_s39105"/>
                  </a:ext>
                  <a:ext uri="{FF2B5EF4-FFF2-40B4-BE49-F238E27FC236}">
                    <a16:creationId xmlns:a16="http://schemas.microsoft.com/office/drawing/2014/main" id="{00000000-0008-0000-1100-0000C1980000}"/>
                  </a:ext>
                </a:extLst>
              </xdr:cNvPr>
              <xdr:cNvSpPr/>
            </xdr:nvSpPr>
            <xdr:spPr bwMode="auto">
              <a:xfrm>
                <a:off x="3581386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106" name="Option Button 194" hidden="1">
                <a:extLst>
                  <a:ext uri="{63B3BB69-23CF-44E3-9099-C40C66FF867C}">
                    <a14:compatExt spid="_x0000_s39106"/>
                  </a:ext>
                  <a:ext uri="{FF2B5EF4-FFF2-40B4-BE49-F238E27FC236}">
                    <a16:creationId xmlns:a16="http://schemas.microsoft.com/office/drawing/2014/main" id="{00000000-0008-0000-1100-0000C2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07" name="Option Button 195" hidden="1">
                <a:extLst>
                  <a:ext uri="{63B3BB69-23CF-44E3-9099-C40C66FF867C}">
                    <a14:compatExt spid="_x0000_s39107"/>
                  </a:ext>
                  <a:ext uri="{FF2B5EF4-FFF2-40B4-BE49-F238E27FC236}">
                    <a16:creationId xmlns:a16="http://schemas.microsoft.com/office/drawing/2014/main" id="{00000000-0008-0000-1100-0000C3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08" name="Option Button 196" hidden="1">
                <a:extLst>
                  <a:ext uri="{63B3BB69-23CF-44E3-9099-C40C66FF867C}">
                    <a14:compatExt spid="_x0000_s39108"/>
                  </a:ext>
                  <a:ext uri="{FF2B5EF4-FFF2-40B4-BE49-F238E27FC236}">
                    <a16:creationId xmlns:a16="http://schemas.microsoft.com/office/drawing/2014/main" id="{00000000-0008-0000-1100-0000C4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09" name="Option Button 197" hidden="1">
                <a:extLst>
                  <a:ext uri="{63B3BB69-23CF-44E3-9099-C40C66FF867C}">
                    <a14:compatExt spid="_x0000_s39109"/>
                  </a:ext>
                  <a:ext uri="{FF2B5EF4-FFF2-40B4-BE49-F238E27FC236}">
                    <a16:creationId xmlns:a16="http://schemas.microsoft.com/office/drawing/2014/main" id="{00000000-0008-0000-1100-0000C5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10" name="Option Button 198" hidden="1">
                <a:extLst>
                  <a:ext uri="{63B3BB69-23CF-44E3-9099-C40C66FF867C}">
                    <a14:compatExt spid="_x0000_s39110"/>
                  </a:ext>
                  <a:ext uri="{FF2B5EF4-FFF2-40B4-BE49-F238E27FC236}">
                    <a16:creationId xmlns:a16="http://schemas.microsoft.com/office/drawing/2014/main" id="{00000000-0008-0000-1100-0000C6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51</xdr:row>
          <xdr:rowOff>9591</xdr:rowOff>
        </xdr:from>
        <xdr:to>
          <xdr:col>16</xdr:col>
          <xdr:colOff>132300</xdr:colOff>
          <xdr:row>51</xdr:row>
          <xdr:rowOff>203596</xdr:rowOff>
        </xdr:to>
        <xdr:grpSp>
          <xdr:nvGrpSpPr>
            <xdr:cNvPr id="244" name="Gruppieren 243">
              <a:extLst>
                <a:ext uri="{FF2B5EF4-FFF2-40B4-BE49-F238E27FC236}">
                  <a16:creationId xmlns:a16="http://schemas.microsoft.com/office/drawing/2014/main" id="{00000000-0008-0000-1100-0000F4000000}"/>
                </a:ext>
              </a:extLst>
            </xdr:cNvPr>
            <xdr:cNvGrpSpPr/>
          </xdr:nvGrpSpPr>
          <xdr:grpSpPr>
            <a:xfrm>
              <a:off x="4427409" y="17352711"/>
              <a:ext cx="2341911" cy="194005"/>
              <a:chOff x="3581386" y="2104692"/>
              <a:chExt cx="2247895" cy="276226"/>
            </a:xfrm>
          </xdr:grpSpPr>
          <xdr:sp macro="" textlink="">
            <xdr:nvSpPr>
              <xdr:cNvPr id="39111" name="Group Box 199" hidden="1">
                <a:extLst>
                  <a:ext uri="{63B3BB69-23CF-44E3-9099-C40C66FF867C}">
                    <a14:compatExt spid="_x0000_s39111"/>
                  </a:ext>
                  <a:ext uri="{FF2B5EF4-FFF2-40B4-BE49-F238E27FC236}">
                    <a16:creationId xmlns:a16="http://schemas.microsoft.com/office/drawing/2014/main" id="{00000000-0008-0000-1100-0000C7980000}"/>
                  </a:ext>
                </a:extLst>
              </xdr:cNvPr>
              <xdr:cNvSpPr/>
            </xdr:nvSpPr>
            <xdr:spPr bwMode="auto">
              <a:xfrm>
                <a:off x="3581386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112" name="Option Button 200" hidden="1">
                <a:extLst>
                  <a:ext uri="{63B3BB69-23CF-44E3-9099-C40C66FF867C}">
                    <a14:compatExt spid="_x0000_s39112"/>
                  </a:ext>
                  <a:ext uri="{FF2B5EF4-FFF2-40B4-BE49-F238E27FC236}">
                    <a16:creationId xmlns:a16="http://schemas.microsoft.com/office/drawing/2014/main" id="{00000000-0008-0000-1100-0000C8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13" name="Option Button 201" hidden="1">
                <a:extLst>
                  <a:ext uri="{63B3BB69-23CF-44E3-9099-C40C66FF867C}">
                    <a14:compatExt spid="_x0000_s39113"/>
                  </a:ext>
                  <a:ext uri="{FF2B5EF4-FFF2-40B4-BE49-F238E27FC236}">
                    <a16:creationId xmlns:a16="http://schemas.microsoft.com/office/drawing/2014/main" id="{00000000-0008-0000-1100-0000C9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14" name="Option Button 202" hidden="1">
                <a:extLst>
                  <a:ext uri="{63B3BB69-23CF-44E3-9099-C40C66FF867C}">
                    <a14:compatExt spid="_x0000_s39114"/>
                  </a:ext>
                  <a:ext uri="{FF2B5EF4-FFF2-40B4-BE49-F238E27FC236}">
                    <a16:creationId xmlns:a16="http://schemas.microsoft.com/office/drawing/2014/main" id="{00000000-0008-0000-1100-0000CA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15" name="Option Button 203" hidden="1">
                <a:extLst>
                  <a:ext uri="{63B3BB69-23CF-44E3-9099-C40C66FF867C}">
                    <a14:compatExt spid="_x0000_s39115"/>
                  </a:ext>
                  <a:ext uri="{FF2B5EF4-FFF2-40B4-BE49-F238E27FC236}">
                    <a16:creationId xmlns:a16="http://schemas.microsoft.com/office/drawing/2014/main" id="{00000000-0008-0000-1100-0000CB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16" name="Option Button 204" hidden="1">
                <a:extLst>
                  <a:ext uri="{63B3BB69-23CF-44E3-9099-C40C66FF867C}">
                    <a14:compatExt spid="_x0000_s39116"/>
                  </a:ext>
                  <a:ext uri="{FF2B5EF4-FFF2-40B4-BE49-F238E27FC236}">
                    <a16:creationId xmlns:a16="http://schemas.microsoft.com/office/drawing/2014/main" id="{00000000-0008-0000-1100-0000CC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52</xdr:row>
          <xdr:rowOff>9591</xdr:rowOff>
        </xdr:from>
        <xdr:to>
          <xdr:col>16</xdr:col>
          <xdr:colOff>132300</xdr:colOff>
          <xdr:row>52</xdr:row>
          <xdr:rowOff>203596</xdr:rowOff>
        </xdr:to>
        <xdr:grpSp>
          <xdr:nvGrpSpPr>
            <xdr:cNvPr id="251" name="Gruppieren 250">
              <a:extLst>
                <a:ext uri="{FF2B5EF4-FFF2-40B4-BE49-F238E27FC236}">
                  <a16:creationId xmlns:a16="http://schemas.microsoft.com/office/drawing/2014/main" id="{00000000-0008-0000-1100-0000FB000000}"/>
                </a:ext>
              </a:extLst>
            </xdr:cNvPr>
            <xdr:cNvGrpSpPr/>
          </xdr:nvGrpSpPr>
          <xdr:grpSpPr>
            <a:xfrm>
              <a:off x="4427409" y="17748951"/>
              <a:ext cx="2341911" cy="194005"/>
              <a:chOff x="3581386" y="2104692"/>
              <a:chExt cx="2247895" cy="276226"/>
            </a:xfrm>
          </xdr:grpSpPr>
          <xdr:sp macro="" textlink="">
            <xdr:nvSpPr>
              <xdr:cNvPr id="39117" name="Group Box 205" hidden="1">
                <a:extLst>
                  <a:ext uri="{63B3BB69-23CF-44E3-9099-C40C66FF867C}">
                    <a14:compatExt spid="_x0000_s39117"/>
                  </a:ext>
                  <a:ext uri="{FF2B5EF4-FFF2-40B4-BE49-F238E27FC236}">
                    <a16:creationId xmlns:a16="http://schemas.microsoft.com/office/drawing/2014/main" id="{00000000-0008-0000-1100-0000CD980000}"/>
                  </a:ext>
                </a:extLst>
              </xdr:cNvPr>
              <xdr:cNvSpPr/>
            </xdr:nvSpPr>
            <xdr:spPr bwMode="auto">
              <a:xfrm>
                <a:off x="3581386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118" name="Option Button 206" hidden="1">
                <a:extLst>
                  <a:ext uri="{63B3BB69-23CF-44E3-9099-C40C66FF867C}">
                    <a14:compatExt spid="_x0000_s39118"/>
                  </a:ext>
                  <a:ext uri="{FF2B5EF4-FFF2-40B4-BE49-F238E27FC236}">
                    <a16:creationId xmlns:a16="http://schemas.microsoft.com/office/drawing/2014/main" id="{00000000-0008-0000-1100-0000CE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19" name="Option Button 207" hidden="1">
                <a:extLst>
                  <a:ext uri="{63B3BB69-23CF-44E3-9099-C40C66FF867C}">
                    <a14:compatExt spid="_x0000_s39119"/>
                  </a:ext>
                  <a:ext uri="{FF2B5EF4-FFF2-40B4-BE49-F238E27FC236}">
                    <a16:creationId xmlns:a16="http://schemas.microsoft.com/office/drawing/2014/main" id="{00000000-0008-0000-1100-0000CF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20" name="Option Button 208" hidden="1">
                <a:extLst>
                  <a:ext uri="{63B3BB69-23CF-44E3-9099-C40C66FF867C}">
                    <a14:compatExt spid="_x0000_s39120"/>
                  </a:ext>
                  <a:ext uri="{FF2B5EF4-FFF2-40B4-BE49-F238E27FC236}">
                    <a16:creationId xmlns:a16="http://schemas.microsoft.com/office/drawing/2014/main" id="{00000000-0008-0000-1100-0000D0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21" name="Option Button 209" hidden="1">
                <a:extLst>
                  <a:ext uri="{63B3BB69-23CF-44E3-9099-C40C66FF867C}">
                    <a14:compatExt spid="_x0000_s39121"/>
                  </a:ext>
                  <a:ext uri="{FF2B5EF4-FFF2-40B4-BE49-F238E27FC236}">
                    <a16:creationId xmlns:a16="http://schemas.microsoft.com/office/drawing/2014/main" id="{00000000-0008-0000-1100-0000D1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22" name="Option Button 210" hidden="1">
                <a:extLst>
                  <a:ext uri="{63B3BB69-23CF-44E3-9099-C40C66FF867C}">
                    <a14:compatExt spid="_x0000_s39122"/>
                  </a:ext>
                  <a:ext uri="{FF2B5EF4-FFF2-40B4-BE49-F238E27FC236}">
                    <a16:creationId xmlns:a16="http://schemas.microsoft.com/office/drawing/2014/main" id="{00000000-0008-0000-1100-0000D2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76389</xdr:colOff>
          <xdr:row>53</xdr:row>
          <xdr:rowOff>66</xdr:rowOff>
        </xdr:from>
        <xdr:to>
          <xdr:col>16</xdr:col>
          <xdr:colOff>132300</xdr:colOff>
          <xdr:row>53</xdr:row>
          <xdr:rowOff>194071</xdr:rowOff>
        </xdr:to>
        <xdr:grpSp>
          <xdr:nvGrpSpPr>
            <xdr:cNvPr id="258" name="Gruppieren 257">
              <a:extLst>
                <a:ext uri="{FF2B5EF4-FFF2-40B4-BE49-F238E27FC236}">
                  <a16:creationId xmlns:a16="http://schemas.microsoft.com/office/drawing/2014/main" id="{00000000-0008-0000-1100-000002010000}"/>
                </a:ext>
              </a:extLst>
            </xdr:cNvPr>
            <xdr:cNvGrpSpPr/>
          </xdr:nvGrpSpPr>
          <xdr:grpSpPr>
            <a:xfrm>
              <a:off x="4427409" y="18135666"/>
              <a:ext cx="2341911" cy="194005"/>
              <a:chOff x="3581386" y="2104692"/>
              <a:chExt cx="2247895" cy="276226"/>
            </a:xfrm>
          </xdr:grpSpPr>
          <xdr:sp macro="" textlink="">
            <xdr:nvSpPr>
              <xdr:cNvPr id="39123" name="Group Box 211" hidden="1">
                <a:extLst>
                  <a:ext uri="{63B3BB69-23CF-44E3-9099-C40C66FF867C}">
                    <a14:compatExt spid="_x0000_s39123"/>
                  </a:ext>
                  <a:ext uri="{FF2B5EF4-FFF2-40B4-BE49-F238E27FC236}">
                    <a16:creationId xmlns:a16="http://schemas.microsoft.com/office/drawing/2014/main" id="{00000000-0008-0000-1100-0000D3980000}"/>
                  </a:ext>
                </a:extLst>
              </xdr:cNvPr>
              <xdr:cNvSpPr/>
            </xdr:nvSpPr>
            <xdr:spPr bwMode="auto">
              <a:xfrm>
                <a:off x="3581386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124" name="Option Button 212" hidden="1">
                <a:extLst>
                  <a:ext uri="{63B3BB69-23CF-44E3-9099-C40C66FF867C}">
                    <a14:compatExt spid="_x0000_s39124"/>
                  </a:ext>
                  <a:ext uri="{FF2B5EF4-FFF2-40B4-BE49-F238E27FC236}">
                    <a16:creationId xmlns:a16="http://schemas.microsoft.com/office/drawing/2014/main" id="{00000000-0008-0000-1100-0000D498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25" name="Option Button 213" hidden="1">
                <a:extLst>
                  <a:ext uri="{63B3BB69-23CF-44E3-9099-C40C66FF867C}">
                    <a14:compatExt spid="_x0000_s39125"/>
                  </a:ext>
                  <a:ext uri="{FF2B5EF4-FFF2-40B4-BE49-F238E27FC236}">
                    <a16:creationId xmlns:a16="http://schemas.microsoft.com/office/drawing/2014/main" id="{00000000-0008-0000-1100-0000D598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26" name="Option Button 214" hidden="1">
                <a:extLst>
                  <a:ext uri="{63B3BB69-23CF-44E3-9099-C40C66FF867C}">
                    <a14:compatExt spid="_x0000_s39126"/>
                  </a:ext>
                  <a:ext uri="{FF2B5EF4-FFF2-40B4-BE49-F238E27FC236}">
                    <a16:creationId xmlns:a16="http://schemas.microsoft.com/office/drawing/2014/main" id="{00000000-0008-0000-1100-0000D698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27" name="Option Button 215" hidden="1">
                <a:extLst>
                  <a:ext uri="{63B3BB69-23CF-44E3-9099-C40C66FF867C}">
                    <a14:compatExt spid="_x0000_s39127"/>
                  </a:ext>
                  <a:ext uri="{FF2B5EF4-FFF2-40B4-BE49-F238E27FC236}">
                    <a16:creationId xmlns:a16="http://schemas.microsoft.com/office/drawing/2014/main" id="{00000000-0008-0000-1100-0000D798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28" name="Option Button 216" hidden="1">
                <a:extLst>
                  <a:ext uri="{63B3BB69-23CF-44E3-9099-C40C66FF867C}">
                    <a14:compatExt spid="_x0000_s39128"/>
                  </a:ext>
                  <a:ext uri="{FF2B5EF4-FFF2-40B4-BE49-F238E27FC236}">
                    <a16:creationId xmlns:a16="http://schemas.microsoft.com/office/drawing/2014/main" id="{00000000-0008-0000-1100-0000D898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1</xdr:colOff>
      <xdr:row>54</xdr:row>
      <xdr:rowOff>1</xdr:rowOff>
    </xdr:from>
    <xdr:to>
      <xdr:col>0</xdr:col>
      <xdr:colOff>455237</xdr:colOff>
      <xdr:row>55</xdr:row>
      <xdr:rowOff>161926</xdr:rowOff>
    </xdr:to>
    <xdr:pic>
      <xdr:nvPicPr>
        <xdr:cNvPr id="265" name="Picture 2">
          <a:extLst>
            <a:ext uri="{FF2B5EF4-FFF2-40B4-BE49-F238E27FC236}">
              <a16:creationId xmlns:a16="http://schemas.microsoft.com/office/drawing/2014/main" id="{00000000-0008-0000-1100-000009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" y="18688051"/>
          <a:ext cx="455236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76387</xdr:colOff>
          <xdr:row>55</xdr:row>
          <xdr:rowOff>28578</xdr:rowOff>
        </xdr:from>
        <xdr:to>
          <xdr:col>16</xdr:col>
          <xdr:colOff>132297</xdr:colOff>
          <xdr:row>55</xdr:row>
          <xdr:rowOff>204311</xdr:rowOff>
        </xdr:to>
        <xdr:grpSp>
          <xdr:nvGrpSpPr>
            <xdr:cNvPr id="266" name="Gruppieren 265">
              <a:extLst>
                <a:ext uri="{FF2B5EF4-FFF2-40B4-BE49-F238E27FC236}">
                  <a16:creationId xmlns:a16="http://schemas.microsoft.com/office/drawing/2014/main" id="{00000000-0008-0000-1100-00000A010000}"/>
                </a:ext>
              </a:extLst>
            </xdr:cNvPr>
            <xdr:cNvGrpSpPr/>
          </xdr:nvGrpSpPr>
          <xdr:grpSpPr>
            <a:xfrm>
              <a:off x="4427407" y="18758538"/>
              <a:ext cx="2341910" cy="175733"/>
              <a:chOff x="3581397" y="2105465"/>
              <a:chExt cx="2247894" cy="276224"/>
            </a:xfrm>
          </xdr:grpSpPr>
          <xdr:sp macro="" textlink="">
            <xdr:nvSpPr>
              <xdr:cNvPr id="39129" name="Group Box 217" hidden="1">
                <a:extLst>
                  <a:ext uri="{63B3BB69-23CF-44E3-9099-C40C66FF867C}">
                    <a14:compatExt spid="_x0000_s39129"/>
                  </a:ext>
                  <a:ext uri="{FF2B5EF4-FFF2-40B4-BE49-F238E27FC236}">
                    <a16:creationId xmlns:a16="http://schemas.microsoft.com/office/drawing/2014/main" id="{00000000-0008-0000-1100-0000D9980000}"/>
                  </a:ext>
                </a:extLst>
              </xdr:cNvPr>
              <xdr:cNvSpPr/>
            </xdr:nvSpPr>
            <xdr:spPr bwMode="auto">
              <a:xfrm>
                <a:off x="3581397" y="2105465"/>
                <a:ext cx="2247894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130" name="Option Button 218" hidden="1">
                <a:extLst>
                  <a:ext uri="{63B3BB69-23CF-44E3-9099-C40C66FF867C}">
                    <a14:compatExt spid="_x0000_s39130"/>
                  </a:ext>
                  <a:ext uri="{FF2B5EF4-FFF2-40B4-BE49-F238E27FC236}">
                    <a16:creationId xmlns:a16="http://schemas.microsoft.com/office/drawing/2014/main" id="{00000000-0008-0000-1100-0000DA98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31" name="Option Button 219" hidden="1">
                <a:extLst>
                  <a:ext uri="{63B3BB69-23CF-44E3-9099-C40C66FF867C}">
                    <a14:compatExt spid="_x0000_s39131"/>
                  </a:ext>
                  <a:ext uri="{FF2B5EF4-FFF2-40B4-BE49-F238E27FC236}">
                    <a16:creationId xmlns:a16="http://schemas.microsoft.com/office/drawing/2014/main" id="{00000000-0008-0000-1100-0000DB98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32" name="Option Button 220" hidden="1">
                <a:extLst>
                  <a:ext uri="{63B3BB69-23CF-44E3-9099-C40C66FF867C}">
                    <a14:compatExt spid="_x0000_s39132"/>
                  </a:ext>
                  <a:ext uri="{FF2B5EF4-FFF2-40B4-BE49-F238E27FC236}">
                    <a16:creationId xmlns:a16="http://schemas.microsoft.com/office/drawing/2014/main" id="{00000000-0008-0000-1100-0000DC98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33" name="Option Button 221" hidden="1">
                <a:extLst>
                  <a:ext uri="{63B3BB69-23CF-44E3-9099-C40C66FF867C}">
                    <a14:compatExt spid="_x0000_s39133"/>
                  </a:ext>
                  <a:ext uri="{FF2B5EF4-FFF2-40B4-BE49-F238E27FC236}">
                    <a16:creationId xmlns:a16="http://schemas.microsoft.com/office/drawing/2014/main" id="{00000000-0008-0000-1100-0000DD98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34" name="Option Button 222" hidden="1">
                <a:extLst>
                  <a:ext uri="{63B3BB69-23CF-44E3-9099-C40C66FF867C}">
                    <a14:compatExt spid="_x0000_s39134"/>
                  </a:ext>
                  <a:ext uri="{FF2B5EF4-FFF2-40B4-BE49-F238E27FC236}">
                    <a16:creationId xmlns:a16="http://schemas.microsoft.com/office/drawing/2014/main" id="{00000000-0008-0000-1100-0000DE98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56</xdr:row>
          <xdr:rowOff>28578</xdr:rowOff>
        </xdr:from>
        <xdr:to>
          <xdr:col>16</xdr:col>
          <xdr:colOff>132301</xdr:colOff>
          <xdr:row>56</xdr:row>
          <xdr:rowOff>204311</xdr:rowOff>
        </xdr:to>
        <xdr:grpSp>
          <xdr:nvGrpSpPr>
            <xdr:cNvPr id="273" name="Gruppieren 272">
              <a:extLst>
                <a:ext uri="{FF2B5EF4-FFF2-40B4-BE49-F238E27FC236}">
                  <a16:creationId xmlns:a16="http://schemas.microsoft.com/office/drawing/2014/main" id="{00000000-0008-0000-1100-000011010000}"/>
                </a:ext>
              </a:extLst>
            </xdr:cNvPr>
            <xdr:cNvGrpSpPr/>
          </xdr:nvGrpSpPr>
          <xdr:grpSpPr>
            <a:xfrm>
              <a:off x="4427413" y="19154778"/>
              <a:ext cx="2341908" cy="175733"/>
              <a:chOff x="3581397" y="2105465"/>
              <a:chExt cx="2247892" cy="276224"/>
            </a:xfrm>
          </xdr:grpSpPr>
          <xdr:sp macro="" textlink="">
            <xdr:nvSpPr>
              <xdr:cNvPr id="39135" name="Group Box 223" hidden="1">
                <a:extLst>
                  <a:ext uri="{63B3BB69-23CF-44E3-9099-C40C66FF867C}">
                    <a14:compatExt spid="_x0000_s39135"/>
                  </a:ext>
                  <a:ext uri="{FF2B5EF4-FFF2-40B4-BE49-F238E27FC236}">
                    <a16:creationId xmlns:a16="http://schemas.microsoft.com/office/drawing/2014/main" id="{00000000-0008-0000-1100-0000DF980000}"/>
                  </a:ext>
                </a:extLst>
              </xdr:cNvPr>
              <xdr:cNvSpPr/>
            </xdr:nvSpPr>
            <xdr:spPr bwMode="auto">
              <a:xfrm>
                <a:off x="3581397" y="2105465"/>
                <a:ext cx="2247892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136" name="Option Button 224" hidden="1">
                <a:extLst>
                  <a:ext uri="{63B3BB69-23CF-44E3-9099-C40C66FF867C}">
                    <a14:compatExt spid="_x0000_s39136"/>
                  </a:ext>
                  <a:ext uri="{FF2B5EF4-FFF2-40B4-BE49-F238E27FC236}">
                    <a16:creationId xmlns:a16="http://schemas.microsoft.com/office/drawing/2014/main" id="{00000000-0008-0000-1100-0000E098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37" name="Option Button 225" hidden="1">
                <a:extLst>
                  <a:ext uri="{63B3BB69-23CF-44E3-9099-C40C66FF867C}">
                    <a14:compatExt spid="_x0000_s39137"/>
                  </a:ext>
                  <a:ext uri="{FF2B5EF4-FFF2-40B4-BE49-F238E27FC236}">
                    <a16:creationId xmlns:a16="http://schemas.microsoft.com/office/drawing/2014/main" id="{00000000-0008-0000-1100-0000E198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38" name="Option Button 226" hidden="1">
                <a:extLst>
                  <a:ext uri="{63B3BB69-23CF-44E3-9099-C40C66FF867C}">
                    <a14:compatExt spid="_x0000_s39138"/>
                  </a:ext>
                  <a:ext uri="{FF2B5EF4-FFF2-40B4-BE49-F238E27FC236}">
                    <a16:creationId xmlns:a16="http://schemas.microsoft.com/office/drawing/2014/main" id="{00000000-0008-0000-1100-0000E298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39" name="Option Button 227" hidden="1">
                <a:extLst>
                  <a:ext uri="{63B3BB69-23CF-44E3-9099-C40C66FF867C}">
                    <a14:compatExt spid="_x0000_s39139"/>
                  </a:ext>
                  <a:ext uri="{FF2B5EF4-FFF2-40B4-BE49-F238E27FC236}">
                    <a16:creationId xmlns:a16="http://schemas.microsoft.com/office/drawing/2014/main" id="{00000000-0008-0000-1100-0000E398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40" name="Option Button 228" hidden="1">
                <a:extLst>
                  <a:ext uri="{63B3BB69-23CF-44E3-9099-C40C66FF867C}">
                    <a14:compatExt spid="_x0000_s39140"/>
                  </a:ext>
                  <a:ext uri="{FF2B5EF4-FFF2-40B4-BE49-F238E27FC236}">
                    <a16:creationId xmlns:a16="http://schemas.microsoft.com/office/drawing/2014/main" id="{00000000-0008-0000-1100-0000E498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262578</xdr:colOff>
      <xdr:row>11</xdr:row>
      <xdr:rowOff>104772</xdr:rowOff>
    </xdr:from>
    <xdr:to>
      <xdr:col>20</xdr:col>
      <xdr:colOff>963175</xdr:colOff>
      <xdr:row>12</xdr:row>
      <xdr:rowOff>327522</xdr:rowOff>
    </xdr:to>
    <xdr:sp macro="" textlink="">
      <xdr:nvSpPr>
        <xdr:cNvPr id="280" name="Rechteck 279">
          <a:extLst>
            <a:ext uri="{FF2B5EF4-FFF2-40B4-BE49-F238E27FC236}">
              <a16:creationId xmlns:a16="http://schemas.microsoft.com/office/drawing/2014/main" id="{00000000-0008-0000-1100-000018010000}"/>
            </a:ext>
          </a:extLst>
        </xdr:cNvPr>
        <xdr:cNvSpPr>
          <a:spLocks/>
        </xdr:cNvSpPr>
      </xdr:nvSpPr>
      <xdr:spPr>
        <a:xfrm>
          <a:off x="7396803" y="274319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11</xdr:row>
      <xdr:rowOff>104772</xdr:rowOff>
    </xdr:from>
    <xdr:to>
      <xdr:col>20</xdr:col>
      <xdr:colOff>1693286</xdr:colOff>
      <xdr:row>12</xdr:row>
      <xdr:rowOff>327522</xdr:rowOff>
    </xdr:to>
    <xdr:sp macro="" textlink="">
      <xdr:nvSpPr>
        <xdr:cNvPr id="281" name="Rechteck 280">
          <a:extLst>
            <a:ext uri="{FF2B5EF4-FFF2-40B4-BE49-F238E27FC236}">
              <a16:creationId xmlns:a16="http://schemas.microsoft.com/office/drawing/2014/main" id="{00000000-0008-0000-1100-000019010000}"/>
            </a:ext>
          </a:extLst>
        </xdr:cNvPr>
        <xdr:cNvSpPr>
          <a:spLocks/>
        </xdr:cNvSpPr>
      </xdr:nvSpPr>
      <xdr:spPr>
        <a:xfrm>
          <a:off x="8132711" y="274319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11</xdr:row>
      <xdr:rowOff>104772</xdr:rowOff>
    </xdr:from>
    <xdr:to>
      <xdr:col>20</xdr:col>
      <xdr:colOff>2417467</xdr:colOff>
      <xdr:row>12</xdr:row>
      <xdr:rowOff>327522</xdr:rowOff>
    </xdr:to>
    <xdr:sp macro="" textlink="">
      <xdr:nvSpPr>
        <xdr:cNvPr id="282" name="Rechteck 281">
          <a:extLst>
            <a:ext uri="{FF2B5EF4-FFF2-40B4-BE49-F238E27FC236}">
              <a16:creationId xmlns:a16="http://schemas.microsoft.com/office/drawing/2014/main" id="{00000000-0008-0000-1100-00001A010000}"/>
            </a:ext>
          </a:extLst>
        </xdr:cNvPr>
        <xdr:cNvSpPr>
          <a:spLocks/>
        </xdr:cNvSpPr>
      </xdr:nvSpPr>
      <xdr:spPr>
        <a:xfrm>
          <a:off x="8856892" y="274319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262578</xdr:colOff>
      <xdr:row>9</xdr:row>
      <xdr:rowOff>58804</xdr:rowOff>
    </xdr:from>
    <xdr:to>
      <xdr:col>20</xdr:col>
      <xdr:colOff>963175</xdr:colOff>
      <xdr:row>11</xdr:row>
      <xdr:rowOff>81529</xdr:rowOff>
    </xdr:to>
    <xdr:sp macro="" textlink="">
      <xdr:nvSpPr>
        <xdr:cNvPr id="283" name="Rechteck 282">
          <a:extLst>
            <a:ext uri="{FF2B5EF4-FFF2-40B4-BE49-F238E27FC236}">
              <a16:creationId xmlns:a16="http://schemas.microsoft.com/office/drawing/2014/main" id="{00000000-0008-0000-1100-00001B010000}"/>
            </a:ext>
          </a:extLst>
        </xdr:cNvPr>
        <xdr:cNvSpPr>
          <a:spLocks/>
        </xdr:cNvSpPr>
      </xdr:nvSpPr>
      <xdr:spPr>
        <a:xfrm>
          <a:off x="7396803" y="209715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9</xdr:row>
      <xdr:rowOff>58804</xdr:rowOff>
    </xdr:from>
    <xdr:to>
      <xdr:col>20</xdr:col>
      <xdr:colOff>1693286</xdr:colOff>
      <xdr:row>11</xdr:row>
      <xdr:rowOff>81529</xdr:rowOff>
    </xdr:to>
    <xdr:sp macro="" textlink="">
      <xdr:nvSpPr>
        <xdr:cNvPr id="284" name="Rechteck 283">
          <a:extLst>
            <a:ext uri="{FF2B5EF4-FFF2-40B4-BE49-F238E27FC236}">
              <a16:creationId xmlns:a16="http://schemas.microsoft.com/office/drawing/2014/main" id="{00000000-0008-0000-1100-00001C010000}"/>
            </a:ext>
          </a:extLst>
        </xdr:cNvPr>
        <xdr:cNvSpPr>
          <a:spLocks/>
        </xdr:cNvSpPr>
      </xdr:nvSpPr>
      <xdr:spPr>
        <a:xfrm>
          <a:off x="8132711" y="209715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9</xdr:row>
      <xdr:rowOff>58804</xdr:rowOff>
    </xdr:from>
    <xdr:to>
      <xdr:col>20</xdr:col>
      <xdr:colOff>2417467</xdr:colOff>
      <xdr:row>11</xdr:row>
      <xdr:rowOff>81529</xdr:rowOff>
    </xdr:to>
    <xdr:sp macro="" textlink="">
      <xdr:nvSpPr>
        <xdr:cNvPr id="285" name="Rechteck 284">
          <a:extLst>
            <a:ext uri="{FF2B5EF4-FFF2-40B4-BE49-F238E27FC236}">
              <a16:creationId xmlns:a16="http://schemas.microsoft.com/office/drawing/2014/main" id="{00000000-0008-0000-1100-00001D010000}"/>
            </a:ext>
          </a:extLst>
        </xdr:cNvPr>
        <xdr:cNvSpPr>
          <a:spLocks/>
        </xdr:cNvSpPr>
      </xdr:nvSpPr>
      <xdr:spPr>
        <a:xfrm>
          <a:off x="8856892" y="209715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25</xdr:row>
      <xdr:rowOff>142872</xdr:rowOff>
    </xdr:from>
    <xdr:to>
      <xdr:col>20</xdr:col>
      <xdr:colOff>972700</xdr:colOff>
      <xdr:row>26</xdr:row>
      <xdr:rowOff>365622</xdr:rowOff>
    </xdr:to>
    <xdr:sp macro="" textlink="">
      <xdr:nvSpPr>
        <xdr:cNvPr id="286" name="Rechteck 285">
          <a:extLst>
            <a:ext uri="{FF2B5EF4-FFF2-40B4-BE49-F238E27FC236}">
              <a16:creationId xmlns:a16="http://schemas.microsoft.com/office/drawing/2014/main" id="{00000000-0008-0000-1100-00001E010000}"/>
            </a:ext>
          </a:extLst>
        </xdr:cNvPr>
        <xdr:cNvSpPr>
          <a:spLocks/>
        </xdr:cNvSpPr>
      </xdr:nvSpPr>
      <xdr:spPr>
        <a:xfrm>
          <a:off x="7406328" y="781049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25</xdr:row>
      <xdr:rowOff>142872</xdr:rowOff>
    </xdr:from>
    <xdr:to>
      <xdr:col>20</xdr:col>
      <xdr:colOff>1693286</xdr:colOff>
      <xdr:row>26</xdr:row>
      <xdr:rowOff>365622</xdr:rowOff>
    </xdr:to>
    <xdr:sp macro="" textlink="">
      <xdr:nvSpPr>
        <xdr:cNvPr id="287" name="Rechteck 286">
          <a:extLst>
            <a:ext uri="{FF2B5EF4-FFF2-40B4-BE49-F238E27FC236}">
              <a16:creationId xmlns:a16="http://schemas.microsoft.com/office/drawing/2014/main" id="{00000000-0008-0000-1100-00001F010000}"/>
            </a:ext>
          </a:extLst>
        </xdr:cNvPr>
        <xdr:cNvSpPr>
          <a:spLocks/>
        </xdr:cNvSpPr>
      </xdr:nvSpPr>
      <xdr:spPr>
        <a:xfrm>
          <a:off x="8132711" y="781049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25</xdr:row>
      <xdr:rowOff>142872</xdr:rowOff>
    </xdr:from>
    <xdr:to>
      <xdr:col>20</xdr:col>
      <xdr:colOff>2417467</xdr:colOff>
      <xdr:row>26</xdr:row>
      <xdr:rowOff>365622</xdr:rowOff>
    </xdr:to>
    <xdr:sp macro="" textlink="">
      <xdr:nvSpPr>
        <xdr:cNvPr id="288" name="Rechteck 287">
          <a:extLst>
            <a:ext uri="{FF2B5EF4-FFF2-40B4-BE49-F238E27FC236}">
              <a16:creationId xmlns:a16="http://schemas.microsoft.com/office/drawing/2014/main" id="{00000000-0008-0000-1100-000020010000}"/>
            </a:ext>
          </a:extLst>
        </xdr:cNvPr>
        <xdr:cNvSpPr>
          <a:spLocks/>
        </xdr:cNvSpPr>
      </xdr:nvSpPr>
      <xdr:spPr>
        <a:xfrm>
          <a:off x="8856892" y="781049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23</xdr:row>
      <xdr:rowOff>96904</xdr:rowOff>
    </xdr:from>
    <xdr:to>
      <xdr:col>20</xdr:col>
      <xdr:colOff>972700</xdr:colOff>
      <xdr:row>25</xdr:row>
      <xdr:rowOff>119629</xdr:rowOff>
    </xdr:to>
    <xdr:sp macro="" textlink="">
      <xdr:nvSpPr>
        <xdr:cNvPr id="289" name="Rechteck 288">
          <a:extLst>
            <a:ext uri="{FF2B5EF4-FFF2-40B4-BE49-F238E27FC236}">
              <a16:creationId xmlns:a16="http://schemas.microsoft.com/office/drawing/2014/main" id="{00000000-0008-0000-1100-000021010000}"/>
            </a:ext>
          </a:extLst>
        </xdr:cNvPr>
        <xdr:cNvSpPr>
          <a:spLocks/>
        </xdr:cNvSpPr>
      </xdr:nvSpPr>
      <xdr:spPr>
        <a:xfrm>
          <a:off x="7406328" y="716445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23</xdr:row>
      <xdr:rowOff>96904</xdr:rowOff>
    </xdr:from>
    <xdr:to>
      <xdr:col>20</xdr:col>
      <xdr:colOff>1693286</xdr:colOff>
      <xdr:row>25</xdr:row>
      <xdr:rowOff>119629</xdr:rowOff>
    </xdr:to>
    <xdr:sp macro="" textlink="">
      <xdr:nvSpPr>
        <xdr:cNvPr id="290" name="Rechteck 289">
          <a:extLst>
            <a:ext uri="{FF2B5EF4-FFF2-40B4-BE49-F238E27FC236}">
              <a16:creationId xmlns:a16="http://schemas.microsoft.com/office/drawing/2014/main" id="{00000000-0008-0000-1100-000022010000}"/>
            </a:ext>
          </a:extLst>
        </xdr:cNvPr>
        <xdr:cNvSpPr>
          <a:spLocks/>
        </xdr:cNvSpPr>
      </xdr:nvSpPr>
      <xdr:spPr>
        <a:xfrm>
          <a:off x="8132711" y="716445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23</xdr:row>
      <xdr:rowOff>96904</xdr:rowOff>
    </xdr:from>
    <xdr:to>
      <xdr:col>20</xdr:col>
      <xdr:colOff>2417467</xdr:colOff>
      <xdr:row>25</xdr:row>
      <xdr:rowOff>119629</xdr:rowOff>
    </xdr:to>
    <xdr:sp macro="" textlink="">
      <xdr:nvSpPr>
        <xdr:cNvPr id="291" name="Rechteck 290">
          <a:extLst>
            <a:ext uri="{FF2B5EF4-FFF2-40B4-BE49-F238E27FC236}">
              <a16:creationId xmlns:a16="http://schemas.microsoft.com/office/drawing/2014/main" id="{00000000-0008-0000-1100-000023010000}"/>
            </a:ext>
          </a:extLst>
        </xdr:cNvPr>
        <xdr:cNvSpPr>
          <a:spLocks/>
        </xdr:cNvSpPr>
      </xdr:nvSpPr>
      <xdr:spPr>
        <a:xfrm>
          <a:off x="8856892" y="716445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30</xdr:row>
      <xdr:rowOff>133347</xdr:rowOff>
    </xdr:from>
    <xdr:to>
      <xdr:col>20</xdr:col>
      <xdr:colOff>972700</xdr:colOff>
      <xdr:row>31</xdr:row>
      <xdr:rowOff>356097</xdr:rowOff>
    </xdr:to>
    <xdr:sp macro="" textlink="">
      <xdr:nvSpPr>
        <xdr:cNvPr id="292" name="Rechteck 291">
          <a:extLst>
            <a:ext uri="{FF2B5EF4-FFF2-40B4-BE49-F238E27FC236}">
              <a16:creationId xmlns:a16="http://schemas.microsoft.com/office/drawing/2014/main" id="{00000000-0008-0000-1100-000024010000}"/>
            </a:ext>
          </a:extLst>
        </xdr:cNvPr>
        <xdr:cNvSpPr>
          <a:spLocks/>
        </xdr:cNvSpPr>
      </xdr:nvSpPr>
      <xdr:spPr>
        <a:xfrm>
          <a:off x="7406328" y="960119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30</xdr:row>
      <xdr:rowOff>133347</xdr:rowOff>
    </xdr:from>
    <xdr:to>
      <xdr:col>20</xdr:col>
      <xdr:colOff>1693286</xdr:colOff>
      <xdr:row>31</xdr:row>
      <xdr:rowOff>356097</xdr:rowOff>
    </xdr:to>
    <xdr:sp macro="" textlink="">
      <xdr:nvSpPr>
        <xdr:cNvPr id="293" name="Rechteck 292">
          <a:extLst>
            <a:ext uri="{FF2B5EF4-FFF2-40B4-BE49-F238E27FC236}">
              <a16:creationId xmlns:a16="http://schemas.microsoft.com/office/drawing/2014/main" id="{00000000-0008-0000-1100-000025010000}"/>
            </a:ext>
          </a:extLst>
        </xdr:cNvPr>
        <xdr:cNvSpPr>
          <a:spLocks/>
        </xdr:cNvSpPr>
      </xdr:nvSpPr>
      <xdr:spPr>
        <a:xfrm>
          <a:off x="8132711" y="960119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30</xdr:row>
      <xdr:rowOff>133347</xdr:rowOff>
    </xdr:from>
    <xdr:to>
      <xdr:col>20</xdr:col>
      <xdr:colOff>2417467</xdr:colOff>
      <xdr:row>31</xdr:row>
      <xdr:rowOff>356097</xdr:rowOff>
    </xdr:to>
    <xdr:sp macro="" textlink="">
      <xdr:nvSpPr>
        <xdr:cNvPr id="294" name="Rechteck 293">
          <a:extLst>
            <a:ext uri="{FF2B5EF4-FFF2-40B4-BE49-F238E27FC236}">
              <a16:creationId xmlns:a16="http://schemas.microsoft.com/office/drawing/2014/main" id="{00000000-0008-0000-1100-000026010000}"/>
            </a:ext>
          </a:extLst>
        </xdr:cNvPr>
        <xdr:cNvSpPr>
          <a:spLocks/>
        </xdr:cNvSpPr>
      </xdr:nvSpPr>
      <xdr:spPr>
        <a:xfrm>
          <a:off x="8856892" y="960119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28</xdr:row>
      <xdr:rowOff>87379</xdr:rowOff>
    </xdr:from>
    <xdr:to>
      <xdr:col>20</xdr:col>
      <xdr:colOff>972700</xdr:colOff>
      <xdr:row>30</xdr:row>
      <xdr:rowOff>110104</xdr:rowOff>
    </xdr:to>
    <xdr:sp macro="" textlink="">
      <xdr:nvSpPr>
        <xdr:cNvPr id="295" name="Rechteck 294">
          <a:extLst>
            <a:ext uri="{FF2B5EF4-FFF2-40B4-BE49-F238E27FC236}">
              <a16:creationId xmlns:a16="http://schemas.microsoft.com/office/drawing/2014/main" id="{00000000-0008-0000-1100-000027010000}"/>
            </a:ext>
          </a:extLst>
        </xdr:cNvPr>
        <xdr:cNvSpPr>
          <a:spLocks/>
        </xdr:cNvSpPr>
      </xdr:nvSpPr>
      <xdr:spPr>
        <a:xfrm>
          <a:off x="7406328" y="895515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28</xdr:row>
      <xdr:rowOff>87379</xdr:rowOff>
    </xdr:from>
    <xdr:to>
      <xdr:col>20</xdr:col>
      <xdr:colOff>1693286</xdr:colOff>
      <xdr:row>30</xdr:row>
      <xdr:rowOff>110104</xdr:rowOff>
    </xdr:to>
    <xdr:sp macro="" textlink="">
      <xdr:nvSpPr>
        <xdr:cNvPr id="296" name="Rechteck 295">
          <a:extLst>
            <a:ext uri="{FF2B5EF4-FFF2-40B4-BE49-F238E27FC236}">
              <a16:creationId xmlns:a16="http://schemas.microsoft.com/office/drawing/2014/main" id="{00000000-0008-0000-1100-000028010000}"/>
            </a:ext>
          </a:extLst>
        </xdr:cNvPr>
        <xdr:cNvSpPr>
          <a:spLocks/>
        </xdr:cNvSpPr>
      </xdr:nvSpPr>
      <xdr:spPr>
        <a:xfrm>
          <a:off x="8132711" y="895515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28</xdr:row>
      <xdr:rowOff>87379</xdr:rowOff>
    </xdr:from>
    <xdr:to>
      <xdr:col>20</xdr:col>
      <xdr:colOff>2417467</xdr:colOff>
      <xdr:row>30</xdr:row>
      <xdr:rowOff>110104</xdr:rowOff>
    </xdr:to>
    <xdr:sp macro="" textlink="">
      <xdr:nvSpPr>
        <xdr:cNvPr id="297" name="Rechteck 296">
          <a:extLst>
            <a:ext uri="{FF2B5EF4-FFF2-40B4-BE49-F238E27FC236}">
              <a16:creationId xmlns:a16="http://schemas.microsoft.com/office/drawing/2014/main" id="{00000000-0008-0000-1100-000029010000}"/>
            </a:ext>
          </a:extLst>
        </xdr:cNvPr>
        <xdr:cNvSpPr>
          <a:spLocks/>
        </xdr:cNvSpPr>
      </xdr:nvSpPr>
      <xdr:spPr>
        <a:xfrm>
          <a:off x="8856892" y="895515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34</xdr:row>
      <xdr:rowOff>133347</xdr:rowOff>
    </xdr:from>
    <xdr:to>
      <xdr:col>20</xdr:col>
      <xdr:colOff>972700</xdr:colOff>
      <xdr:row>35</xdr:row>
      <xdr:rowOff>356097</xdr:rowOff>
    </xdr:to>
    <xdr:sp macro="" textlink="">
      <xdr:nvSpPr>
        <xdr:cNvPr id="298" name="Rechteck 297">
          <a:extLst>
            <a:ext uri="{FF2B5EF4-FFF2-40B4-BE49-F238E27FC236}">
              <a16:creationId xmlns:a16="http://schemas.microsoft.com/office/drawing/2014/main" id="{00000000-0008-0000-1100-00002A010000}"/>
            </a:ext>
          </a:extLst>
        </xdr:cNvPr>
        <xdr:cNvSpPr>
          <a:spLocks/>
        </xdr:cNvSpPr>
      </xdr:nvSpPr>
      <xdr:spPr>
        <a:xfrm>
          <a:off x="7406328" y="1115377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34</xdr:row>
      <xdr:rowOff>133347</xdr:rowOff>
    </xdr:from>
    <xdr:to>
      <xdr:col>20</xdr:col>
      <xdr:colOff>1693286</xdr:colOff>
      <xdr:row>35</xdr:row>
      <xdr:rowOff>356097</xdr:rowOff>
    </xdr:to>
    <xdr:sp macro="" textlink="">
      <xdr:nvSpPr>
        <xdr:cNvPr id="299" name="Rechteck 298">
          <a:extLst>
            <a:ext uri="{FF2B5EF4-FFF2-40B4-BE49-F238E27FC236}">
              <a16:creationId xmlns:a16="http://schemas.microsoft.com/office/drawing/2014/main" id="{00000000-0008-0000-1100-00002B010000}"/>
            </a:ext>
          </a:extLst>
        </xdr:cNvPr>
        <xdr:cNvSpPr>
          <a:spLocks/>
        </xdr:cNvSpPr>
      </xdr:nvSpPr>
      <xdr:spPr>
        <a:xfrm>
          <a:off x="8132711" y="1115377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34</xdr:row>
      <xdr:rowOff>133347</xdr:rowOff>
    </xdr:from>
    <xdr:to>
      <xdr:col>20</xdr:col>
      <xdr:colOff>2417467</xdr:colOff>
      <xdr:row>35</xdr:row>
      <xdr:rowOff>356097</xdr:rowOff>
    </xdr:to>
    <xdr:sp macro="" textlink="">
      <xdr:nvSpPr>
        <xdr:cNvPr id="300" name="Rechteck 299">
          <a:extLst>
            <a:ext uri="{FF2B5EF4-FFF2-40B4-BE49-F238E27FC236}">
              <a16:creationId xmlns:a16="http://schemas.microsoft.com/office/drawing/2014/main" id="{00000000-0008-0000-1100-00002C010000}"/>
            </a:ext>
          </a:extLst>
        </xdr:cNvPr>
        <xdr:cNvSpPr>
          <a:spLocks/>
        </xdr:cNvSpPr>
      </xdr:nvSpPr>
      <xdr:spPr>
        <a:xfrm>
          <a:off x="8856892" y="1115377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32</xdr:row>
      <xdr:rowOff>87379</xdr:rowOff>
    </xdr:from>
    <xdr:to>
      <xdr:col>20</xdr:col>
      <xdr:colOff>972700</xdr:colOff>
      <xdr:row>34</xdr:row>
      <xdr:rowOff>110104</xdr:rowOff>
    </xdr:to>
    <xdr:sp macro="" textlink="">
      <xdr:nvSpPr>
        <xdr:cNvPr id="301" name="Rechteck 300">
          <a:extLst>
            <a:ext uri="{FF2B5EF4-FFF2-40B4-BE49-F238E27FC236}">
              <a16:creationId xmlns:a16="http://schemas.microsoft.com/office/drawing/2014/main" id="{00000000-0008-0000-1100-00002D010000}"/>
            </a:ext>
          </a:extLst>
        </xdr:cNvPr>
        <xdr:cNvSpPr>
          <a:spLocks/>
        </xdr:cNvSpPr>
      </xdr:nvSpPr>
      <xdr:spPr>
        <a:xfrm>
          <a:off x="7406328" y="1050772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32</xdr:row>
      <xdr:rowOff>87379</xdr:rowOff>
    </xdr:from>
    <xdr:to>
      <xdr:col>20</xdr:col>
      <xdr:colOff>1693286</xdr:colOff>
      <xdr:row>34</xdr:row>
      <xdr:rowOff>110104</xdr:rowOff>
    </xdr:to>
    <xdr:sp macro="" textlink="">
      <xdr:nvSpPr>
        <xdr:cNvPr id="302" name="Rechteck 301">
          <a:extLst>
            <a:ext uri="{FF2B5EF4-FFF2-40B4-BE49-F238E27FC236}">
              <a16:creationId xmlns:a16="http://schemas.microsoft.com/office/drawing/2014/main" id="{00000000-0008-0000-1100-00002E010000}"/>
            </a:ext>
          </a:extLst>
        </xdr:cNvPr>
        <xdr:cNvSpPr>
          <a:spLocks/>
        </xdr:cNvSpPr>
      </xdr:nvSpPr>
      <xdr:spPr>
        <a:xfrm>
          <a:off x="8132711" y="1050772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32</xdr:row>
      <xdr:rowOff>87379</xdr:rowOff>
    </xdr:from>
    <xdr:to>
      <xdr:col>20</xdr:col>
      <xdr:colOff>2417467</xdr:colOff>
      <xdr:row>34</xdr:row>
      <xdr:rowOff>110104</xdr:rowOff>
    </xdr:to>
    <xdr:sp macro="" textlink="">
      <xdr:nvSpPr>
        <xdr:cNvPr id="303" name="Rechteck 302">
          <a:extLst>
            <a:ext uri="{FF2B5EF4-FFF2-40B4-BE49-F238E27FC236}">
              <a16:creationId xmlns:a16="http://schemas.microsoft.com/office/drawing/2014/main" id="{00000000-0008-0000-1100-00002F010000}"/>
            </a:ext>
          </a:extLst>
        </xdr:cNvPr>
        <xdr:cNvSpPr>
          <a:spLocks/>
        </xdr:cNvSpPr>
      </xdr:nvSpPr>
      <xdr:spPr>
        <a:xfrm>
          <a:off x="8856892" y="1050772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42</xdr:row>
      <xdr:rowOff>123822</xdr:rowOff>
    </xdr:from>
    <xdr:to>
      <xdr:col>20</xdr:col>
      <xdr:colOff>972700</xdr:colOff>
      <xdr:row>43</xdr:row>
      <xdr:rowOff>346572</xdr:rowOff>
    </xdr:to>
    <xdr:sp macro="" textlink="">
      <xdr:nvSpPr>
        <xdr:cNvPr id="304" name="Rechteck 303">
          <a:extLst>
            <a:ext uri="{FF2B5EF4-FFF2-40B4-BE49-F238E27FC236}">
              <a16:creationId xmlns:a16="http://schemas.microsoft.com/office/drawing/2014/main" id="{00000000-0008-0000-1100-000030010000}"/>
            </a:ext>
          </a:extLst>
        </xdr:cNvPr>
        <xdr:cNvSpPr>
          <a:spLocks/>
        </xdr:cNvSpPr>
      </xdr:nvSpPr>
      <xdr:spPr>
        <a:xfrm>
          <a:off x="7406328" y="1414462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42</xdr:row>
      <xdr:rowOff>123822</xdr:rowOff>
    </xdr:from>
    <xdr:to>
      <xdr:col>20</xdr:col>
      <xdr:colOff>1693286</xdr:colOff>
      <xdr:row>43</xdr:row>
      <xdr:rowOff>346572</xdr:rowOff>
    </xdr:to>
    <xdr:sp macro="" textlink="">
      <xdr:nvSpPr>
        <xdr:cNvPr id="305" name="Rechteck 304">
          <a:extLst>
            <a:ext uri="{FF2B5EF4-FFF2-40B4-BE49-F238E27FC236}">
              <a16:creationId xmlns:a16="http://schemas.microsoft.com/office/drawing/2014/main" id="{00000000-0008-0000-1100-000031010000}"/>
            </a:ext>
          </a:extLst>
        </xdr:cNvPr>
        <xdr:cNvSpPr>
          <a:spLocks/>
        </xdr:cNvSpPr>
      </xdr:nvSpPr>
      <xdr:spPr>
        <a:xfrm>
          <a:off x="8132711" y="1414462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42</xdr:row>
      <xdr:rowOff>123822</xdr:rowOff>
    </xdr:from>
    <xdr:to>
      <xdr:col>20</xdr:col>
      <xdr:colOff>2417467</xdr:colOff>
      <xdr:row>43</xdr:row>
      <xdr:rowOff>346572</xdr:rowOff>
    </xdr:to>
    <xdr:sp macro="" textlink="">
      <xdr:nvSpPr>
        <xdr:cNvPr id="306" name="Rechteck 305">
          <a:extLst>
            <a:ext uri="{FF2B5EF4-FFF2-40B4-BE49-F238E27FC236}">
              <a16:creationId xmlns:a16="http://schemas.microsoft.com/office/drawing/2014/main" id="{00000000-0008-0000-1100-000032010000}"/>
            </a:ext>
          </a:extLst>
        </xdr:cNvPr>
        <xdr:cNvSpPr>
          <a:spLocks/>
        </xdr:cNvSpPr>
      </xdr:nvSpPr>
      <xdr:spPr>
        <a:xfrm>
          <a:off x="8856892" y="1414462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40</xdr:row>
      <xdr:rowOff>77854</xdr:rowOff>
    </xdr:from>
    <xdr:to>
      <xdr:col>20</xdr:col>
      <xdr:colOff>972700</xdr:colOff>
      <xdr:row>42</xdr:row>
      <xdr:rowOff>100579</xdr:rowOff>
    </xdr:to>
    <xdr:sp macro="" textlink="">
      <xdr:nvSpPr>
        <xdr:cNvPr id="307" name="Rechteck 306">
          <a:extLst>
            <a:ext uri="{FF2B5EF4-FFF2-40B4-BE49-F238E27FC236}">
              <a16:creationId xmlns:a16="http://schemas.microsoft.com/office/drawing/2014/main" id="{00000000-0008-0000-1100-000033010000}"/>
            </a:ext>
          </a:extLst>
        </xdr:cNvPr>
        <xdr:cNvSpPr>
          <a:spLocks/>
        </xdr:cNvSpPr>
      </xdr:nvSpPr>
      <xdr:spPr>
        <a:xfrm>
          <a:off x="7406328" y="1349857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40</xdr:row>
      <xdr:rowOff>77854</xdr:rowOff>
    </xdr:from>
    <xdr:to>
      <xdr:col>20</xdr:col>
      <xdr:colOff>1693286</xdr:colOff>
      <xdr:row>42</xdr:row>
      <xdr:rowOff>100579</xdr:rowOff>
    </xdr:to>
    <xdr:sp macro="" textlink="">
      <xdr:nvSpPr>
        <xdr:cNvPr id="308" name="Rechteck 307">
          <a:extLst>
            <a:ext uri="{FF2B5EF4-FFF2-40B4-BE49-F238E27FC236}">
              <a16:creationId xmlns:a16="http://schemas.microsoft.com/office/drawing/2014/main" id="{00000000-0008-0000-1100-000034010000}"/>
            </a:ext>
          </a:extLst>
        </xdr:cNvPr>
        <xdr:cNvSpPr>
          <a:spLocks/>
        </xdr:cNvSpPr>
      </xdr:nvSpPr>
      <xdr:spPr>
        <a:xfrm>
          <a:off x="8132711" y="1349857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40</xdr:row>
      <xdr:rowOff>77854</xdr:rowOff>
    </xdr:from>
    <xdr:to>
      <xdr:col>20</xdr:col>
      <xdr:colOff>2417467</xdr:colOff>
      <xdr:row>42</xdr:row>
      <xdr:rowOff>100579</xdr:rowOff>
    </xdr:to>
    <xdr:sp macro="" textlink="">
      <xdr:nvSpPr>
        <xdr:cNvPr id="309" name="Rechteck 308">
          <a:extLst>
            <a:ext uri="{FF2B5EF4-FFF2-40B4-BE49-F238E27FC236}">
              <a16:creationId xmlns:a16="http://schemas.microsoft.com/office/drawing/2014/main" id="{00000000-0008-0000-1100-000035010000}"/>
            </a:ext>
          </a:extLst>
        </xdr:cNvPr>
        <xdr:cNvSpPr>
          <a:spLocks/>
        </xdr:cNvSpPr>
      </xdr:nvSpPr>
      <xdr:spPr>
        <a:xfrm>
          <a:off x="8856892" y="1349857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51</xdr:row>
      <xdr:rowOff>142872</xdr:rowOff>
    </xdr:from>
    <xdr:to>
      <xdr:col>20</xdr:col>
      <xdr:colOff>972700</xdr:colOff>
      <xdr:row>52</xdr:row>
      <xdr:rowOff>365622</xdr:rowOff>
    </xdr:to>
    <xdr:sp macro="" textlink="">
      <xdr:nvSpPr>
        <xdr:cNvPr id="310" name="Rechteck 309">
          <a:extLst>
            <a:ext uri="{FF2B5EF4-FFF2-40B4-BE49-F238E27FC236}">
              <a16:creationId xmlns:a16="http://schemas.microsoft.com/office/drawing/2014/main" id="{00000000-0008-0000-1100-000036010000}"/>
            </a:ext>
          </a:extLst>
        </xdr:cNvPr>
        <xdr:cNvSpPr>
          <a:spLocks/>
        </xdr:cNvSpPr>
      </xdr:nvSpPr>
      <xdr:spPr>
        <a:xfrm>
          <a:off x="7406328" y="1763077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51</xdr:row>
      <xdr:rowOff>142872</xdr:rowOff>
    </xdr:from>
    <xdr:to>
      <xdr:col>20</xdr:col>
      <xdr:colOff>1693286</xdr:colOff>
      <xdr:row>52</xdr:row>
      <xdr:rowOff>365622</xdr:rowOff>
    </xdr:to>
    <xdr:sp macro="" textlink="">
      <xdr:nvSpPr>
        <xdr:cNvPr id="311" name="Rechteck 310">
          <a:extLst>
            <a:ext uri="{FF2B5EF4-FFF2-40B4-BE49-F238E27FC236}">
              <a16:creationId xmlns:a16="http://schemas.microsoft.com/office/drawing/2014/main" id="{00000000-0008-0000-1100-000037010000}"/>
            </a:ext>
          </a:extLst>
        </xdr:cNvPr>
        <xdr:cNvSpPr>
          <a:spLocks/>
        </xdr:cNvSpPr>
      </xdr:nvSpPr>
      <xdr:spPr>
        <a:xfrm>
          <a:off x="8132711" y="1763077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51</xdr:row>
      <xdr:rowOff>142872</xdr:rowOff>
    </xdr:from>
    <xdr:to>
      <xdr:col>20</xdr:col>
      <xdr:colOff>2417467</xdr:colOff>
      <xdr:row>52</xdr:row>
      <xdr:rowOff>365622</xdr:rowOff>
    </xdr:to>
    <xdr:sp macro="" textlink="">
      <xdr:nvSpPr>
        <xdr:cNvPr id="312" name="Rechteck 311">
          <a:extLst>
            <a:ext uri="{FF2B5EF4-FFF2-40B4-BE49-F238E27FC236}">
              <a16:creationId xmlns:a16="http://schemas.microsoft.com/office/drawing/2014/main" id="{00000000-0008-0000-1100-000038010000}"/>
            </a:ext>
          </a:extLst>
        </xdr:cNvPr>
        <xdr:cNvSpPr>
          <a:spLocks/>
        </xdr:cNvSpPr>
      </xdr:nvSpPr>
      <xdr:spPr>
        <a:xfrm>
          <a:off x="8856892" y="1763077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49</xdr:row>
      <xdr:rowOff>96904</xdr:rowOff>
    </xdr:from>
    <xdr:to>
      <xdr:col>20</xdr:col>
      <xdr:colOff>972700</xdr:colOff>
      <xdr:row>51</xdr:row>
      <xdr:rowOff>119629</xdr:rowOff>
    </xdr:to>
    <xdr:sp macro="" textlink="">
      <xdr:nvSpPr>
        <xdr:cNvPr id="313" name="Rechteck 312">
          <a:extLst>
            <a:ext uri="{FF2B5EF4-FFF2-40B4-BE49-F238E27FC236}">
              <a16:creationId xmlns:a16="http://schemas.microsoft.com/office/drawing/2014/main" id="{00000000-0008-0000-1100-000039010000}"/>
            </a:ext>
          </a:extLst>
        </xdr:cNvPr>
        <xdr:cNvSpPr>
          <a:spLocks/>
        </xdr:cNvSpPr>
      </xdr:nvSpPr>
      <xdr:spPr>
        <a:xfrm>
          <a:off x="7406328" y="1698472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49</xdr:row>
      <xdr:rowOff>96904</xdr:rowOff>
    </xdr:from>
    <xdr:to>
      <xdr:col>20</xdr:col>
      <xdr:colOff>1693286</xdr:colOff>
      <xdr:row>51</xdr:row>
      <xdr:rowOff>119629</xdr:rowOff>
    </xdr:to>
    <xdr:sp macro="" textlink="">
      <xdr:nvSpPr>
        <xdr:cNvPr id="314" name="Rechteck 313">
          <a:extLst>
            <a:ext uri="{FF2B5EF4-FFF2-40B4-BE49-F238E27FC236}">
              <a16:creationId xmlns:a16="http://schemas.microsoft.com/office/drawing/2014/main" id="{00000000-0008-0000-1100-00003A010000}"/>
            </a:ext>
          </a:extLst>
        </xdr:cNvPr>
        <xdr:cNvSpPr>
          <a:spLocks/>
        </xdr:cNvSpPr>
      </xdr:nvSpPr>
      <xdr:spPr>
        <a:xfrm>
          <a:off x="8132711" y="1698472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49</xdr:row>
      <xdr:rowOff>96904</xdr:rowOff>
    </xdr:from>
    <xdr:to>
      <xdr:col>20</xdr:col>
      <xdr:colOff>2417467</xdr:colOff>
      <xdr:row>51</xdr:row>
      <xdr:rowOff>119629</xdr:rowOff>
    </xdr:to>
    <xdr:sp macro="" textlink="">
      <xdr:nvSpPr>
        <xdr:cNvPr id="315" name="Rechteck 314">
          <a:extLst>
            <a:ext uri="{FF2B5EF4-FFF2-40B4-BE49-F238E27FC236}">
              <a16:creationId xmlns:a16="http://schemas.microsoft.com/office/drawing/2014/main" id="{00000000-0008-0000-1100-00003B010000}"/>
            </a:ext>
          </a:extLst>
        </xdr:cNvPr>
        <xdr:cNvSpPr>
          <a:spLocks/>
        </xdr:cNvSpPr>
      </xdr:nvSpPr>
      <xdr:spPr>
        <a:xfrm>
          <a:off x="8856892" y="1698472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47</xdr:row>
      <xdr:rowOff>133347</xdr:rowOff>
    </xdr:from>
    <xdr:to>
      <xdr:col>20</xdr:col>
      <xdr:colOff>972700</xdr:colOff>
      <xdr:row>48</xdr:row>
      <xdr:rowOff>356097</xdr:rowOff>
    </xdr:to>
    <xdr:sp macro="" textlink="">
      <xdr:nvSpPr>
        <xdr:cNvPr id="316" name="Rechteck 315">
          <a:extLst>
            <a:ext uri="{FF2B5EF4-FFF2-40B4-BE49-F238E27FC236}">
              <a16:creationId xmlns:a16="http://schemas.microsoft.com/office/drawing/2014/main" id="{00000000-0008-0000-1100-00003C010000}"/>
            </a:ext>
          </a:extLst>
        </xdr:cNvPr>
        <xdr:cNvSpPr>
          <a:spLocks/>
        </xdr:cNvSpPr>
      </xdr:nvSpPr>
      <xdr:spPr>
        <a:xfrm>
          <a:off x="7406328" y="15954372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47</xdr:row>
      <xdr:rowOff>133347</xdr:rowOff>
    </xdr:from>
    <xdr:to>
      <xdr:col>20</xdr:col>
      <xdr:colOff>1693286</xdr:colOff>
      <xdr:row>48</xdr:row>
      <xdr:rowOff>356097</xdr:rowOff>
    </xdr:to>
    <xdr:sp macro="" textlink="">
      <xdr:nvSpPr>
        <xdr:cNvPr id="317" name="Rechteck 316">
          <a:extLst>
            <a:ext uri="{FF2B5EF4-FFF2-40B4-BE49-F238E27FC236}">
              <a16:creationId xmlns:a16="http://schemas.microsoft.com/office/drawing/2014/main" id="{00000000-0008-0000-1100-00003D010000}"/>
            </a:ext>
          </a:extLst>
        </xdr:cNvPr>
        <xdr:cNvSpPr>
          <a:spLocks/>
        </xdr:cNvSpPr>
      </xdr:nvSpPr>
      <xdr:spPr>
        <a:xfrm>
          <a:off x="8132711" y="15954372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47</xdr:row>
      <xdr:rowOff>133347</xdr:rowOff>
    </xdr:from>
    <xdr:to>
      <xdr:col>20</xdr:col>
      <xdr:colOff>2417467</xdr:colOff>
      <xdr:row>48</xdr:row>
      <xdr:rowOff>356097</xdr:rowOff>
    </xdr:to>
    <xdr:sp macro="" textlink="">
      <xdr:nvSpPr>
        <xdr:cNvPr id="318" name="Rechteck 317">
          <a:extLst>
            <a:ext uri="{FF2B5EF4-FFF2-40B4-BE49-F238E27FC236}">
              <a16:creationId xmlns:a16="http://schemas.microsoft.com/office/drawing/2014/main" id="{00000000-0008-0000-1100-00003E010000}"/>
            </a:ext>
          </a:extLst>
        </xdr:cNvPr>
        <xdr:cNvSpPr>
          <a:spLocks/>
        </xdr:cNvSpPr>
      </xdr:nvSpPr>
      <xdr:spPr>
        <a:xfrm>
          <a:off x="8856892" y="15954372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45</xdr:row>
      <xdr:rowOff>87379</xdr:rowOff>
    </xdr:from>
    <xdr:to>
      <xdr:col>20</xdr:col>
      <xdr:colOff>972700</xdr:colOff>
      <xdr:row>47</xdr:row>
      <xdr:rowOff>110104</xdr:rowOff>
    </xdr:to>
    <xdr:sp macro="" textlink="">
      <xdr:nvSpPr>
        <xdr:cNvPr id="319" name="Rechteck 318">
          <a:extLst>
            <a:ext uri="{FF2B5EF4-FFF2-40B4-BE49-F238E27FC236}">
              <a16:creationId xmlns:a16="http://schemas.microsoft.com/office/drawing/2014/main" id="{00000000-0008-0000-1100-00003F010000}"/>
            </a:ext>
          </a:extLst>
        </xdr:cNvPr>
        <xdr:cNvSpPr>
          <a:spLocks/>
        </xdr:cNvSpPr>
      </xdr:nvSpPr>
      <xdr:spPr>
        <a:xfrm>
          <a:off x="7406328" y="15308329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45</xdr:row>
      <xdr:rowOff>87379</xdr:rowOff>
    </xdr:from>
    <xdr:to>
      <xdr:col>20</xdr:col>
      <xdr:colOff>1693286</xdr:colOff>
      <xdr:row>47</xdr:row>
      <xdr:rowOff>110104</xdr:rowOff>
    </xdr:to>
    <xdr:sp macro="" textlink="">
      <xdr:nvSpPr>
        <xdr:cNvPr id="320" name="Rechteck 319">
          <a:extLst>
            <a:ext uri="{FF2B5EF4-FFF2-40B4-BE49-F238E27FC236}">
              <a16:creationId xmlns:a16="http://schemas.microsoft.com/office/drawing/2014/main" id="{00000000-0008-0000-1100-000040010000}"/>
            </a:ext>
          </a:extLst>
        </xdr:cNvPr>
        <xdr:cNvSpPr>
          <a:spLocks/>
        </xdr:cNvSpPr>
      </xdr:nvSpPr>
      <xdr:spPr>
        <a:xfrm>
          <a:off x="8132711" y="15308329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45</xdr:row>
      <xdr:rowOff>87379</xdr:rowOff>
    </xdr:from>
    <xdr:to>
      <xdr:col>20</xdr:col>
      <xdr:colOff>2417467</xdr:colOff>
      <xdr:row>47</xdr:row>
      <xdr:rowOff>110104</xdr:rowOff>
    </xdr:to>
    <xdr:sp macro="" textlink="">
      <xdr:nvSpPr>
        <xdr:cNvPr id="321" name="Rechteck 320">
          <a:extLst>
            <a:ext uri="{FF2B5EF4-FFF2-40B4-BE49-F238E27FC236}">
              <a16:creationId xmlns:a16="http://schemas.microsoft.com/office/drawing/2014/main" id="{00000000-0008-0000-1100-000041010000}"/>
            </a:ext>
          </a:extLst>
        </xdr:cNvPr>
        <xdr:cNvSpPr>
          <a:spLocks/>
        </xdr:cNvSpPr>
      </xdr:nvSpPr>
      <xdr:spPr>
        <a:xfrm>
          <a:off x="8856892" y="15308329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56</xdr:row>
      <xdr:rowOff>123822</xdr:rowOff>
    </xdr:from>
    <xdr:to>
      <xdr:col>20</xdr:col>
      <xdr:colOff>972700</xdr:colOff>
      <xdr:row>56</xdr:row>
      <xdr:rowOff>746622</xdr:rowOff>
    </xdr:to>
    <xdr:sp macro="" textlink="">
      <xdr:nvSpPr>
        <xdr:cNvPr id="322" name="Rechteck 321">
          <a:extLst>
            <a:ext uri="{FF2B5EF4-FFF2-40B4-BE49-F238E27FC236}">
              <a16:creationId xmlns:a16="http://schemas.microsoft.com/office/drawing/2014/main" id="{00000000-0008-0000-1100-000042010000}"/>
            </a:ext>
          </a:extLst>
        </xdr:cNvPr>
        <xdr:cNvSpPr>
          <a:spLocks/>
        </xdr:cNvSpPr>
      </xdr:nvSpPr>
      <xdr:spPr>
        <a:xfrm>
          <a:off x="7406328" y="1941194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56</xdr:row>
      <xdr:rowOff>123822</xdr:rowOff>
    </xdr:from>
    <xdr:to>
      <xdr:col>20</xdr:col>
      <xdr:colOff>1693286</xdr:colOff>
      <xdr:row>56</xdr:row>
      <xdr:rowOff>746622</xdr:rowOff>
    </xdr:to>
    <xdr:sp macro="" textlink="">
      <xdr:nvSpPr>
        <xdr:cNvPr id="323" name="Rechteck 322">
          <a:extLst>
            <a:ext uri="{FF2B5EF4-FFF2-40B4-BE49-F238E27FC236}">
              <a16:creationId xmlns:a16="http://schemas.microsoft.com/office/drawing/2014/main" id="{00000000-0008-0000-1100-000043010000}"/>
            </a:ext>
          </a:extLst>
        </xdr:cNvPr>
        <xdr:cNvSpPr>
          <a:spLocks/>
        </xdr:cNvSpPr>
      </xdr:nvSpPr>
      <xdr:spPr>
        <a:xfrm>
          <a:off x="8132711" y="1941194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56</xdr:row>
      <xdr:rowOff>123822</xdr:rowOff>
    </xdr:from>
    <xdr:to>
      <xdr:col>20</xdr:col>
      <xdr:colOff>2417467</xdr:colOff>
      <xdr:row>56</xdr:row>
      <xdr:rowOff>746622</xdr:rowOff>
    </xdr:to>
    <xdr:sp macro="" textlink="">
      <xdr:nvSpPr>
        <xdr:cNvPr id="324" name="Rechteck 323">
          <a:extLst>
            <a:ext uri="{FF2B5EF4-FFF2-40B4-BE49-F238E27FC236}">
              <a16:creationId xmlns:a16="http://schemas.microsoft.com/office/drawing/2014/main" id="{00000000-0008-0000-1100-000044010000}"/>
            </a:ext>
          </a:extLst>
        </xdr:cNvPr>
        <xdr:cNvSpPr>
          <a:spLocks/>
        </xdr:cNvSpPr>
      </xdr:nvSpPr>
      <xdr:spPr>
        <a:xfrm>
          <a:off x="8856892" y="1941194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272103</xdr:colOff>
      <xdr:row>54</xdr:row>
      <xdr:rowOff>77854</xdr:rowOff>
    </xdr:from>
    <xdr:to>
      <xdr:col>20</xdr:col>
      <xdr:colOff>972700</xdr:colOff>
      <xdr:row>56</xdr:row>
      <xdr:rowOff>100579</xdr:rowOff>
    </xdr:to>
    <xdr:sp macro="" textlink="">
      <xdr:nvSpPr>
        <xdr:cNvPr id="325" name="Rechteck 324">
          <a:extLst>
            <a:ext uri="{FF2B5EF4-FFF2-40B4-BE49-F238E27FC236}">
              <a16:creationId xmlns:a16="http://schemas.microsoft.com/office/drawing/2014/main" id="{00000000-0008-0000-1100-000045010000}"/>
            </a:ext>
          </a:extLst>
        </xdr:cNvPr>
        <xdr:cNvSpPr>
          <a:spLocks/>
        </xdr:cNvSpPr>
      </xdr:nvSpPr>
      <xdr:spPr>
        <a:xfrm>
          <a:off x="7406328" y="1876590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54</xdr:row>
      <xdr:rowOff>77854</xdr:rowOff>
    </xdr:from>
    <xdr:to>
      <xdr:col>20</xdr:col>
      <xdr:colOff>1693286</xdr:colOff>
      <xdr:row>56</xdr:row>
      <xdr:rowOff>100579</xdr:rowOff>
    </xdr:to>
    <xdr:sp macro="" textlink="">
      <xdr:nvSpPr>
        <xdr:cNvPr id="326" name="Rechteck 325">
          <a:extLst>
            <a:ext uri="{FF2B5EF4-FFF2-40B4-BE49-F238E27FC236}">
              <a16:creationId xmlns:a16="http://schemas.microsoft.com/office/drawing/2014/main" id="{00000000-0008-0000-1100-000046010000}"/>
            </a:ext>
          </a:extLst>
        </xdr:cNvPr>
        <xdr:cNvSpPr>
          <a:spLocks/>
        </xdr:cNvSpPr>
      </xdr:nvSpPr>
      <xdr:spPr>
        <a:xfrm>
          <a:off x="8132711" y="1876590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54</xdr:row>
      <xdr:rowOff>77854</xdr:rowOff>
    </xdr:from>
    <xdr:to>
      <xdr:col>20</xdr:col>
      <xdr:colOff>2417467</xdr:colOff>
      <xdr:row>56</xdr:row>
      <xdr:rowOff>100579</xdr:rowOff>
    </xdr:to>
    <xdr:sp macro="" textlink="">
      <xdr:nvSpPr>
        <xdr:cNvPr id="327" name="Rechteck 326">
          <a:extLst>
            <a:ext uri="{FF2B5EF4-FFF2-40B4-BE49-F238E27FC236}">
              <a16:creationId xmlns:a16="http://schemas.microsoft.com/office/drawing/2014/main" id="{00000000-0008-0000-1100-000047010000}"/>
            </a:ext>
          </a:extLst>
        </xdr:cNvPr>
        <xdr:cNvSpPr>
          <a:spLocks/>
        </xdr:cNvSpPr>
      </xdr:nvSpPr>
      <xdr:spPr>
        <a:xfrm>
          <a:off x="8856892" y="1876590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262578</xdr:colOff>
      <xdr:row>16</xdr:row>
      <xdr:rowOff>171447</xdr:rowOff>
    </xdr:from>
    <xdr:to>
      <xdr:col>20</xdr:col>
      <xdr:colOff>963175</xdr:colOff>
      <xdr:row>17</xdr:row>
      <xdr:rowOff>394197</xdr:rowOff>
    </xdr:to>
    <xdr:sp macro="" textlink="">
      <xdr:nvSpPr>
        <xdr:cNvPr id="328" name="Rechteck 327">
          <a:extLst>
            <a:ext uri="{FF2B5EF4-FFF2-40B4-BE49-F238E27FC236}">
              <a16:creationId xmlns:a16="http://schemas.microsoft.com/office/drawing/2014/main" id="{00000000-0008-0000-1100-000048010000}"/>
            </a:ext>
          </a:extLst>
        </xdr:cNvPr>
        <xdr:cNvSpPr>
          <a:spLocks/>
        </xdr:cNvSpPr>
      </xdr:nvSpPr>
      <xdr:spPr>
        <a:xfrm>
          <a:off x="7396803" y="4438647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16</xdr:row>
      <xdr:rowOff>171447</xdr:rowOff>
    </xdr:from>
    <xdr:to>
      <xdr:col>20</xdr:col>
      <xdr:colOff>1693286</xdr:colOff>
      <xdr:row>17</xdr:row>
      <xdr:rowOff>394197</xdr:rowOff>
    </xdr:to>
    <xdr:sp macro="" textlink="">
      <xdr:nvSpPr>
        <xdr:cNvPr id="329" name="Rechteck 328">
          <a:extLst>
            <a:ext uri="{FF2B5EF4-FFF2-40B4-BE49-F238E27FC236}">
              <a16:creationId xmlns:a16="http://schemas.microsoft.com/office/drawing/2014/main" id="{00000000-0008-0000-1100-000049010000}"/>
            </a:ext>
          </a:extLst>
        </xdr:cNvPr>
        <xdr:cNvSpPr>
          <a:spLocks/>
        </xdr:cNvSpPr>
      </xdr:nvSpPr>
      <xdr:spPr>
        <a:xfrm>
          <a:off x="8132711" y="4438647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16</xdr:row>
      <xdr:rowOff>171447</xdr:rowOff>
    </xdr:from>
    <xdr:to>
      <xdr:col>20</xdr:col>
      <xdr:colOff>2417467</xdr:colOff>
      <xdr:row>17</xdr:row>
      <xdr:rowOff>394197</xdr:rowOff>
    </xdr:to>
    <xdr:sp macro="" textlink="">
      <xdr:nvSpPr>
        <xdr:cNvPr id="330" name="Rechteck 329">
          <a:extLst>
            <a:ext uri="{FF2B5EF4-FFF2-40B4-BE49-F238E27FC236}">
              <a16:creationId xmlns:a16="http://schemas.microsoft.com/office/drawing/2014/main" id="{00000000-0008-0000-1100-00004A010000}"/>
            </a:ext>
          </a:extLst>
        </xdr:cNvPr>
        <xdr:cNvSpPr>
          <a:spLocks/>
        </xdr:cNvSpPr>
      </xdr:nvSpPr>
      <xdr:spPr>
        <a:xfrm>
          <a:off x="8856892" y="4438647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262578</xdr:colOff>
      <xdr:row>14</xdr:row>
      <xdr:rowOff>125479</xdr:rowOff>
    </xdr:from>
    <xdr:to>
      <xdr:col>20</xdr:col>
      <xdr:colOff>963175</xdr:colOff>
      <xdr:row>16</xdr:row>
      <xdr:rowOff>148204</xdr:rowOff>
    </xdr:to>
    <xdr:sp macro="" textlink="">
      <xdr:nvSpPr>
        <xdr:cNvPr id="331" name="Rechteck 330">
          <a:extLst>
            <a:ext uri="{FF2B5EF4-FFF2-40B4-BE49-F238E27FC236}">
              <a16:creationId xmlns:a16="http://schemas.microsoft.com/office/drawing/2014/main" id="{00000000-0008-0000-1100-00004B010000}"/>
            </a:ext>
          </a:extLst>
        </xdr:cNvPr>
        <xdr:cNvSpPr>
          <a:spLocks/>
        </xdr:cNvSpPr>
      </xdr:nvSpPr>
      <xdr:spPr>
        <a:xfrm>
          <a:off x="7396803" y="3792604"/>
          <a:ext cx="700597" cy="6228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998486</xdr:colOff>
      <xdr:row>14</xdr:row>
      <xdr:rowOff>125479</xdr:rowOff>
    </xdr:from>
    <xdr:to>
      <xdr:col>20</xdr:col>
      <xdr:colOff>1693286</xdr:colOff>
      <xdr:row>16</xdr:row>
      <xdr:rowOff>148204</xdr:rowOff>
    </xdr:to>
    <xdr:sp macro="" textlink="">
      <xdr:nvSpPr>
        <xdr:cNvPr id="332" name="Rechteck 331">
          <a:extLst>
            <a:ext uri="{FF2B5EF4-FFF2-40B4-BE49-F238E27FC236}">
              <a16:creationId xmlns:a16="http://schemas.microsoft.com/office/drawing/2014/main" id="{00000000-0008-0000-1100-00004C010000}"/>
            </a:ext>
          </a:extLst>
        </xdr:cNvPr>
        <xdr:cNvSpPr>
          <a:spLocks/>
        </xdr:cNvSpPr>
      </xdr:nvSpPr>
      <xdr:spPr>
        <a:xfrm>
          <a:off x="8132711" y="3792604"/>
          <a:ext cx="694800" cy="6228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1722667</xdr:colOff>
      <xdr:row>14</xdr:row>
      <xdr:rowOff>125479</xdr:rowOff>
    </xdr:from>
    <xdr:to>
      <xdr:col>20</xdr:col>
      <xdr:colOff>2417467</xdr:colOff>
      <xdr:row>16</xdr:row>
      <xdr:rowOff>148204</xdr:rowOff>
    </xdr:to>
    <xdr:sp macro="" textlink="">
      <xdr:nvSpPr>
        <xdr:cNvPr id="333" name="Rechteck 332">
          <a:extLst>
            <a:ext uri="{FF2B5EF4-FFF2-40B4-BE49-F238E27FC236}">
              <a16:creationId xmlns:a16="http://schemas.microsoft.com/office/drawing/2014/main" id="{00000000-0008-0000-1100-00004D010000}"/>
            </a:ext>
          </a:extLst>
        </xdr:cNvPr>
        <xdr:cNvSpPr>
          <a:spLocks/>
        </xdr:cNvSpPr>
      </xdr:nvSpPr>
      <xdr:spPr>
        <a:xfrm>
          <a:off x="8856892" y="3792604"/>
          <a:ext cx="694800" cy="6228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0</xdr:col>
      <xdr:colOff>66675</xdr:colOff>
      <xdr:row>56</xdr:row>
      <xdr:rowOff>838200</xdr:rowOff>
    </xdr:from>
    <xdr:to>
      <xdr:col>0</xdr:col>
      <xdr:colOff>390675</xdr:colOff>
      <xdr:row>57</xdr:row>
      <xdr:rowOff>1615</xdr:rowOff>
    </xdr:to>
    <xdr:grpSp>
      <xdr:nvGrpSpPr>
        <xdr:cNvPr id="334" name="Gruppieren 33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100-00004E010000}"/>
            </a:ext>
          </a:extLst>
        </xdr:cNvPr>
        <xdr:cNvGrpSpPr/>
      </xdr:nvGrpSpPr>
      <xdr:grpSpPr>
        <a:xfrm>
          <a:off x="66675" y="19964400"/>
          <a:ext cx="324000" cy="321655"/>
          <a:chOff x="66675" y="4972050"/>
          <a:chExt cx="324000" cy="325465"/>
        </a:xfrm>
      </xdr:grpSpPr>
      <xdr:sp macro="" textlink="">
        <xdr:nvSpPr>
          <xdr:cNvPr id="335" name="Rechteck 334">
            <a:extLst>
              <a:ext uri="{FF2B5EF4-FFF2-40B4-BE49-F238E27FC236}">
                <a16:creationId xmlns:a16="http://schemas.microsoft.com/office/drawing/2014/main" id="{00000000-0008-0000-1100-00004F01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36" name="Pfeil nach oben 335">
            <a:extLst>
              <a:ext uri="{FF2B5EF4-FFF2-40B4-BE49-F238E27FC236}">
                <a16:creationId xmlns:a16="http://schemas.microsoft.com/office/drawing/2014/main" id="{00000000-0008-0000-1100-00005001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104775</xdr:rowOff>
    </xdr:from>
    <xdr:to>
      <xdr:col>0</xdr:col>
      <xdr:colOff>390675</xdr:colOff>
      <xdr:row>0</xdr:row>
      <xdr:rowOff>430240</xdr:rowOff>
    </xdr:to>
    <xdr:grpSp>
      <xdr:nvGrpSpPr>
        <xdr:cNvPr id="337" name="Gruppieren 33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1100-000051010000}"/>
            </a:ext>
          </a:extLst>
        </xdr:cNvPr>
        <xdr:cNvGrpSpPr/>
      </xdr:nvGrpSpPr>
      <xdr:grpSpPr>
        <a:xfrm>
          <a:off x="66675" y="104775"/>
          <a:ext cx="324000" cy="325465"/>
          <a:chOff x="9191625" y="3009900"/>
          <a:chExt cx="324000" cy="325465"/>
        </a:xfrm>
      </xdr:grpSpPr>
      <xdr:sp macro="" textlink="">
        <xdr:nvSpPr>
          <xdr:cNvPr id="338" name="Rechteck 337">
            <a:extLst>
              <a:ext uri="{FF2B5EF4-FFF2-40B4-BE49-F238E27FC236}">
                <a16:creationId xmlns:a16="http://schemas.microsoft.com/office/drawing/2014/main" id="{00000000-0008-0000-1100-00005201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39" name="Pfeil nach links 338">
            <a:extLst>
              <a:ext uri="{FF2B5EF4-FFF2-40B4-BE49-F238E27FC236}">
                <a16:creationId xmlns:a16="http://schemas.microsoft.com/office/drawing/2014/main" id="{00000000-0008-0000-1100-00005301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0</xdr:col>
      <xdr:colOff>200024</xdr:colOff>
      <xdr:row>62</xdr:row>
      <xdr:rowOff>142876</xdr:rowOff>
    </xdr:from>
    <xdr:to>
      <xdr:col>20</xdr:col>
      <xdr:colOff>1724025</xdr:colOff>
      <xdr:row>96</xdr:row>
      <xdr:rowOff>76200</xdr:rowOff>
    </xdr:to>
    <xdr:graphicFrame macro="">
      <xdr:nvGraphicFramePr>
        <xdr:cNvPr id="340" name="Diagramm 339">
          <a:extLst>
            <a:ext uri="{FF2B5EF4-FFF2-40B4-BE49-F238E27FC236}">
              <a16:creationId xmlns:a16="http://schemas.microsoft.com/office/drawing/2014/main" id="{00000000-0008-0000-1100-000054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3</xdr:col>
      <xdr:colOff>866776</xdr:colOff>
      <xdr:row>68</xdr:row>
      <xdr:rowOff>76201</xdr:rowOff>
    </xdr:from>
    <xdr:to>
      <xdr:col>4</xdr:col>
      <xdr:colOff>302837</xdr:colOff>
      <xdr:row>70</xdr:row>
      <xdr:rowOff>57151</xdr:rowOff>
    </xdr:to>
    <xdr:pic>
      <xdr:nvPicPr>
        <xdr:cNvPr id="341" name="Picture 2">
          <a:extLst>
            <a:ext uri="{FF2B5EF4-FFF2-40B4-BE49-F238E27FC236}">
              <a16:creationId xmlns:a16="http://schemas.microsoft.com/office/drawing/2014/main" id="{00000000-0008-0000-1100-000055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590676" y="22383751"/>
          <a:ext cx="455236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47625</xdr:colOff>
      <xdr:row>60</xdr:row>
      <xdr:rowOff>47625</xdr:rowOff>
    </xdr:from>
    <xdr:to>
      <xdr:col>8</xdr:col>
      <xdr:colOff>91907</xdr:colOff>
      <xdr:row>62</xdr:row>
      <xdr:rowOff>114300</xdr:rowOff>
    </xdr:to>
    <xdr:pic>
      <xdr:nvPicPr>
        <xdr:cNvPr id="342" name="Picture 2">
          <a:extLst>
            <a:ext uri="{FF2B5EF4-FFF2-40B4-BE49-F238E27FC236}">
              <a16:creationId xmlns:a16="http://schemas.microsoft.com/office/drawing/2014/main" id="{00000000-0008-0000-1100-000056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4276725" y="20840700"/>
          <a:ext cx="491957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76200</xdr:colOff>
      <xdr:row>68</xdr:row>
      <xdr:rowOff>47625</xdr:rowOff>
    </xdr:from>
    <xdr:to>
      <xdr:col>20</xdr:col>
      <xdr:colOff>504825</xdr:colOff>
      <xdr:row>71</xdr:row>
      <xdr:rowOff>293</xdr:rowOff>
    </xdr:to>
    <xdr:pic>
      <xdr:nvPicPr>
        <xdr:cNvPr id="343" name="Picture 2">
          <a:extLst>
            <a:ext uri="{FF2B5EF4-FFF2-40B4-BE49-F238E27FC236}">
              <a16:creationId xmlns:a16="http://schemas.microsoft.com/office/drawing/2014/main" id="{00000000-0008-0000-1100-000057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7210425" y="22355175"/>
          <a:ext cx="428625" cy="516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733425</xdr:colOff>
      <xdr:row>77</xdr:row>
      <xdr:rowOff>85725</xdr:rowOff>
    </xdr:from>
    <xdr:to>
      <xdr:col>20</xdr:col>
      <xdr:colOff>1255395</xdr:colOff>
      <xdr:row>79</xdr:row>
      <xdr:rowOff>123825</xdr:rowOff>
    </xdr:to>
    <xdr:pic>
      <xdr:nvPicPr>
        <xdr:cNvPr id="344" name="Picture 2">
          <a:extLst>
            <a:ext uri="{FF2B5EF4-FFF2-40B4-BE49-F238E27FC236}">
              <a16:creationId xmlns:a16="http://schemas.microsoft.com/office/drawing/2014/main" id="{00000000-0008-0000-1100-000058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7867650" y="24107775"/>
          <a:ext cx="52197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704850</xdr:colOff>
      <xdr:row>87</xdr:row>
      <xdr:rowOff>142875</xdr:rowOff>
    </xdr:from>
    <xdr:to>
      <xdr:col>20</xdr:col>
      <xdr:colOff>1167765</xdr:colOff>
      <xdr:row>90</xdr:row>
      <xdr:rowOff>85725</xdr:rowOff>
    </xdr:to>
    <xdr:pic>
      <xdr:nvPicPr>
        <xdr:cNvPr id="345" name="Picture 2">
          <a:extLst>
            <a:ext uri="{FF2B5EF4-FFF2-40B4-BE49-F238E27FC236}">
              <a16:creationId xmlns:a16="http://schemas.microsoft.com/office/drawing/2014/main" id="{00000000-0008-0000-1100-000059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7839075" y="26069925"/>
          <a:ext cx="46291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171450</xdr:colOff>
      <xdr:row>94</xdr:row>
      <xdr:rowOff>114300</xdr:rowOff>
    </xdr:from>
    <xdr:to>
      <xdr:col>15</xdr:col>
      <xdr:colOff>164037</xdr:colOff>
      <xdr:row>97</xdr:row>
      <xdr:rowOff>76200</xdr:rowOff>
    </xdr:to>
    <xdr:pic>
      <xdr:nvPicPr>
        <xdr:cNvPr id="346" name="Picture 2">
          <a:extLst>
            <a:ext uri="{FF2B5EF4-FFF2-40B4-BE49-F238E27FC236}">
              <a16:creationId xmlns:a16="http://schemas.microsoft.com/office/drawing/2014/main" id="{00000000-0008-0000-1100-00005A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5857875" y="27374850"/>
          <a:ext cx="440262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723900</xdr:colOff>
      <xdr:row>94</xdr:row>
      <xdr:rowOff>76200</xdr:rowOff>
    </xdr:from>
    <xdr:to>
      <xdr:col>4</xdr:col>
      <xdr:colOff>1162050</xdr:colOff>
      <xdr:row>97</xdr:row>
      <xdr:rowOff>114698</xdr:rowOff>
    </xdr:to>
    <xdr:pic>
      <xdr:nvPicPr>
        <xdr:cNvPr id="347" name="Picture 2">
          <a:extLst>
            <a:ext uri="{FF2B5EF4-FFF2-40B4-BE49-F238E27FC236}">
              <a16:creationId xmlns:a16="http://schemas.microsoft.com/office/drawing/2014/main" id="{00000000-0008-0000-1100-00005B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466975" y="27336750"/>
          <a:ext cx="438150" cy="42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485775</xdr:colOff>
      <xdr:row>87</xdr:row>
      <xdr:rowOff>123825</xdr:rowOff>
    </xdr:from>
    <xdr:to>
      <xdr:col>3</xdr:col>
      <xdr:colOff>933450</xdr:colOff>
      <xdr:row>91</xdr:row>
      <xdr:rowOff>8216</xdr:rowOff>
    </xdr:to>
    <xdr:pic>
      <xdr:nvPicPr>
        <xdr:cNvPr id="348" name="Picture 2">
          <a:extLst>
            <a:ext uri="{FF2B5EF4-FFF2-40B4-BE49-F238E27FC236}">
              <a16:creationId xmlns:a16="http://schemas.microsoft.com/office/drawing/2014/main" id="{00000000-0008-0000-1100-00005C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209675" y="26050875"/>
          <a:ext cx="447675" cy="646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257175</xdr:colOff>
      <xdr:row>77</xdr:row>
      <xdr:rowOff>57150</xdr:rowOff>
    </xdr:from>
    <xdr:to>
      <xdr:col>3</xdr:col>
      <xdr:colOff>756968</xdr:colOff>
      <xdr:row>80</xdr:row>
      <xdr:rowOff>0</xdr:rowOff>
    </xdr:to>
    <xdr:pic>
      <xdr:nvPicPr>
        <xdr:cNvPr id="349" name="Picture 2">
          <a:extLst>
            <a:ext uri="{FF2B5EF4-FFF2-40B4-BE49-F238E27FC236}">
              <a16:creationId xmlns:a16="http://schemas.microsoft.com/office/drawing/2014/main" id="{00000000-0008-0000-1100-00005D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981075" y="24079200"/>
          <a:ext cx="499793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93</xdr:row>
      <xdr:rowOff>0</xdr:rowOff>
    </xdr:from>
    <xdr:to>
      <xdr:col>0</xdr:col>
      <xdr:colOff>390675</xdr:colOff>
      <xdr:row>94</xdr:row>
      <xdr:rowOff>134965</xdr:rowOff>
    </xdr:to>
    <xdr:grpSp>
      <xdr:nvGrpSpPr>
        <xdr:cNvPr id="350" name="Gruppieren 34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100-00005E010000}"/>
            </a:ext>
          </a:extLst>
        </xdr:cNvPr>
        <xdr:cNvGrpSpPr/>
      </xdr:nvGrpSpPr>
      <xdr:grpSpPr>
        <a:xfrm>
          <a:off x="66675" y="26639520"/>
          <a:ext cx="324000" cy="317845"/>
          <a:chOff x="66675" y="4972050"/>
          <a:chExt cx="324000" cy="325465"/>
        </a:xfrm>
      </xdr:grpSpPr>
      <xdr:sp macro="" textlink="">
        <xdr:nvSpPr>
          <xdr:cNvPr id="351" name="Rechteck 350">
            <a:extLst>
              <a:ext uri="{FF2B5EF4-FFF2-40B4-BE49-F238E27FC236}">
                <a16:creationId xmlns:a16="http://schemas.microsoft.com/office/drawing/2014/main" id="{00000000-0008-0000-1100-00005F01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52" name="Pfeil nach oben 351">
            <a:extLst>
              <a:ext uri="{FF2B5EF4-FFF2-40B4-BE49-F238E27FC236}">
                <a16:creationId xmlns:a16="http://schemas.microsoft.com/office/drawing/2014/main" id="{00000000-0008-0000-1100-00006001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</xdr:row>
      <xdr:rowOff>209550</xdr:rowOff>
    </xdr:from>
    <xdr:to>
      <xdr:col>0</xdr:col>
      <xdr:colOff>390675</xdr:colOff>
      <xdr:row>6</xdr:row>
      <xdr:rowOff>1615</xdr:rowOff>
    </xdr:to>
    <xdr:grpSp>
      <xdr:nvGrpSpPr>
        <xdr:cNvPr id="353" name="Gruppieren 352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1100-000061010000}"/>
            </a:ext>
          </a:extLst>
        </xdr:cNvPr>
        <xdr:cNvGrpSpPr/>
      </xdr:nvGrpSpPr>
      <xdr:grpSpPr>
        <a:xfrm>
          <a:off x="66675" y="1482090"/>
          <a:ext cx="324000" cy="317845"/>
          <a:chOff x="12382500" y="2152650"/>
          <a:chExt cx="324000" cy="325465"/>
        </a:xfrm>
      </xdr:grpSpPr>
      <xdr:sp macro="" textlink="">
        <xdr:nvSpPr>
          <xdr:cNvPr id="354" name="Rechteck 353">
            <a:extLst>
              <a:ext uri="{FF2B5EF4-FFF2-40B4-BE49-F238E27FC236}">
                <a16:creationId xmlns:a16="http://schemas.microsoft.com/office/drawing/2014/main" id="{00000000-0008-0000-1100-00006201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55" name="Grafik 354">
            <a:extLst>
              <a:ext uri="{FF2B5EF4-FFF2-40B4-BE49-F238E27FC236}">
                <a16:creationId xmlns:a16="http://schemas.microsoft.com/office/drawing/2014/main" id="{00000000-0008-0000-1100-000063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76393</xdr:colOff>
          <xdr:row>38</xdr:row>
          <xdr:rowOff>28762</xdr:rowOff>
        </xdr:from>
        <xdr:to>
          <xdr:col>16</xdr:col>
          <xdr:colOff>132301</xdr:colOff>
          <xdr:row>38</xdr:row>
          <xdr:rowOff>213630</xdr:rowOff>
        </xdr:to>
        <xdr:grpSp>
          <xdr:nvGrpSpPr>
            <xdr:cNvPr id="356" name="Gruppieren 355">
              <a:extLst>
                <a:ext uri="{FF2B5EF4-FFF2-40B4-BE49-F238E27FC236}">
                  <a16:creationId xmlns:a16="http://schemas.microsoft.com/office/drawing/2014/main" id="{00000000-0008-0000-1100-000064010000}"/>
                </a:ext>
              </a:extLst>
            </xdr:cNvPr>
            <xdr:cNvGrpSpPr/>
          </xdr:nvGrpSpPr>
          <xdr:grpSpPr>
            <a:xfrm>
              <a:off x="4427413" y="12548422"/>
              <a:ext cx="2341908" cy="184868"/>
              <a:chOff x="3581397" y="2105708"/>
              <a:chExt cx="2247892" cy="276222"/>
            </a:xfrm>
          </xdr:grpSpPr>
          <xdr:sp macro="" textlink="">
            <xdr:nvSpPr>
              <xdr:cNvPr id="39141" name="Group Box 229" hidden="1">
                <a:extLst>
                  <a:ext uri="{63B3BB69-23CF-44E3-9099-C40C66FF867C}">
                    <a14:compatExt spid="_x0000_s39141"/>
                  </a:ext>
                  <a:ext uri="{FF2B5EF4-FFF2-40B4-BE49-F238E27FC236}">
                    <a16:creationId xmlns:a16="http://schemas.microsoft.com/office/drawing/2014/main" id="{00000000-0008-0000-1100-0000E5980000}"/>
                  </a:ext>
                </a:extLst>
              </xdr:cNvPr>
              <xdr:cNvSpPr/>
            </xdr:nvSpPr>
            <xdr:spPr bwMode="auto">
              <a:xfrm>
                <a:off x="3581397" y="2105708"/>
                <a:ext cx="2247892" cy="2762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142" name="Option Button 230" hidden="1">
                <a:extLst>
                  <a:ext uri="{63B3BB69-23CF-44E3-9099-C40C66FF867C}">
                    <a14:compatExt spid="_x0000_s39142"/>
                  </a:ext>
                  <a:ext uri="{FF2B5EF4-FFF2-40B4-BE49-F238E27FC236}">
                    <a16:creationId xmlns:a16="http://schemas.microsoft.com/office/drawing/2014/main" id="{00000000-0008-0000-1100-0000E6980000}"/>
                  </a:ext>
                </a:extLst>
              </xdr:cNvPr>
              <xdr:cNvSpPr/>
            </xdr:nvSpPr>
            <xdr:spPr bwMode="auto">
              <a:xfrm>
                <a:off x="370522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43" name="Option Button 231" hidden="1">
                <a:extLst>
                  <a:ext uri="{63B3BB69-23CF-44E3-9099-C40C66FF867C}">
                    <a14:compatExt spid="_x0000_s39143"/>
                  </a:ext>
                  <a:ext uri="{FF2B5EF4-FFF2-40B4-BE49-F238E27FC236}">
                    <a16:creationId xmlns:a16="http://schemas.microsoft.com/office/drawing/2014/main" id="{00000000-0008-0000-1100-0000E7980000}"/>
                  </a:ext>
                </a:extLst>
              </xdr:cNvPr>
              <xdr:cNvSpPr/>
            </xdr:nvSpPr>
            <xdr:spPr bwMode="auto">
              <a:xfrm>
                <a:off x="414337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44" name="Option Button 232" hidden="1">
                <a:extLst>
                  <a:ext uri="{63B3BB69-23CF-44E3-9099-C40C66FF867C}">
                    <a14:compatExt spid="_x0000_s39144"/>
                  </a:ext>
                  <a:ext uri="{FF2B5EF4-FFF2-40B4-BE49-F238E27FC236}">
                    <a16:creationId xmlns:a16="http://schemas.microsoft.com/office/drawing/2014/main" id="{00000000-0008-0000-1100-0000E8980000}"/>
                  </a:ext>
                </a:extLst>
              </xdr:cNvPr>
              <xdr:cNvSpPr/>
            </xdr:nvSpPr>
            <xdr:spPr bwMode="auto">
              <a:xfrm>
                <a:off x="45815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45" name="Option Button 233" hidden="1">
                <a:extLst>
                  <a:ext uri="{63B3BB69-23CF-44E3-9099-C40C66FF867C}">
                    <a14:compatExt spid="_x0000_s39145"/>
                  </a:ext>
                  <a:ext uri="{FF2B5EF4-FFF2-40B4-BE49-F238E27FC236}">
                    <a16:creationId xmlns:a16="http://schemas.microsoft.com/office/drawing/2014/main" id="{00000000-0008-0000-1100-0000E9980000}"/>
                  </a:ext>
                </a:extLst>
              </xdr:cNvPr>
              <xdr:cNvSpPr/>
            </xdr:nvSpPr>
            <xdr:spPr bwMode="auto">
              <a:xfrm>
                <a:off x="5019675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146" name="Option Button 234" hidden="1">
                <a:extLst>
                  <a:ext uri="{63B3BB69-23CF-44E3-9099-C40C66FF867C}">
                    <a14:compatExt spid="_x0000_s39146"/>
                  </a:ext>
                  <a:ext uri="{FF2B5EF4-FFF2-40B4-BE49-F238E27FC236}">
                    <a16:creationId xmlns:a16="http://schemas.microsoft.com/office/drawing/2014/main" id="{00000000-0008-0000-1100-0000EA980000}"/>
                  </a:ext>
                </a:extLst>
              </xdr:cNvPr>
              <xdr:cNvSpPr/>
            </xdr:nvSpPr>
            <xdr:spPr bwMode="auto">
              <a:xfrm>
                <a:off x="5457826" y="2152650"/>
                <a:ext cx="215999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19</xdr:col>
      <xdr:colOff>19050</xdr:colOff>
      <xdr:row>8</xdr:row>
      <xdr:rowOff>47625</xdr:rowOff>
    </xdr:from>
    <xdr:to>
      <xdr:col>21</xdr:col>
      <xdr:colOff>57149</xdr:colOff>
      <xdr:row>13</xdr:row>
      <xdr:rowOff>216175</xdr:rowOff>
    </xdr:to>
    <xdr:graphicFrame macro="">
      <xdr:nvGraphicFramePr>
        <xdr:cNvPr id="363" name="Diagramm 362">
          <a:extLst>
            <a:ext uri="{FF2B5EF4-FFF2-40B4-BE49-F238E27FC236}">
              <a16:creationId xmlns:a16="http://schemas.microsoft.com/office/drawing/2014/main" id="{00000000-0008-0000-1100-00006B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19</xdr:col>
      <xdr:colOff>28575</xdr:colOff>
      <xdr:row>14</xdr:row>
      <xdr:rowOff>47625</xdr:rowOff>
    </xdr:from>
    <xdr:to>
      <xdr:col>21</xdr:col>
      <xdr:colOff>66674</xdr:colOff>
      <xdr:row>18</xdr:row>
      <xdr:rowOff>282850</xdr:rowOff>
    </xdr:to>
    <xdr:graphicFrame macro="">
      <xdr:nvGraphicFramePr>
        <xdr:cNvPr id="364" name="Diagramm 363">
          <a:extLst>
            <a:ext uri="{FF2B5EF4-FFF2-40B4-BE49-F238E27FC236}">
              <a16:creationId xmlns:a16="http://schemas.microsoft.com/office/drawing/2014/main" id="{00000000-0008-0000-1100-00006C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19</xdr:col>
      <xdr:colOff>28575</xdr:colOff>
      <xdr:row>23</xdr:row>
      <xdr:rowOff>19050</xdr:rowOff>
    </xdr:from>
    <xdr:to>
      <xdr:col>21</xdr:col>
      <xdr:colOff>66674</xdr:colOff>
      <xdr:row>27</xdr:row>
      <xdr:rowOff>254275</xdr:rowOff>
    </xdr:to>
    <xdr:graphicFrame macro="">
      <xdr:nvGraphicFramePr>
        <xdr:cNvPr id="365" name="Diagramm 364">
          <a:extLst>
            <a:ext uri="{FF2B5EF4-FFF2-40B4-BE49-F238E27FC236}">
              <a16:creationId xmlns:a16="http://schemas.microsoft.com/office/drawing/2014/main" id="{00000000-0008-0000-1100-00006D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19</xdr:col>
      <xdr:colOff>28575</xdr:colOff>
      <xdr:row>28</xdr:row>
      <xdr:rowOff>9525</xdr:rowOff>
    </xdr:from>
    <xdr:to>
      <xdr:col>21</xdr:col>
      <xdr:colOff>66674</xdr:colOff>
      <xdr:row>32</xdr:row>
      <xdr:rowOff>92350</xdr:rowOff>
    </xdr:to>
    <xdr:graphicFrame macro="">
      <xdr:nvGraphicFramePr>
        <xdr:cNvPr id="366" name="Diagramm 365">
          <a:extLst>
            <a:ext uri="{FF2B5EF4-FFF2-40B4-BE49-F238E27FC236}">
              <a16:creationId xmlns:a16="http://schemas.microsoft.com/office/drawing/2014/main" id="{00000000-0008-0000-1100-00006E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19</xdr:col>
      <xdr:colOff>28575</xdr:colOff>
      <xdr:row>32</xdr:row>
      <xdr:rowOff>9525</xdr:rowOff>
    </xdr:from>
    <xdr:to>
      <xdr:col>21</xdr:col>
      <xdr:colOff>66674</xdr:colOff>
      <xdr:row>36</xdr:row>
      <xdr:rowOff>244750</xdr:rowOff>
    </xdr:to>
    <xdr:graphicFrame macro="">
      <xdr:nvGraphicFramePr>
        <xdr:cNvPr id="367" name="Diagramm 366">
          <a:extLst>
            <a:ext uri="{FF2B5EF4-FFF2-40B4-BE49-F238E27FC236}">
              <a16:creationId xmlns:a16="http://schemas.microsoft.com/office/drawing/2014/main" id="{00000000-0008-0000-1100-00006F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19</xdr:col>
      <xdr:colOff>28575</xdr:colOff>
      <xdr:row>40</xdr:row>
      <xdr:rowOff>0</xdr:rowOff>
    </xdr:from>
    <xdr:to>
      <xdr:col>21</xdr:col>
      <xdr:colOff>66674</xdr:colOff>
      <xdr:row>44</xdr:row>
      <xdr:rowOff>235225</xdr:rowOff>
    </xdr:to>
    <xdr:graphicFrame macro="">
      <xdr:nvGraphicFramePr>
        <xdr:cNvPr id="368" name="Diagramm 367">
          <a:extLst>
            <a:ext uri="{FF2B5EF4-FFF2-40B4-BE49-F238E27FC236}">
              <a16:creationId xmlns:a16="http://schemas.microsoft.com/office/drawing/2014/main" id="{00000000-0008-0000-1100-000070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19</xdr:col>
      <xdr:colOff>28575</xdr:colOff>
      <xdr:row>45</xdr:row>
      <xdr:rowOff>9525</xdr:rowOff>
    </xdr:from>
    <xdr:to>
      <xdr:col>21</xdr:col>
      <xdr:colOff>66674</xdr:colOff>
      <xdr:row>48</xdr:row>
      <xdr:rowOff>644800</xdr:rowOff>
    </xdr:to>
    <xdr:graphicFrame macro="">
      <xdr:nvGraphicFramePr>
        <xdr:cNvPr id="369" name="Diagramm 368">
          <a:extLst>
            <a:ext uri="{FF2B5EF4-FFF2-40B4-BE49-F238E27FC236}">
              <a16:creationId xmlns:a16="http://schemas.microsoft.com/office/drawing/2014/main" id="{00000000-0008-0000-1100-000071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19</xdr:col>
      <xdr:colOff>28575</xdr:colOff>
      <xdr:row>49</xdr:row>
      <xdr:rowOff>19050</xdr:rowOff>
    </xdr:from>
    <xdr:to>
      <xdr:col>21</xdr:col>
      <xdr:colOff>66674</xdr:colOff>
      <xdr:row>53</xdr:row>
      <xdr:rowOff>254275</xdr:rowOff>
    </xdr:to>
    <xdr:graphicFrame macro="">
      <xdr:nvGraphicFramePr>
        <xdr:cNvPr id="370" name="Diagramm 369">
          <a:extLst>
            <a:ext uri="{FF2B5EF4-FFF2-40B4-BE49-F238E27FC236}">
              <a16:creationId xmlns:a16="http://schemas.microsoft.com/office/drawing/2014/main" id="{00000000-0008-0000-1100-000072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 editAs="oneCell">
    <xdr:from>
      <xdr:col>19</xdr:col>
      <xdr:colOff>28575</xdr:colOff>
      <xdr:row>54</xdr:row>
      <xdr:rowOff>0</xdr:rowOff>
    </xdr:from>
    <xdr:to>
      <xdr:col>21</xdr:col>
      <xdr:colOff>66674</xdr:colOff>
      <xdr:row>56</xdr:row>
      <xdr:rowOff>1035325</xdr:rowOff>
    </xdr:to>
    <xdr:graphicFrame macro="">
      <xdr:nvGraphicFramePr>
        <xdr:cNvPr id="371" name="Diagramm 370">
          <a:extLst>
            <a:ext uri="{FF2B5EF4-FFF2-40B4-BE49-F238E27FC236}">
              <a16:creationId xmlns:a16="http://schemas.microsoft.com/office/drawing/2014/main" id="{00000000-0008-0000-1100-000073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19048</xdr:colOff>
      <xdr:row>1</xdr:row>
      <xdr:rowOff>209550</xdr:rowOff>
    </xdr:from>
    <xdr:to>
      <xdr:col>5</xdr:col>
      <xdr:colOff>9524</xdr:colOff>
      <xdr:row>6</xdr:row>
      <xdr:rowOff>85725</xdr:rowOff>
    </xdr:to>
    <xdr:graphicFrame macro="">
      <xdr:nvGraphicFramePr>
        <xdr:cNvPr id="372" name="Diagramm 371">
          <a:extLst>
            <a:ext uri="{FF2B5EF4-FFF2-40B4-BE49-F238E27FC236}">
              <a16:creationId xmlns:a16="http://schemas.microsoft.com/office/drawing/2014/main" id="{00000000-0008-0000-1100-000074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1744980</xdr:colOff>
          <xdr:row>1</xdr:row>
          <xdr:rowOff>60960</xdr:rowOff>
        </xdr:from>
        <xdr:to>
          <xdr:col>21</xdr:col>
          <xdr:colOff>7620</xdr:colOff>
          <xdr:row>1</xdr:row>
          <xdr:rowOff>228600</xdr:rowOff>
        </xdr:to>
        <xdr:sp macro="" textlink="">
          <xdr:nvSpPr>
            <xdr:cNvPr id="39147" name="Drop Down 235" hidden="1">
              <a:extLst>
                <a:ext uri="{63B3BB69-23CF-44E3-9099-C40C66FF867C}">
                  <a14:compatExt spid="_x0000_s39147"/>
                </a:ext>
                <a:ext uri="{FF2B5EF4-FFF2-40B4-BE49-F238E27FC236}">
                  <a16:creationId xmlns:a16="http://schemas.microsoft.com/office/drawing/2014/main" id="{00000000-0008-0000-1100-0000EB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327660</xdr:colOff>
          <xdr:row>10</xdr:row>
          <xdr:rowOff>228600</xdr:rowOff>
        </xdr:from>
        <xdr:to>
          <xdr:col>27</xdr:col>
          <xdr:colOff>632460</xdr:colOff>
          <xdr:row>11</xdr:row>
          <xdr:rowOff>30480</xdr:rowOff>
        </xdr:to>
        <xdr:sp macro="" textlink="">
          <xdr:nvSpPr>
            <xdr:cNvPr id="39148" name="Group Box 236" hidden="1">
              <a:extLst>
                <a:ext uri="{63B3BB69-23CF-44E3-9099-C40C66FF867C}">
                  <a14:compatExt spid="_x0000_s39148"/>
                </a:ext>
                <a:ext uri="{FF2B5EF4-FFF2-40B4-BE49-F238E27FC236}">
                  <a16:creationId xmlns:a16="http://schemas.microsoft.com/office/drawing/2014/main" id="{00000000-0008-0000-1100-0000EC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419100</xdr:colOff>
          <xdr:row>0</xdr:row>
          <xdr:rowOff>15240</xdr:rowOff>
        </xdr:from>
        <xdr:to>
          <xdr:col>21</xdr:col>
          <xdr:colOff>3810</xdr:colOff>
          <xdr:row>0</xdr:row>
          <xdr:rowOff>548640</xdr:rowOff>
        </xdr:to>
        <xdr:pic>
          <xdr:nvPicPr>
            <xdr:cNvPr id="375" name="Grafik 45">
              <a:extLst>
                <a:ext uri="{FF2B5EF4-FFF2-40B4-BE49-F238E27FC236}">
                  <a16:creationId xmlns:a16="http://schemas.microsoft.com/office/drawing/2014/main" id="{00000000-0008-0000-1100-00007701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39155"/>
                </a:ext>
              </a:extLst>
            </xdr:cNvPicPr>
          </xdr:nvPicPr>
          <xdr:blipFill>
            <a:blip xmlns:r="http://schemas.openxmlformats.org/officeDocument/2006/relationships" r:embed="rId26"/>
            <a:srcRect/>
            <a:stretch>
              <a:fillRect/>
            </a:stretch>
          </xdr:blipFill>
          <xdr:spPr bwMode="auto">
            <a:xfrm>
              <a:off x="7741920" y="1524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11</xdr:row>
          <xdr:rowOff>19141</xdr:rowOff>
        </xdr:from>
        <xdr:to>
          <xdr:col>16</xdr:col>
          <xdr:colOff>76191</xdr:colOff>
          <xdr:row>11</xdr:row>
          <xdr:rowOff>222857</xdr:rowOff>
        </xdr:to>
        <xdr:grpSp>
          <xdr:nvGrpSpPr>
            <xdr:cNvPr id="2" name="Gruppieren 1">
              <a:extLst>
                <a:ext uri="{FF2B5EF4-FFF2-40B4-BE49-F238E27FC236}">
                  <a16:creationId xmlns:a16="http://schemas.microsoft.com/office/drawing/2014/main" id="{00000000-0008-0000-1200-000002000000}"/>
                </a:ext>
              </a:extLst>
            </xdr:cNvPr>
            <xdr:cNvGrpSpPr/>
          </xdr:nvGrpSpPr>
          <xdr:grpSpPr>
            <a:xfrm>
              <a:off x="4417688" y="2632801"/>
              <a:ext cx="2295523" cy="203716"/>
              <a:chOff x="3581259" y="2105148"/>
              <a:chExt cx="2247895" cy="276225"/>
            </a:xfrm>
          </xdr:grpSpPr>
          <xdr:sp macro="" textlink="">
            <xdr:nvSpPr>
              <xdr:cNvPr id="39937" name="Group Box 1" hidden="1">
                <a:extLst>
                  <a:ext uri="{63B3BB69-23CF-44E3-9099-C40C66FF867C}">
                    <a14:compatExt spid="_x0000_s39937"/>
                  </a:ext>
                  <a:ext uri="{FF2B5EF4-FFF2-40B4-BE49-F238E27FC236}">
                    <a16:creationId xmlns:a16="http://schemas.microsoft.com/office/drawing/2014/main" id="{00000000-0008-0000-1200-0000019C0000}"/>
                  </a:ext>
                </a:extLst>
              </xdr:cNvPr>
              <xdr:cNvSpPr/>
            </xdr:nvSpPr>
            <xdr:spPr bwMode="auto">
              <a:xfrm>
                <a:off x="3581259" y="2105148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38" name="Option Button 2" hidden="1">
                <a:extLst>
                  <a:ext uri="{63B3BB69-23CF-44E3-9099-C40C66FF867C}">
                    <a14:compatExt spid="_x0000_s39938"/>
                  </a:ext>
                  <a:ext uri="{FF2B5EF4-FFF2-40B4-BE49-F238E27FC236}">
                    <a16:creationId xmlns:a16="http://schemas.microsoft.com/office/drawing/2014/main" id="{00000000-0008-0000-1200-0000029C0000}"/>
                  </a:ext>
                </a:extLst>
              </xdr:cNvPr>
              <xdr:cNvSpPr/>
            </xdr:nvSpPr>
            <xdr:spPr bwMode="auto">
              <a:xfrm>
                <a:off x="3705226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39" name="Option Button 3" hidden="1">
                <a:extLst>
                  <a:ext uri="{63B3BB69-23CF-44E3-9099-C40C66FF867C}">
                    <a14:compatExt spid="_x0000_s39939"/>
                  </a:ext>
                  <a:ext uri="{FF2B5EF4-FFF2-40B4-BE49-F238E27FC236}">
                    <a16:creationId xmlns:a16="http://schemas.microsoft.com/office/drawing/2014/main" id="{00000000-0008-0000-1200-0000039C0000}"/>
                  </a:ext>
                </a:extLst>
              </xdr:cNvPr>
              <xdr:cNvSpPr/>
            </xdr:nvSpPr>
            <xdr:spPr bwMode="auto">
              <a:xfrm>
                <a:off x="4143376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0" name="Option Button 4" hidden="1">
                <a:extLst>
                  <a:ext uri="{63B3BB69-23CF-44E3-9099-C40C66FF867C}">
                    <a14:compatExt spid="_x0000_s39940"/>
                  </a:ext>
                  <a:ext uri="{FF2B5EF4-FFF2-40B4-BE49-F238E27FC236}">
                    <a16:creationId xmlns:a16="http://schemas.microsoft.com/office/drawing/2014/main" id="{00000000-0008-0000-1200-0000049C0000}"/>
                  </a:ext>
                </a:extLst>
              </xdr:cNvPr>
              <xdr:cNvSpPr/>
            </xdr:nvSpPr>
            <xdr:spPr bwMode="auto">
              <a:xfrm>
                <a:off x="4581525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1" name="Option Button 5" hidden="1">
                <a:extLst>
                  <a:ext uri="{63B3BB69-23CF-44E3-9099-C40C66FF867C}">
                    <a14:compatExt spid="_x0000_s39941"/>
                  </a:ext>
                  <a:ext uri="{FF2B5EF4-FFF2-40B4-BE49-F238E27FC236}">
                    <a16:creationId xmlns:a16="http://schemas.microsoft.com/office/drawing/2014/main" id="{00000000-0008-0000-1200-0000059C0000}"/>
                  </a:ext>
                </a:extLst>
              </xdr:cNvPr>
              <xdr:cNvSpPr/>
            </xdr:nvSpPr>
            <xdr:spPr bwMode="auto">
              <a:xfrm>
                <a:off x="5019675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2" name="Option Button 6" hidden="1">
                <a:extLst>
                  <a:ext uri="{63B3BB69-23CF-44E3-9099-C40C66FF867C}">
                    <a14:compatExt spid="_x0000_s39942"/>
                  </a:ext>
                  <a:ext uri="{FF2B5EF4-FFF2-40B4-BE49-F238E27FC236}">
                    <a16:creationId xmlns:a16="http://schemas.microsoft.com/office/drawing/2014/main" id="{00000000-0008-0000-1200-0000069C0000}"/>
                  </a:ext>
                </a:extLst>
              </xdr:cNvPr>
              <xdr:cNvSpPr/>
            </xdr:nvSpPr>
            <xdr:spPr bwMode="auto">
              <a:xfrm>
                <a:off x="5457824" y="2152648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66677</xdr:colOff>
          <xdr:row>12</xdr:row>
          <xdr:rowOff>28557</xdr:rowOff>
        </xdr:from>
        <xdr:to>
          <xdr:col>16</xdr:col>
          <xdr:colOff>76201</xdr:colOff>
          <xdr:row>12</xdr:row>
          <xdr:rowOff>232265</xdr:rowOff>
        </xdr:to>
        <xdr:grpSp>
          <xdr:nvGrpSpPr>
            <xdr:cNvPr id="9" name="Gruppieren 8">
              <a:extLst>
                <a:ext uri="{FF2B5EF4-FFF2-40B4-BE49-F238E27FC236}">
                  <a16:creationId xmlns:a16="http://schemas.microsoft.com/office/drawing/2014/main" id="{00000000-0008-0000-1200-000009000000}"/>
                </a:ext>
              </a:extLst>
            </xdr:cNvPr>
            <xdr:cNvGrpSpPr/>
          </xdr:nvGrpSpPr>
          <xdr:grpSpPr>
            <a:xfrm>
              <a:off x="4417697" y="3046077"/>
              <a:ext cx="2295524" cy="203708"/>
              <a:chOff x="3581395" y="2104457"/>
              <a:chExt cx="2247900" cy="276223"/>
            </a:xfrm>
          </xdr:grpSpPr>
          <xdr:sp macro="" textlink="">
            <xdr:nvSpPr>
              <xdr:cNvPr id="39943" name="Group Box 7" hidden="1">
                <a:extLst>
                  <a:ext uri="{63B3BB69-23CF-44E3-9099-C40C66FF867C}">
                    <a14:compatExt spid="_x0000_s39943"/>
                  </a:ext>
                  <a:ext uri="{FF2B5EF4-FFF2-40B4-BE49-F238E27FC236}">
                    <a16:creationId xmlns:a16="http://schemas.microsoft.com/office/drawing/2014/main" id="{00000000-0008-0000-1200-0000079C0000}"/>
                  </a:ext>
                </a:extLst>
              </xdr:cNvPr>
              <xdr:cNvSpPr/>
            </xdr:nvSpPr>
            <xdr:spPr bwMode="auto">
              <a:xfrm>
                <a:off x="3581395" y="2104457"/>
                <a:ext cx="2247900" cy="2762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44" name="Option Button 8" hidden="1">
                <a:extLst>
                  <a:ext uri="{63B3BB69-23CF-44E3-9099-C40C66FF867C}">
                    <a14:compatExt spid="_x0000_s39944"/>
                  </a:ext>
                  <a:ext uri="{FF2B5EF4-FFF2-40B4-BE49-F238E27FC236}">
                    <a16:creationId xmlns:a16="http://schemas.microsoft.com/office/drawing/2014/main" id="{00000000-0008-0000-1200-0000089C0000}"/>
                  </a:ext>
                </a:extLst>
              </xdr:cNvPr>
              <xdr:cNvSpPr/>
            </xdr:nvSpPr>
            <xdr:spPr bwMode="auto">
              <a:xfrm>
                <a:off x="370522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5" name="Option Button 9" hidden="1">
                <a:extLst>
                  <a:ext uri="{63B3BB69-23CF-44E3-9099-C40C66FF867C}">
                    <a14:compatExt spid="_x0000_s39945"/>
                  </a:ext>
                  <a:ext uri="{FF2B5EF4-FFF2-40B4-BE49-F238E27FC236}">
                    <a16:creationId xmlns:a16="http://schemas.microsoft.com/office/drawing/2014/main" id="{00000000-0008-0000-1200-0000099C0000}"/>
                  </a:ext>
                </a:extLst>
              </xdr:cNvPr>
              <xdr:cNvSpPr/>
            </xdr:nvSpPr>
            <xdr:spPr bwMode="auto">
              <a:xfrm>
                <a:off x="4143374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6" name="Option Button 10" hidden="1">
                <a:extLst>
                  <a:ext uri="{63B3BB69-23CF-44E3-9099-C40C66FF867C}">
                    <a14:compatExt spid="_x0000_s39946"/>
                  </a:ext>
                  <a:ext uri="{FF2B5EF4-FFF2-40B4-BE49-F238E27FC236}">
                    <a16:creationId xmlns:a16="http://schemas.microsoft.com/office/drawing/2014/main" id="{00000000-0008-0000-1200-00000A9C0000}"/>
                  </a:ext>
                </a:extLst>
              </xdr:cNvPr>
              <xdr:cNvSpPr/>
            </xdr:nvSpPr>
            <xdr:spPr bwMode="auto">
              <a:xfrm>
                <a:off x="4581526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7" name="Option Button 11" hidden="1">
                <a:extLst>
                  <a:ext uri="{63B3BB69-23CF-44E3-9099-C40C66FF867C}">
                    <a14:compatExt spid="_x0000_s39947"/>
                  </a:ext>
                  <a:ext uri="{FF2B5EF4-FFF2-40B4-BE49-F238E27FC236}">
                    <a16:creationId xmlns:a16="http://schemas.microsoft.com/office/drawing/2014/main" id="{00000000-0008-0000-1200-00000B9C0000}"/>
                  </a:ext>
                </a:extLst>
              </xdr:cNvPr>
              <xdr:cNvSpPr/>
            </xdr:nvSpPr>
            <xdr:spPr bwMode="auto">
              <a:xfrm>
                <a:off x="501967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48" name="Option Button 12" hidden="1">
                <a:extLst>
                  <a:ext uri="{63B3BB69-23CF-44E3-9099-C40C66FF867C}">
                    <a14:compatExt spid="_x0000_s39948"/>
                  </a:ext>
                  <a:ext uri="{FF2B5EF4-FFF2-40B4-BE49-F238E27FC236}">
                    <a16:creationId xmlns:a16="http://schemas.microsoft.com/office/drawing/2014/main" id="{00000000-0008-0000-1200-00000C9C0000}"/>
                  </a:ext>
                </a:extLst>
              </xdr:cNvPr>
              <xdr:cNvSpPr/>
            </xdr:nvSpPr>
            <xdr:spPr bwMode="auto">
              <a:xfrm>
                <a:off x="5457825" y="2152651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12</xdr:row>
          <xdr:rowOff>390633</xdr:rowOff>
        </xdr:from>
        <xdr:to>
          <xdr:col>16</xdr:col>
          <xdr:colOff>76191</xdr:colOff>
          <xdr:row>13</xdr:row>
          <xdr:rowOff>175063</xdr:rowOff>
        </xdr:to>
        <xdr:grpSp>
          <xdr:nvGrpSpPr>
            <xdr:cNvPr id="16" name="Gruppieren 15">
              <a:extLst>
                <a:ext uri="{FF2B5EF4-FFF2-40B4-BE49-F238E27FC236}">
                  <a16:creationId xmlns:a16="http://schemas.microsoft.com/office/drawing/2014/main" id="{00000000-0008-0000-1200-000010000000}"/>
                </a:ext>
              </a:extLst>
            </xdr:cNvPr>
            <xdr:cNvGrpSpPr/>
          </xdr:nvGrpSpPr>
          <xdr:grpSpPr>
            <a:xfrm>
              <a:off x="4417688" y="3408153"/>
              <a:ext cx="2295523" cy="188290"/>
              <a:chOff x="3581259" y="2105157"/>
              <a:chExt cx="2247895" cy="276225"/>
            </a:xfrm>
          </xdr:grpSpPr>
          <xdr:sp macro="" textlink="">
            <xdr:nvSpPr>
              <xdr:cNvPr id="39949" name="Group Box 13" hidden="1">
                <a:extLst>
                  <a:ext uri="{63B3BB69-23CF-44E3-9099-C40C66FF867C}">
                    <a14:compatExt spid="_x0000_s39949"/>
                  </a:ext>
                  <a:ext uri="{FF2B5EF4-FFF2-40B4-BE49-F238E27FC236}">
                    <a16:creationId xmlns:a16="http://schemas.microsoft.com/office/drawing/2014/main" id="{00000000-0008-0000-1200-00000D9C0000}"/>
                  </a:ext>
                </a:extLst>
              </xdr:cNvPr>
              <xdr:cNvSpPr/>
            </xdr:nvSpPr>
            <xdr:spPr bwMode="auto">
              <a:xfrm>
                <a:off x="3581259" y="2105157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0" name="Option Button 14" hidden="1">
                <a:extLst>
                  <a:ext uri="{63B3BB69-23CF-44E3-9099-C40C66FF867C}">
                    <a14:compatExt spid="_x0000_s39950"/>
                  </a:ext>
                  <a:ext uri="{FF2B5EF4-FFF2-40B4-BE49-F238E27FC236}">
                    <a16:creationId xmlns:a16="http://schemas.microsoft.com/office/drawing/2014/main" id="{00000000-0008-0000-1200-00000E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1" name="Option Button 15" hidden="1">
                <a:extLst>
                  <a:ext uri="{63B3BB69-23CF-44E3-9099-C40C66FF867C}">
                    <a14:compatExt spid="_x0000_s39951"/>
                  </a:ext>
                  <a:ext uri="{FF2B5EF4-FFF2-40B4-BE49-F238E27FC236}">
                    <a16:creationId xmlns:a16="http://schemas.microsoft.com/office/drawing/2014/main" id="{00000000-0008-0000-1200-00000F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2" name="Option Button 16" hidden="1">
                <a:extLst>
                  <a:ext uri="{63B3BB69-23CF-44E3-9099-C40C66FF867C}">
                    <a14:compatExt spid="_x0000_s39952"/>
                  </a:ext>
                  <a:ext uri="{FF2B5EF4-FFF2-40B4-BE49-F238E27FC236}">
                    <a16:creationId xmlns:a16="http://schemas.microsoft.com/office/drawing/2014/main" id="{00000000-0008-0000-1200-000010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3" name="Option Button 17" hidden="1">
                <a:extLst>
                  <a:ext uri="{63B3BB69-23CF-44E3-9099-C40C66FF867C}">
                    <a14:compatExt spid="_x0000_s39953"/>
                  </a:ext>
                  <a:ext uri="{FF2B5EF4-FFF2-40B4-BE49-F238E27FC236}">
                    <a16:creationId xmlns:a16="http://schemas.microsoft.com/office/drawing/2014/main" id="{00000000-0008-0000-1200-000011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4" name="Option Button 18" hidden="1">
                <a:extLst>
                  <a:ext uri="{63B3BB69-23CF-44E3-9099-C40C66FF867C}">
                    <a14:compatExt spid="_x0000_s39954"/>
                  </a:ext>
                  <a:ext uri="{FF2B5EF4-FFF2-40B4-BE49-F238E27FC236}">
                    <a16:creationId xmlns:a16="http://schemas.microsoft.com/office/drawing/2014/main" id="{00000000-0008-0000-1200-000012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29</xdr:row>
          <xdr:rowOff>19022</xdr:rowOff>
        </xdr:from>
        <xdr:to>
          <xdr:col>16</xdr:col>
          <xdr:colOff>76191</xdr:colOff>
          <xdr:row>29</xdr:row>
          <xdr:rowOff>188318</xdr:rowOff>
        </xdr:to>
        <xdr:grpSp>
          <xdr:nvGrpSpPr>
            <xdr:cNvPr id="23" name="Gruppieren 22">
              <a:extLst>
                <a:ext uri="{FF2B5EF4-FFF2-40B4-BE49-F238E27FC236}">
                  <a16:creationId xmlns:a16="http://schemas.microsoft.com/office/drawing/2014/main" id="{00000000-0008-0000-1200-000017000000}"/>
                </a:ext>
              </a:extLst>
            </xdr:cNvPr>
            <xdr:cNvGrpSpPr/>
          </xdr:nvGrpSpPr>
          <xdr:grpSpPr>
            <a:xfrm>
              <a:off x="4417688" y="9384002"/>
              <a:ext cx="2295523" cy="169296"/>
              <a:chOff x="3581259" y="2104732"/>
              <a:chExt cx="2247895" cy="276225"/>
            </a:xfrm>
          </xdr:grpSpPr>
          <xdr:sp macro="" textlink="">
            <xdr:nvSpPr>
              <xdr:cNvPr id="39955" name="Group Box 19" hidden="1">
                <a:extLst>
                  <a:ext uri="{63B3BB69-23CF-44E3-9099-C40C66FF867C}">
                    <a14:compatExt spid="_x0000_s39955"/>
                  </a:ext>
                  <a:ext uri="{FF2B5EF4-FFF2-40B4-BE49-F238E27FC236}">
                    <a16:creationId xmlns:a16="http://schemas.microsoft.com/office/drawing/2014/main" id="{00000000-0008-0000-1200-0000139C0000}"/>
                  </a:ext>
                </a:extLst>
              </xdr:cNvPr>
              <xdr:cNvSpPr/>
            </xdr:nvSpPr>
            <xdr:spPr bwMode="auto">
              <a:xfrm>
                <a:off x="3581259" y="2104732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56" name="Option Button 20" hidden="1">
                <a:extLst>
                  <a:ext uri="{63B3BB69-23CF-44E3-9099-C40C66FF867C}">
                    <a14:compatExt spid="_x0000_s39956"/>
                  </a:ext>
                  <a:ext uri="{FF2B5EF4-FFF2-40B4-BE49-F238E27FC236}">
                    <a16:creationId xmlns:a16="http://schemas.microsoft.com/office/drawing/2014/main" id="{00000000-0008-0000-1200-0000149C0000}"/>
                  </a:ext>
                </a:extLst>
              </xdr:cNvPr>
              <xdr:cNvSpPr/>
            </xdr:nvSpPr>
            <xdr:spPr bwMode="auto">
              <a:xfrm>
                <a:off x="3705226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7" name="Option Button 21" hidden="1">
                <a:extLst>
                  <a:ext uri="{63B3BB69-23CF-44E3-9099-C40C66FF867C}">
                    <a14:compatExt spid="_x0000_s39957"/>
                  </a:ext>
                  <a:ext uri="{FF2B5EF4-FFF2-40B4-BE49-F238E27FC236}">
                    <a16:creationId xmlns:a16="http://schemas.microsoft.com/office/drawing/2014/main" id="{00000000-0008-0000-1200-0000159C0000}"/>
                  </a:ext>
                </a:extLst>
              </xdr:cNvPr>
              <xdr:cNvSpPr/>
            </xdr:nvSpPr>
            <xdr:spPr bwMode="auto">
              <a:xfrm>
                <a:off x="4143376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8" name="Option Button 22" hidden="1">
                <a:extLst>
                  <a:ext uri="{63B3BB69-23CF-44E3-9099-C40C66FF867C}">
                    <a14:compatExt spid="_x0000_s39958"/>
                  </a:ext>
                  <a:ext uri="{FF2B5EF4-FFF2-40B4-BE49-F238E27FC236}">
                    <a16:creationId xmlns:a16="http://schemas.microsoft.com/office/drawing/2014/main" id="{00000000-0008-0000-1200-0000169C0000}"/>
                  </a:ext>
                </a:extLst>
              </xdr:cNvPr>
              <xdr:cNvSpPr/>
            </xdr:nvSpPr>
            <xdr:spPr bwMode="auto">
              <a:xfrm>
                <a:off x="4581525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59" name="Option Button 23" hidden="1">
                <a:extLst>
                  <a:ext uri="{63B3BB69-23CF-44E3-9099-C40C66FF867C}">
                    <a14:compatExt spid="_x0000_s39959"/>
                  </a:ext>
                  <a:ext uri="{FF2B5EF4-FFF2-40B4-BE49-F238E27FC236}">
                    <a16:creationId xmlns:a16="http://schemas.microsoft.com/office/drawing/2014/main" id="{00000000-0008-0000-1200-0000179C0000}"/>
                  </a:ext>
                </a:extLst>
              </xdr:cNvPr>
              <xdr:cNvSpPr/>
            </xdr:nvSpPr>
            <xdr:spPr bwMode="auto">
              <a:xfrm>
                <a:off x="5019675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0" name="Option Button 24" hidden="1">
                <a:extLst>
                  <a:ext uri="{63B3BB69-23CF-44E3-9099-C40C66FF867C}">
                    <a14:compatExt spid="_x0000_s39960"/>
                  </a:ext>
                  <a:ext uri="{FF2B5EF4-FFF2-40B4-BE49-F238E27FC236}">
                    <a16:creationId xmlns:a16="http://schemas.microsoft.com/office/drawing/2014/main" id="{00000000-0008-0000-1200-0000189C0000}"/>
                  </a:ext>
                </a:extLst>
              </xdr:cNvPr>
              <xdr:cNvSpPr/>
            </xdr:nvSpPr>
            <xdr:spPr bwMode="auto">
              <a:xfrm>
                <a:off x="5457824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10</xdr:row>
          <xdr:rowOff>18948</xdr:rowOff>
        </xdr:from>
        <xdr:to>
          <xdr:col>16</xdr:col>
          <xdr:colOff>66674</xdr:colOff>
          <xdr:row>10</xdr:row>
          <xdr:rowOff>222089</xdr:rowOff>
        </xdr:to>
        <xdr:grpSp>
          <xdr:nvGrpSpPr>
            <xdr:cNvPr id="30" name="Gruppieren 29">
              <a:extLst>
                <a:ext uri="{FF2B5EF4-FFF2-40B4-BE49-F238E27FC236}">
                  <a16:creationId xmlns:a16="http://schemas.microsoft.com/office/drawing/2014/main" id="{00000000-0008-0000-1200-00001E000000}"/>
                </a:ext>
              </a:extLst>
            </xdr:cNvPr>
            <xdr:cNvGrpSpPr/>
          </xdr:nvGrpSpPr>
          <xdr:grpSpPr>
            <a:xfrm>
              <a:off x="4408170" y="2236368"/>
              <a:ext cx="2295524" cy="203141"/>
              <a:chOff x="3581394" y="2104595"/>
              <a:chExt cx="2247900" cy="276226"/>
            </a:xfrm>
          </xdr:grpSpPr>
          <xdr:sp macro="" textlink="">
            <xdr:nvSpPr>
              <xdr:cNvPr id="39961" name="Group Box 25" hidden="1">
                <a:extLst>
                  <a:ext uri="{63B3BB69-23CF-44E3-9099-C40C66FF867C}">
                    <a14:compatExt spid="_x0000_s39961"/>
                  </a:ext>
                  <a:ext uri="{FF2B5EF4-FFF2-40B4-BE49-F238E27FC236}">
                    <a16:creationId xmlns:a16="http://schemas.microsoft.com/office/drawing/2014/main" id="{00000000-0008-0000-1200-0000199C0000}"/>
                  </a:ext>
                </a:extLst>
              </xdr:cNvPr>
              <xdr:cNvSpPr/>
            </xdr:nvSpPr>
            <xdr:spPr bwMode="auto">
              <a:xfrm>
                <a:off x="3581394" y="2104595"/>
                <a:ext cx="2247900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2" name="Option Button 26" hidden="1">
                <a:extLst>
                  <a:ext uri="{63B3BB69-23CF-44E3-9099-C40C66FF867C}">
                    <a14:compatExt spid="_x0000_s39962"/>
                  </a:ext>
                  <a:ext uri="{FF2B5EF4-FFF2-40B4-BE49-F238E27FC236}">
                    <a16:creationId xmlns:a16="http://schemas.microsoft.com/office/drawing/2014/main" id="{00000000-0008-0000-1200-00001A9C0000}"/>
                  </a:ext>
                </a:extLst>
              </xdr:cNvPr>
              <xdr:cNvSpPr/>
            </xdr:nvSpPr>
            <xdr:spPr bwMode="auto">
              <a:xfrm>
                <a:off x="3705225" y="215266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3" name="Option Button 27" hidden="1">
                <a:extLst>
                  <a:ext uri="{63B3BB69-23CF-44E3-9099-C40C66FF867C}">
                    <a14:compatExt spid="_x0000_s39963"/>
                  </a:ext>
                  <a:ext uri="{FF2B5EF4-FFF2-40B4-BE49-F238E27FC236}">
                    <a16:creationId xmlns:a16="http://schemas.microsoft.com/office/drawing/2014/main" id="{00000000-0008-0000-1200-00001B9C0000}"/>
                  </a:ext>
                </a:extLst>
              </xdr:cNvPr>
              <xdr:cNvSpPr/>
            </xdr:nvSpPr>
            <xdr:spPr bwMode="auto">
              <a:xfrm>
                <a:off x="4143376" y="215266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4" name="Option Button 28" hidden="1">
                <a:extLst>
                  <a:ext uri="{63B3BB69-23CF-44E3-9099-C40C66FF867C}">
                    <a14:compatExt spid="_x0000_s39964"/>
                  </a:ext>
                  <a:ext uri="{FF2B5EF4-FFF2-40B4-BE49-F238E27FC236}">
                    <a16:creationId xmlns:a16="http://schemas.microsoft.com/office/drawing/2014/main" id="{00000000-0008-0000-1200-00001C9C0000}"/>
                  </a:ext>
                </a:extLst>
              </xdr:cNvPr>
              <xdr:cNvSpPr/>
            </xdr:nvSpPr>
            <xdr:spPr bwMode="auto">
              <a:xfrm>
                <a:off x="4581526" y="215266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5" name="Option Button 29" hidden="1">
                <a:extLst>
                  <a:ext uri="{63B3BB69-23CF-44E3-9099-C40C66FF867C}">
                    <a14:compatExt spid="_x0000_s39965"/>
                  </a:ext>
                  <a:ext uri="{FF2B5EF4-FFF2-40B4-BE49-F238E27FC236}">
                    <a16:creationId xmlns:a16="http://schemas.microsoft.com/office/drawing/2014/main" id="{00000000-0008-0000-1200-00001D9C0000}"/>
                  </a:ext>
                </a:extLst>
              </xdr:cNvPr>
              <xdr:cNvSpPr/>
            </xdr:nvSpPr>
            <xdr:spPr bwMode="auto">
              <a:xfrm>
                <a:off x="5019673" y="215266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6" name="Option Button 30" hidden="1">
                <a:extLst>
                  <a:ext uri="{63B3BB69-23CF-44E3-9099-C40C66FF867C}">
                    <a14:compatExt spid="_x0000_s39966"/>
                  </a:ext>
                  <a:ext uri="{FF2B5EF4-FFF2-40B4-BE49-F238E27FC236}">
                    <a16:creationId xmlns:a16="http://schemas.microsoft.com/office/drawing/2014/main" id="{00000000-0008-0000-1200-00001E9C0000}"/>
                  </a:ext>
                </a:extLst>
              </xdr:cNvPr>
              <xdr:cNvSpPr/>
            </xdr:nvSpPr>
            <xdr:spPr bwMode="auto">
              <a:xfrm>
                <a:off x="5457824" y="215266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20</xdr:col>
      <xdr:colOff>1495425</xdr:colOff>
      <xdr:row>1</xdr:row>
      <xdr:rowOff>57150</xdr:rowOff>
    </xdr:from>
    <xdr:to>
      <xdr:col>20</xdr:col>
      <xdr:colOff>1668225</xdr:colOff>
      <xdr:row>1</xdr:row>
      <xdr:rowOff>229950</xdr:rowOff>
    </xdr:to>
    <xdr:grpSp>
      <xdr:nvGrpSpPr>
        <xdr:cNvPr id="37" name="Gruppieren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200-000025000000}"/>
            </a:ext>
          </a:extLst>
        </xdr:cNvPr>
        <xdr:cNvGrpSpPr/>
      </xdr:nvGrpSpPr>
      <xdr:grpSpPr>
        <a:xfrm>
          <a:off x="8665845" y="621030"/>
          <a:ext cx="172800" cy="172800"/>
          <a:chOff x="8105775" y="571500"/>
          <a:chExt cx="172800" cy="172800"/>
        </a:xfrm>
      </xdr:grpSpPr>
      <xdr:sp macro="" textlink="">
        <xdr:nvSpPr>
          <xdr:cNvPr id="38" name="Rechteck 37">
            <a:extLst>
              <a:ext uri="{FF2B5EF4-FFF2-40B4-BE49-F238E27FC236}">
                <a16:creationId xmlns:a16="http://schemas.microsoft.com/office/drawing/2014/main" id="{00000000-0008-0000-1200-000026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9" name="Textfeld 38">
            <a:extLst>
              <a:ext uri="{FF2B5EF4-FFF2-40B4-BE49-F238E27FC236}">
                <a16:creationId xmlns:a16="http://schemas.microsoft.com/office/drawing/2014/main" id="{00000000-0008-0000-1200-000027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19050</xdr:colOff>
      <xdr:row>7</xdr:row>
      <xdr:rowOff>38100</xdr:rowOff>
    </xdr:from>
    <xdr:to>
      <xdr:col>1</xdr:col>
      <xdr:colOff>44282</xdr:colOff>
      <xdr:row>10</xdr:row>
      <xdr:rowOff>171450</xdr:rowOff>
    </xdr:to>
    <xdr:pic>
      <xdr:nvPicPr>
        <xdr:cNvPr id="40" name="Picture 2">
          <a:extLst>
            <a:ext uri="{FF2B5EF4-FFF2-40B4-BE49-F238E27FC236}">
              <a16:creationId xmlns:a16="http://schemas.microsoft.com/office/drawing/2014/main" id="{00000000-0008-0000-1200-00002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9050" y="1876425"/>
          <a:ext cx="491957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</xdr:colOff>
      <xdr:row>16</xdr:row>
      <xdr:rowOff>200026</xdr:rowOff>
    </xdr:from>
    <xdr:to>
      <xdr:col>0</xdr:col>
      <xdr:colOff>447675</xdr:colOff>
      <xdr:row>18</xdr:row>
      <xdr:rowOff>116499</xdr:rowOff>
    </xdr:to>
    <xdr:pic>
      <xdr:nvPicPr>
        <xdr:cNvPr id="41" name="Picture 2">
          <a:extLst>
            <a:ext uri="{FF2B5EF4-FFF2-40B4-BE49-F238E27FC236}">
              <a16:creationId xmlns:a16="http://schemas.microsoft.com/office/drawing/2014/main" id="{00000000-0008-0000-1200-00002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9050" y="4762501"/>
          <a:ext cx="428625" cy="516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23</xdr:row>
          <xdr:rowOff>19116</xdr:rowOff>
        </xdr:from>
        <xdr:to>
          <xdr:col>16</xdr:col>
          <xdr:colOff>76191</xdr:colOff>
          <xdr:row>23</xdr:row>
          <xdr:rowOff>213121</xdr:rowOff>
        </xdr:to>
        <xdr:grpSp>
          <xdr:nvGrpSpPr>
            <xdr:cNvPr id="42" name="Gruppieren 41">
              <a:extLst>
                <a:ext uri="{FF2B5EF4-FFF2-40B4-BE49-F238E27FC236}">
                  <a16:creationId xmlns:a16="http://schemas.microsoft.com/office/drawing/2014/main" id="{00000000-0008-0000-1200-00002A000000}"/>
                </a:ext>
              </a:extLst>
            </xdr:cNvPr>
            <xdr:cNvGrpSpPr/>
          </xdr:nvGrpSpPr>
          <xdr:grpSpPr>
            <a:xfrm>
              <a:off x="4417688" y="7204776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39967" name="Group Box 31" hidden="1">
                <a:extLst>
                  <a:ext uri="{63B3BB69-23CF-44E3-9099-C40C66FF867C}">
                    <a14:compatExt spid="_x0000_s39967"/>
                  </a:ext>
                  <a:ext uri="{FF2B5EF4-FFF2-40B4-BE49-F238E27FC236}">
                    <a16:creationId xmlns:a16="http://schemas.microsoft.com/office/drawing/2014/main" id="{00000000-0008-0000-1200-00001F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68" name="Option Button 32" hidden="1">
                <a:extLst>
                  <a:ext uri="{63B3BB69-23CF-44E3-9099-C40C66FF867C}">
                    <a14:compatExt spid="_x0000_s39968"/>
                  </a:ext>
                  <a:ext uri="{FF2B5EF4-FFF2-40B4-BE49-F238E27FC236}">
                    <a16:creationId xmlns:a16="http://schemas.microsoft.com/office/drawing/2014/main" id="{00000000-0008-0000-1200-000020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69" name="Option Button 33" hidden="1">
                <a:extLst>
                  <a:ext uri="{63B3BB69-23CF-44E3-9099-C40C66FF867C}">
                    <a14:compatExt spid="_x0000_s39969"/>
                  </a:ext>
                  <a:ext uri="{FF2B5EF4-FFF2-40B4-BE49-F238E27FC236}">
                    <a16:creationId xmlns:a16="http://schemas.microsoft.com/office/drawing/2014/main" id="{00000000-0008-0000-1200-000021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0" name="Option Button 34" hidden="1">
                <a:extLst>
                  <a:ext uri="{63B3BB69-23CF-44E3-9099-C40C66FF867C}">
                    <a14:compatExt spid="_x0000_s39970"/>
                  </a:ext>
                  <a:ext uri="{FF2B5EF4-FFF2-40B4-BE49-F238E27FC236}">
                    <a16:creationId xmlns:a16="http://schemas.microsoft.com/office/drawing/2014/main" id="{00000000-0008-0000-1200-000022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1" name="Option Button 35" hidden="1">
                <a:extLst>
                  <a:ext uri="{63B3BB69-23CF-44E3-9099-C40C66FF867C}">
                    <a14:compatExt spid="_x0000_s39971"/>
                  </a:ext>
                  <a:ext uri="{FF2B5EF4-FFF2-40B4-BE49-F238E27FC236}">
                    <a16:creationId xmlns:a16="http://schemas.microsoft.com/office/drawing/2014/main" id="{00000000-0008-0000-1200-000023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2" name="Option Button 36" hidden="1">
                <a:extLst>
                  <a:ext uri="{63B3BB69-23CF-44E3-9099-C40C66FF867C}">
                    <a14:compatExt spid="_x0000_s39972"/>
                  </a:ext>
                  <a:ext uri="{FF2B5EF4-FFF2-40B4-BE49-F238E27FC236}">
                    <a16:creationId xmlns:a16="http://schemas.microsoft.com/office/drawing/2014/main" id="{00000000-0008-0000-1200-000024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24</xdr:row>
          <xdr:rowOff>9591</xdr:rowOff>
        </xdr:from>
        <xdr:to>
          <xdr:col>16</xdr:col>
          <xdr:colOff>76191</xdr:colOff>
          <xdr:row>24</xdr:row>
          <xdr:rowOff>203596</xdr:rowOff>
        </xdr:to>
        <xdr:grpSp>
          <xdr:nvGrpSpPr>
            <xdr:cNvPr id="49" name="Gruppieren 48">
              <a:extLst>
                <a:ext uri="{FF2B5EF4-FFF2-40B4-BE49-F238E27FC236}">
                  <a16:creationId xmlns:a16="http://schemas.microsoft.com/office/drawing/2014/main" id="{00000000-0008-0000-1200-000031000000}"/>
                </a:ext>
              </a:extLst>
            </xdr:cNvPr>
            <xdr:cNvGrpSpPr/>
          </xdr:nvGrpSpPr>
          <xdr:grpSpPr>
            <a:xfrm>
              <a:off x="4417688" y="7591491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39973" name="Group Box 37" hidden="1">
                <a:extLst>
                  <a:ext uri="{63B3BB69-23CF-44E3-9099-C40C66FF867C}">
                    <a14:compatExt spid="_x0000_s39973"/>
                  </a:ext>
                  <a:ext uri="{FF2B5EF4-FFF2-40B4-BE49-F238E27FC236}">
                    <a16:creationId xmlns:a16="http://schemas.microsoft.com/office/drawing/2014/main" id="{00000000-0008-0000-1200-000025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74" name="Option Button 38" hidden="1">
                <a:extLst>
                  <a:ext uri="{63B3BB69-23CF-44E3-9099-C40C66FF867C}">
                    <a14:compatExt spid="_x0000_s39974"/>
                  </a:ext>
                  <a:ext uri="{FF2B5EF4-FFF2-40B4-BE49-F238E27FC236}">
                    <a16:creationId xmlns:a16="http://schemas.microsoft.com/office/drawing/2014/main" id="{00000000-0008-0000-1200-000026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5" name="Option Button 39" hidden="1">
                <a:extLst>
                  <a:ext uri="{63B3BB69-23CF-44E3-9099-C40C66FF867C}">
                    <a14:compatExt spid="_x0000_s39975"/>
                  </a:ext>
                  <a:ext uri="{FF2B5EF4-FFF2-40B4-BE49-F238E27FC236}">
                    <a16:creationId xmlns:a16="http://schemas.microsoft.com/office/drawing/2014/main" id="{00000000-0008-0000-1200-000027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6" name="Option Button 40" hidden="1">
                <a:extLst>
                  <a:ext uri="{63B3BB69-23CF-44E3-9099-C40C66FF867C}">
                    <a14:compatExt spid="_x0000_s39976"/>
                  </a:ext>
                  <a:ext uri="{FF2B5EF4-FFF2-40B4-BE49-F238E27FC236}">
                    <a16:creationId xmlns:a16="http://schemas.microsoft.com/office/drawing/2014/main" id="{00000000-0008-0000-1200-000028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7" name="Option Button 41" hidden="1">
                <a:extLst>
                  <a:ext uri="{63B3BB69-23CF-44E3-9099-C40C66FF867C}">
                    <a14:compatExt spid="_x0000_s39977"/>
                  </a:ext>
                  <a:ext uri="{FF2B5EF4-FFF2-40B4-BE49-F238E27FC236}">
                    <a16:creationId xmlns:a16="http://schemas.microsoft.com/office/drawing/2014/main" id="{00000000-0008-0000-1200-000029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78" name="Option Button 42" hidden="1">
                <a:extLst>
                  <a:ext uri="{63B3BB69-23CF-44E3-9099-C40C66FF867C}">
                    <a14:compatExt spid="_x0000_s39978"/>
                  </a:ext>
                  <a:ext uri="{FF2B5EF4-FFF2-40B4-BE49-F238E27FC236}">
                    <a16:creationId xmlns:a16="http://schemas.microsoft.com/office/drawing/2014/main" id="{00000000-0008-0000-1200-00002A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25</xdr:row>
          <xdr:rowOff>9591</xdr:rowOff>
        </xdr:from>
        <xdr:to>
          <xdr:col>16</xdr:col>
          <xdr:colOff>76191</xdr:colOff>
          <xdr:row>25</xdr:row>
          <xdr:rowOff>203596</xdr:rowOff>
        </xdr:to>
        <xdr:grpSp>
          <xdr:nvGrpSpPr>
            <xdr:cNvPr id="56" name="Gruppieren 55">
              <a:extLst>
                <a:ext uri="{FF2B5EF4-FFF2-40B4-BE49-F238E27FC236}">
                  <a16:creationId xmlns:a16="http://schemas.microsoft.com/office/drawing/2014/main" id="{00000000-0008-0000-1200-000038000000}"/>
                </a:ext>
              </a:extLst>
            </xdr:cNvPr>
            <xdr:cNvGrpSpPr/>
          </xdr:nvGrpSpPr>
          <xdr:grpSpPr>
            <a:xfrm>
              <a:off x="4417688" y="7987731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39979" name="Group Box 43" hidden="1">
                <a:extLst>
                  <a:ext uri="{63B3BB69-23CF-44E3-9099-C40C66FF867C}">
                    <a14:compatExt spid="_x0000_s39979"/>
                  </a:ext>
                  <a:ext uri="{FF2B5EF4-FFF2-40B4-BE49-F238E27FC236}">
                    <a16:creationId xmlns:a16="http://schemas.microsoft.com/office/drawing/2014/main" id="{00000000-0008-0000-1200-00002B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80" name="Option Button 44" hidden="1">
                <a:extLst>
                  <a:ext uri="{63B3BB69-23CF-44E3-9099-C40C66FF867C}">
                    <a14:compatExt spid="_x0000_s39980"/>
                  </a:ext>
                  <a:ext uri="{FF2B5EF4-FFF2-40B4-BE49-F238E27FC236}">
                    <a16:creationId xmlns:a16="http://schemas.microsoft.com/office/drawing/2014/main" id="{00000000-0008-0000-1200-00002C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81" name="Option Button 45" hidden="1">
                <a:extLst>
                  <a:ext uri="{63B3BB69-23CF-44E3-9099-C40C66FF867C}">
                    <a14:compatExt spid="_x0000_s39981"/>
                  </a:ext>
                  <a:ext uri="{FF2B5EF4-FFF2-40B4-BE49-F238E27FC236}">
                    <a16:creationId xmlns:a16="http://schemas.microsoft.com/office/drawing/2014/main" id="{00000000-0008-0000-1200-00002D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82" name="Option Button 46" hidden="1">
                <a:extLst>
                  <a:ext uri="{63B3BB69-23CF-44E3-9099-C40C66FF867C}">
                    <a14:compatExt spid="_x0000_s39982"/>
                  </a:ext>
                  <a:ext uri="{FF2B5EF4-FFF2-40B4-BE49-F238E27FC236}">
                    <a16:creationId xmlns:a16="http://schemas.microsoft.com/office/drawing/2014/main" id="{00000000-0008-0000-1200-00002E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83" name="Option Button 47" hidden="1">
                <a:extLst>
                  <a:ext uri="{63B3BB69-23CF-44E3-9099-C40C66FF867C}">
                    <a14:compatExt spid="_x0000_s39983"/>
                  </a:ext>
                  <a:ext uri="{FF2B5EF4-FFF2-40B4-BE49-F238E27FC236}">
                    <a16:creationId xmlns:a16="http://schemas.microsoft.com/office/drawing/2014/main" id="{00000000-0008-0000-1200-00002F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84" name="Option Button 48" hidden="1">
                <a:extLst>
                  <a:ext uri="{63B3BB69-23CF-44E3-9099-C40C66FF867C}">
                    <a14:compatExt spid="_x0000_s39984"/>
                  </a:ext>
                  <a:ext uri="{FF2B5EF4-FFF2-40B4-BE49-F238E27FC236}">
                    <a16:creationId xmlns:a16="http://schemas.microsoft.com/office/drawing/2014/main" id="{00000000-0008-0000-1200-000030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0</xdr:colOff>
      <xdr:row>25</xdr:row>
      <xdr:rowOff>361951</xdr:rowOff>
    </xdr:from>
    <xdr:to>
      <xdr:col>1</xdr:col>
      <xdr:colOff>55245</xdr:colOff>
      <xdr:row>27</xdr:row>
      <xdr:rowOff>180976</xdr:rowOff>
    </xdr:to>
    <xdr:pic>
      <xdr:nvPicPr>
        <xdr:cNvPr id="63" name="Picture 2">
          <a:extLst>
            <a:ext uri="{FF2B5EF4-FFF2-40B4-BE49-F238E27FC236}">
              <a16:creationId xmlns:a16="http://schemas.microsoft.com/office/drawing/2014/main" id="{00000000-0008-0000-1200-00003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0" y="8324851"/>
          <a:ext cx="52197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30</xdr:row>
      <xdr:rowOff>1</xdr:rowOff>
    </xdr:from>
    <xdr:to>
      <xdr:col>1</xdr:col>
      <xdr:colOff>62865</xdr:colOff>
      <xdr:row>31</xdr:row>
      <xdr:rowOff>314326</xdr:rowOff>
    </xdr:to>
    <xdr:pic>
      <xdr:nvPicPr>
        <xdr:cNvPr id="64" name="Picture 2">
          <a:extLst>
            <a:ext uri="{FF2B5EF4-FFF2-40B4-BE49-F238E27FC236}">
              <a16:creationId xmlns:a16="http://schemas.microsoft.com/office/drawing/2014/main" id="{00000000-0008-0000-1200-00004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66675" y="10515601"/>
          <a:ext cx="46291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39</xdr:row>
      <xdr:rowOff>0</xdr:rowOff>
    </xdr:from>
    <xdr:to>
      <xdr:col>0</xdr:col>
      <xdr:colOff>440263</xdr:colOff>
      <xdr:row>40</xdr:row>
      <xdr:rowOff>152400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id="{00000000-0008-0000-1200-00004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" y="13916025"/>
          <a:ext cx="440262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38</xdr:row>
          <xdr:rowOff>9591</xdr:rowOff>
        </xdr:from>
        <xdr:to>
          <xdr:col>16</xdr:col>
          <xdr:colOff>76191</xdr:colOff>
          <xdr:row>38</xdr:row>
          <xdr:rowOff>203596</xdr:rowOff>
        </xdr:to>
        <xdr:grpSp>
          <xdr:nvGrpSpPr>
            <xdr:cNvPr id="66" name="Gruppieren 65">
              <a:extLst>
                <a:ext uri="{FF2B5EF4-FFF2-40B4-BE49-F238E27FC236}">
                  <a16:creationId xmlns:a16="http://schemas.microsoft.com/office/drawing/2014/main" id="{00000000-0008-0000-1200-000042000000}"/>
                </a:ext>
              </a:extLst>
            </xdr:cNvPr>
            <xdr:cNvGrpSpPr/>
          </xdr:nvGrpSpPr>
          <xdr:grpSpPr>
            <a:xfrm>
              <a:off x="4417688" y="13496991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39985" name="Group Box 49" hidden="1">
                <a:extLst>
                  <a:ext uri="{63B3BB69-23CF-44E3-9099-C40C66FF867C}">
                    <a14:compatExt spid="_x0000_s39985"/>
                  </a:ext>
                  <a:ext uri="{FF2B5EF4-FFF2-40B4-BE49-F238E27FC236}">
                    <a16:creationId xmlns:a16="http://schemas.microsoft.com/office/drawing/2014/main" id="{00000000-0008-0000-1200-000031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86" name="Option Button 50" hidden="1">
                <a:extLst>
                  <a:ext uri="{63B3BB69-23CF-44E3-9099-C40C66FF867C}">
                    <a14:compatExt spid="_x0000_s39986"/>
                  </a:ext>
                  <a:ext uri="{FF2B5EF4-FFF2-40B4-BE49-F238E27FC236}">
                    <a16:creationId xmlns:a16="http://schemas.microsoft.com/office/drawing/2014/main" id="{00000000-0008-0000-1200-000032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87" name="Option Button 51" hidden="1">
                <a:extLst>
                  <a:ext uri="{63B3BB69-23CF-44E3-9099-C40C66FF867C}">
                    <a14:compatExt spid="_x0000_s39987"/>
                  </a:ext>
                  <a:ext uri="{FF2B5EF4-FFF2-40B4-BE49-F238E27FC236}">
                    <a16:creationId xmlns:a16="http://schemas.microsoft.com/office/drawing/2014/main" id="{00000000-0008-0000-1200-000033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88" name="Option Button 52" hidden="1">
                <a:extLst>
                  <a:ext uri="{63B3BB69-23CF-44E3-9099-C40C66FF867C}">
                    <a14:compatExt spid="_x0000_s39988"/>
                  </a:ext>
                  <a:ext uri="{FF2B5EF4-FFF2-40B4-BE49-F238E27FC236}">
                    <a16:creationId xmlns:a16="http://schemas.microsoft.com/office/drawing/2014/main" id="{00000000-0008-0000-1200-000034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89" name="Option Button 53" hidden="1">
                <a:extLst>
                  <a:ext uri="{63B3BB69-23CF-44E3-9099-C40C66FF867C}">
                    <a14:compatExt spid="_x0000_s39989"/>
                  </a:ext>
                  <a:ext uri="{FF2B5EF4-FFF2-40B4-BE49-F238E27FC236}">
                    <a16:creationId xmlns:a16="http://schemas.microsoft.com/office/drawing/2014/main" id="{00000000-0008-0000-1200-000035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90" name="Option Button 54" hidden="1">
                <a:extLst>
                  <a:ext uri="{63B3BB69-23CF-44E3-9099-C40C66FF867C}">
                    <a14:compatExt spid="_x0000_s39990"/>
                  </a:ext>
                  <a:ext uri="{FF2B5EF4-FFF2-40B4-BE49-F238E27FC236}">
                    <a16:creationId xmlns:a16="http://schemas.microsoft.com/office/drawing/2014/main" id="{00000000-0008-0000-1200-000036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43</xdr:row>
          <xdr:rowOff>19053</xdr:rowOff>
        </xdr:from>
        <xdr:to>
          <xdr:col>16</xdr:col>
          <xdr:colOff>76181</xdr:colOff>
          <xdr:row>43</xdr:row>
          <xdr:rowOff>194786</xdr:rowOff>
        </xdr:to>
        <xdr:grpSp>
          <xdr:nvGrpSpPr>
            <xdr:cNvPr id="73" name="Gruppieren 72">
              <a:extLst>
                <a:ext uri="{FF2B5EF4-FFF2-40B4-BE49-F238E27FC236}">
                  <a16:creationId xmlns:a16="http://schemas.microsoft.com/office/drawing/2014/main" id="{00000000-0008-0000-1200-000049000000}"/>
                </a:ext>
              </a:extLst>
            </xdr:cNvPr>
            <xdr:cNvGrpSpPr/>
          </xdr:nvGrpSpPr>
          <xdr:grpSpPr>
            <a:xfrm>
              <a:off x="4417682" y="15289533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39991" name="Group Box 55" hidden="1">
                <a:extLst>
                  <a:ext uri="{63B3BB69-23CF-44E3-9099-C40C66FF867C}">
                    <a14:compatExt spid="_x0000_s39991"/>
                  </a:ext>
                  <a:ext uri="{FF2B5EF4-FFF2-40B4-BE49-F238E27FC236}">
                    <a16:creationId xmlns:a16="http://schemas.microsoft.com/office/drawing/2014/main" id="{00000000-0008-0000-1200-0000379C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92" name="Option Button 56" hidden="1">
                <a:extLst>
                  <a:ext uri="{63B3BB69-23CF-44E3-9099-C40C66FF867C}">
                    <a14:compatExt spid="_x0000_s39992"/>
                  </a:ext>
                  <a:ext uri="{FF2B5EF4-FFF2-40B4-BE49-F238E27FC236}">
                    <a16:creationId xmlns:a16="http://schemas.microsoft.com/office/drawing/2014/main" id="{00000000-0008-0000-1200-0000389C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93" name="Option Button 57" hidden="1">
                <a:extLst>
                  <a:ext uri="{63B3BB69-23CF-44E3-9099-C40C66FF867C}">
                    <a14:compatExt spid="_x0000_s39993"/>
                  </a:ext>
                  <a:ext uri="{FF2B5EF4-FFF2-40B4-BE49-F238E27FC236}">
                    <a16:creationId xmlns:a16="http://schemas.microsoft.com/office/drawing/2014/main" id="{00000000-0008-0000-1200-0000399C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94" name="Option Button 58" hidden="1">
                <a:extLst>
                  <a:ext uri="{63B3BB69-23CF-44E3-9099-C40C66FF867C}">
                    <a14:compatExt spid="_x0000_s39994"/>
                  </a:ext>
                  <a:ext uri="{FF2B5EF4-FFF2-40B4-BE49-F238E27FC236}">
                    <a16:creationId xmlns:a16="http://schemas.microsoft.com/office/drawing/2014/main" id="{00000000-0008-0000-1200-00003A9C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95" name="Option Button 59" hidden="1">
                <a:extLst>
                  <a:ext uri="{63B3BB69-23CF-44E3-9099-C40C66FF867C}">
                    <a14:compatExt spid="_x0000_s39995"/>
                  </a:ext>
                  <a:ext uri="{FF2B5EF4-FFF2-40B4-BE49-F238E27FC236}">
                    <a16:creationId xmlns:a16="http://schemas.microsoft.com/office/drawing/2014/main" id="{00000000-0008-0000-1200-00003B9C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96" name="Option Button 60" hidden="1">
                <a:extLst>
                  <a:ext uri="{63B3BB69-23CF-44E3-9099-C40C66FF867C}">
                    <a14:compatExt spid="_x0000_s39996"/>
                  </a:ext>
                  <a:ext uri="{FF2B5EF4-FFF2-40B4-BE49-F238E27FC236}">
                    <a16:creationId xmlns:a16="http://schemas.microsoft.com/office/drawing/2014/main" id="{00000000-0008-0000-1200-00003C9C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46</xdr:row>
          <xdr:rowOff>28578</xdr:rowOff>
        </xdr:from>
        <xdr:to>
          <xdr:col>16</xdr:col>
          <xdr:colOff>76181</xdr:colOff>
          <xdr:row>46</xdr:row>
          <xdr:rowOff>204311</xdr:rowOff>
        </xdr:to>
        <xdr:grpSp>
          <xdr:nvGrpSpPr>
            <xdr:cNvPr id="80" name="Gruppieren 79">
              <a:extLst>
                <a:ext uri="{FF2B5EF4-FFF2-40B4-BE49-F238E27FC236}">
                  <a16:creationId xmlns:a16="http://schemas.microsoft.com/office/drawing/2014/main" id="{00000000-0008-0000-1200-000050000000}"/>
                </a:ext>
              </a:extLst>
            </xdr:cNvPr>
            <xdr:cNvGrpSpPr/>
          </xdr:nvGrpSpPr>
          <xdr:grpSpPr>
            <a:xfrm>
              <a:off x="4417682" y="16487778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39997" name="Group Box 61" hidden="1">
                <a:extLst>
                  <a:ext uri="{63B3BB69-23CF-44E3-9099-C40C66FF867C}">
                    <a14:compatExt spid="_x0000_s39997"/>
                  </a:ext>
                  <a:ext uri="{FF2B5EF4-FFF2-40B4-BE49-F238E27FC236}">
                    <a16:creationId xmlns:a16="http://schemas.microsoft.com/office/drawing/2014/main" id="{00000000-0008-0000-1200-00003D9C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39998" name="Option Button 62" hidden="1">
                <a:extLst>
                  <a:ext uri="{63B3BB69-23CF-44E3-9099-C40C66FF867C}">
                    <a14:compatExt spid="_x0000_s39998"/>
                  </a:ext>
                  <a:ext uri="{FF2B5EF4-FFF2-40B4-BE49-F238E27FC236}">
                    <a16:creationId xmlns:a16="http://schemas.microsoft.com/office/drawing/2014/main" id="{00000000-0008-0000-1200-00003E9C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39999" name="Option Button 63" hidden="1">
                <a:extLst>
                  <a:ext uri="{63B3BB69-23CF-44E3-9099-C40C66FF867C}">
                    <a14:compatExt spid="_x0000_s39999"/>
                  </a:ext>
                  <a:ext uri="{FF2B5EF4-FFF2-40B4-BE49-F238E27FC236}">
                    <a16:creationId xmlns:a16="http://schemas.microsoft.com/office/drawing/2014/main" id="{00000000-0008-0000-1200-00003F9C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00" name="Option Button 64" hidden="1">
                <a:extLst>
                  <a:ext uri="{63B3BB69-23CF-44E3-9099-C40C66FF867C}">
                    <a14:compatExt spid="_x0000_s40000"/>
                  </a:ext>
                  <a:ext uri="{FF2B5EF4-FFF2-40B4-BE49-F238E27FC236}">
                    <a16:creationId xmlns:a16="http://schemas.microsoft.com/office/drawing/2014/main" id="{00000000-0008-0000-1200-0000409C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01" name="Option Button 65" hidden="1">
                <a:extLst>
                  <a:ext uri="{63B3BB69-23CF-44E3-9099-C40C66FF867C}">
                    <a14:compatExt spid="_x0000_s40001"/>
                  </a:ext>
                  <a:ext uri="{FF2B5EF4-FFF2-40B4-BE49-F238E27FC236}">
                    <a16:creationId xmlns:a16="http://schemas.microsoft.com/office/drawing/2014/main" id="{00000000-0008-0000-1200-0000419C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02" name="Option Button 66" hidden="1">
                <a:extLst>
                  <a:ext uri="{63B3BB69-23CF-44E3-9099-C40C66FF867C}">
                    <a14:compatExt spid="_x0000_s40002"/>
                  </a:ext>
                  <a:ext uri="{FF2B5EF4-FFF2-40B4-BE49-F238E27FC236}">
                    <a16:creationId xmlns:a16="http://schemas.microsoft.com/office/drawing/2014/main" id="{00000000-0008-0000-1200-0000429C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28576</xdr:colOff>
      <xdr:row>46</xdr:row>
      <xdr:rowOff>361950</xdr:rowOff>
    </xdr:from>
    <xdr:to>
      <xdr:col>1</xdr:col>
      <xdr:colOff>1</xdr:colOff>
      <xdr:row>48</xdr:row>
      <xdr:rowOff>190898</xdr:rowOff>
    </xdr:to>
    <xdr:pic>
      <xdr:nvPicPr>
        <xdr:cNvPr id="87" name="Picture 2">
          <a:extLst>
            <a:ext uri="{FF2B5EF4-FFF2-40B4-BE49-F238E27FC236}">
              <a16:creationId xmlns:a16="http://schemas.microsoft.com/office/drawing/2014/main" id="{00000000-0008-0000-1200-00005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8576" y="16878300"/>
          <a:ext cx="438150" cy="42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49</xdr:row>
          <xdr:rowOff>9591</xdr:rowOff>
        </xdr:from>
        <xdr:to>
          <xdr:col>16</xdr:col>
          <xdr:colOff>76191</xdr:colOff>
          <xdr:row>49</xdr:row>
          <xdr:rowOff>203596</xdr:rowOff>
        </xdr:to>
        <xdr:grpSp>
          <xdr:nvGrpSpPr>
            <xdr:cNvPr id="88" name="Gruppieren 87">
              <a:extLst>
                <a:ext uri="{FF2B5EF4-FFF2-40B4-BE49-F238E27FC236}">
                  <a16:creationId xmlns:a16="http://schemas.microsoft.com/office/drawing/2014/main" id="{00000000-0008-0000-1200-000058000000}"/>
                </a:ext>
              </a:extLst>
            </xdr:cNvPr>
            <xdr:cNvGrpSpPr/>
          </xdr:nvGrpSpPr>
          <xdr:grpSpPr>
            <a:xfrm>
              <a:off x="4417688" y="17459391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003" name="Group Box 67" hidden="1">
                <a:extLst>
                  <a:ext uri="{63B3BB69-23CF-44E3-9099-C40C66FF867C}">
                    <a14:compatExt spid="_x0000_s40003"/>
                  </a:ext>
                  <a:ext uri="{FF2B5EF4-FFF2-40B4-BE49-F238E27FC236}">
                    <a16:creationId xmlns:a16="http://schemas.microsoft.com/office/drawing/2014/main" id="{00000000-0008-0000-1200-000043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04" name="Option Button 68" hidden="1">
                <a:extLst>
                  <a:ext uri="{63B3BB69-23CF-44E3-9099-C40C66FF867C}">
                    <a14:compatExt spid="_x0000_s40004"/>
                  </a:ext>
                  <a:ext uri="{FF2B5EF4-FFF2-40B4-BE49-F238E27FC236}">
                    <a16:creationId xmlns:a16="http://schemas.microsoft.com/office/drawing/2014/main" id="{00000000-0008-0000-1200-000044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05" name="Option Button 69" hidden="1">
                <a:extLst>
                  <a:ext uri="{63B3BB69-23CF-44E3-9099-C40C66FF867C}">
                    <a14:compatExt spid="_x0000_s40005"/>
                  </a:ext>
                  <a:ext uri="{FF2B5EF4-FFF2-40B4-BE49-F238E27FC236}">
                    <a16:creationId xmlns:a16="http://schemas.microsoft.com/office/drawing/2014/main" id="{00000000-0008-0000-1200-000045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06" name="Option Button 70" hidden="1">
                <a:extLst>
                  <a:ext uri="{63B3BB69-23CF-44E3-9099-C40C66FF867C}">
                    <a14:compatExt spid="_x0000_s40006"/>
                  </a:ext>
                  <a:ext uri="{FF2B5EF4-FFF2-40B4-BE49-F238E27FC236}">
                    <a16:creationId xmlns:a16="http://schemas.microsoft.com/office/drawing/2014/main" id="{00000000-0008-0000-1200-000046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07" name="Option Button 71" hidden="1">
                <a:extLst>
                  <a:ext uri="{63B3BB69-23CF-44E3-9099-C40C66FF867C}">
                    <a14:compatExt spid="_x0000_s40007"/>
                  </a:ext>
                  <a:ext uri="{FF2B5EF4-FFF2-40B4-BE49-F238E27FC236}">
                    <a16:creationId xmlns:a16="http://schemas.microsoft.com/office/drawing/2014/main" id="{00000000-0008-0000-1200-000047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08" name="Option Button 72" hidden="1">
                <a:extLst>
                  <a:ext uri="{63B3BB69-23CF-44E3-9099-C40C66FF867C}">
                    <a14:compatExt spid="_x0000_s40008"/>
                  </a:ext>
                  <a:ext uri="{FF2B5EF4-FFF2-40B4-BE49-F238E27FC236}">
                    <a16:creationId xmlns:a16="http://schemas.microsoft.com/office/drawing/2014/main" id="{00000000-0008-0000-1200-000048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50</xdr:row>
          <xdr:rowOff>66</xdr:rowOff>
        </xdr:from>
        <xdr:to>
          <xdr:col>16</xdr:col>
          <xdr:colOff>76191</xdr:colOff>
          <xdr:row>50</xdr:row>
          <xdr:rowOff>194071</xdr:rowOff>
        </xdr:to>
        <xdr:grpSp>
          <xdr:nvGrpSpPr>
            <xdr:cNvPr id="95" name="Gruppieren 94">
              <a:extLst>
                <a:ext uri="{FF2B5EF4-FFF2-40B4-BE49-F238E27FC236}">
                  <a16:creationId xmlns:a16="http://schemas.microsoft.com/office/drawing/2014/main" id="{00000000-0008-0000-1200-00005F000000}"/>
                </a:ext>
              </a:extLst>
            </xdr:cNvPr>
            <xdr:cNvGrpSpPr/>
          </xdr:nvGrpSpPr>
          <xdr:grpSpPr>
            <a:xfrm>
              <a:off x="4417688" y="17846106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009" name="Group Box 73" hidden="1">
                <a:extLst>
                  <a:ext uri="{63B3BB69-23CF-44E3-9099-C40C66FF867C}">
                    <a14:compatExt spid="_x0000_s40009"/>
                  </a:ext>
                  <a:ext uri="{FF2B5EF4-FFF2-40B4-BE49-F238E27FC236}">
                    <a16:creationId xmlns:a16="http://schemas.microsoft.com/office/drawing/2014/main" id="{00000000-0008-0000-1200-000049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10" name="Option Button 74" hidden="1">
                <a:extLst>
                  <a:ext uri="{63B3BB69-23CF-44E3-9099-C40C66FF867C}">
                    <a14:compatExt spid="_x0000_s40010"/>
                  </a:ext>
                  <a:ext uri="{FF2B5EF4-FFF2-40B4-BE49-F238E27FC236}">
                    <a16:creationId xmlns:a16="http://schemas.microsoft.com/office/drawing/2014/main" id="{00000000-0008-0000-1200-00004A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11" name="Option Button 75" hidden="1">
                <a:extLst>
                  <a:ext uri="{63B3BB69-23CF-44E3-9099-C40C66FF867C}">
                    <a14:compatExt spid="_x0000_s40011"/>
                  </a:ext>
                  <a:ext uri="{FF2B5EF4-FFF2-40B4-BE49-F238E27FC236}">
                    <a16:creationId xmlns:a16="http://schemas.microsoft.com/office/drawing/2014/main" id="{00000000-0008-0000-1200-00004B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12" name="Option Button 76" hidden="1">
                <a:extLst>
                  <a:ext uri="{63B3BB69-23CF-44E3-9099-C40C66FF867C}">
                    <a14:compatExt spid="_x0000_s40012"/>
                  </a:ext>
                  <a:ext uri="{FF2B5EF4-FFF2-40B4-BE49-F238E27FC236}">
                    <a16:creationId xmlns:a16="http://schemas.microsoft.com/office/drawing/2014/main" id="{00000000-0008-0000-1200-00004C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13" name="Option Button 77" hidden="1">
                <a:extLst>
                  <a:ext uri="{63B3BB69-23CF-44E3-9099-C40C66FF867C}">
                    <a14:compatExt spid="_x0000_s40013"/>
                  </a:ext>
                  <a:ext uri="{FF2B5EF4-FFF2-40B4-BE49-F238E27FC236}">
                    <a16:creationId xmlns:a16="http://schemas.microsoft.com/office/drawing/2014/main" id="{00000000-0008-0000-1200-00004D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14" name="Option Button 78" hidden="1">
                <a:extLst>
                  <a:ext uri="{63B3BB69-23CF-44E3-9099-C40C66FF867C}">
                    <a14:compatExt spid="_x0000_s40014"/>
                  </a:ext>
                  <a:ext uri="{FF2B5EF4-FFF2-40B4-BE49-F238E27FC236}">
                    <a16:creationId xmlns:a16="http://schemas.microsoft.com/office/drawing/2014/main" id="{00000000-0008-0000-1200-00004E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28575</xdr:colOff>
      <xdr:row>54</xdr:row>
      <xdr:rowOff>180975</xdr:rowOff>
    </xdr:from>
    <xdr:to>
      <xdr:col>1</xdr:col>
      <xdr:colOff>9525</xdr:colOff>
      <xdr:row>56</xdr:row>
      <xdr:rowOff>227291</xdr:rowOff>
    </xdr:to>
    <xdr:pic>
      <xdr:nvPicPr>
        <xdr:cNvPr id="102" name="Picture 2">
          <a:extLst>
            <a:ext uri="{FF2B5EF4-FFF2-40B4-BE49-F238E27FC236}">
              <a16:creationId xmlns:a16="http://schemas.microsoft.com/office/drawing/2014/main" id="{00000000-0008-0000-1200-00006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8575" y="19697700"/>
          <a:ext cx="447675" cy="646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54</xdr:row>
          <xdr:rowOff>9591</xdr:rowOff>
        </xdr:from>
        <xdr:to>
          <xdr:col>16</xdr:col>
          <xdr:colOff>76191</xdr:colOff>
          <xdr:row>54</xdr:row>
          <xdr:rowOff>203596</xdr:rowOff>
        </xdr:to>
        <xdr:grpSp>
          <xdr:nvGrpSpPr>
            <xdr:cNvPr id="103" name="Gruppieren 102">
              <a:extLst>
                <a:ext uri="{FF2B5EF4-FFF2-40B4-BE49-F238E27FC236}">
                  <a16:creationId xmlns:a16="http://schemas.microsoft.com/office/drawing/2014/main" id="{00000000-0008-0000-1200-000067000000}"/>
                </a:ext>
              </a:extLst>
            </xdr:cNvPr>
            <xdr:cNvGrpSpPr/>
          </xdr:nvGrpSpPr>
          <xdr:grpSpPr>
            <a:xfrm>
              <a:off x="4417688" y="19440591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015" name="Group Box 79" hidden="1">
                <a:extLst>
                  <a:ext uri="{63B3BB69-23CF-44E3-9099-C40C66FF867C}">
                    <a14:compatExt spid="_x0000_s40015"/>
                  </a:ext>
                  <a:ext uri="{FF2B5EF4-FFF2-40B4-BE49-F238E27FC236}">
                    <a16:creationId xmlns:a16="http://schemas.microsoft.com/office/drawing/2014/main" id="{00000000-0008-0000-1200-00004F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16" name="Option Button 80" hidden="1">
                <a:extLst>
                  <a:ext uri="{63B3BB69-23CF-44E3-9099-C40C66FF867C}">
                    <a14:compatExt spid="_x0000_s40016"/>
                  </a:ext>
                  <a:ext uri="{FF2B5EF4-FFF2-40B4-BE49-F238E27FC236}">
                    <a16:creationId xmlns:a16="http://schemas.microsoft.com/office/drawing/2014/main" id="{00000000-0008-0000-1200-000050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17" name="Option Button 81" hidden="1">
                <a:extLst>
                  <a:ext uri="{63B3BB69-23CF-44E3-9099-C40C66FF867C}">
                    <a14:compatExt spid="_x0000_s40017"/>
                  </a:ext>
                  <a:ext uri="{FF2B5EF4-FFF2-40B4-BE49-F238E27FC236}">
                    <a16:creationId xmlns:a16="http://schemas.microsoft.com/office/drawing/2014/main" id="{00000000-0008-0000-1200-000051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18" name="Option Button 82" hidden="1">
                <a:extLst>
                  <a:ext uri="{63B3BB69-23CF-44E3-9099-C40C66FF867C}">
                    <a14:compatExt spid="_x0000_s40018"/>
                  </a:ext>
                  <a:ext uri="{FF2B5EF4-FFF2-40B4-BE49-F238E27FC236}">
                    <a16:creationId xmlns:a16="http://schemas.microsoft.com/office/drawing/2014/main" id="{00000000-0008-0000-1200-000052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19" name="Option Button 83" hidden="1">
                <a:extLst>
                  <a:ext uri="{63B3BB69-23CF-44E3-9099-C40C66FF867C}">
                    <a14:compatExt spid="_x0000_s40019"/>
                  </a:ext>
                  <a:ext uri="{FF2B5EF4-FFF2-40B4-BE49-F238E27FC236}">
                    <a16:creationId xmlns:a16="http://schemas.microsoft.com/office/drawing/2014/main" id="{00000000-0008-0000-1200-000053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20" name="Option Button 84" hidden="1">
                <a:extLst>
                  <a:ext uri="{63B3BB69-23CF-44E3-9099-C40C66FF867C}">
                    <a14:compatExt spid="_x0000_s40020"/>
                  </a:ext>
                  <a:ext uri="{FF2B5EF4-FFF2-40B4-BE49-F238E27FC236}">
                    <a16:creationId xmlns:a16="http://schemas.microsoft.com/office/drawing/2014/main" id="{00000000-0008-0000-1200-000054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56</xdr:row>
          <xdr:rowOff>28578</xdr:rowOff>
        </xdr:from>
        <xdr:to>
          <xdr:col>16</xdr:col>
          <xdr:colOff>76181</xdr:colOff>
          <xdr:row>56</xdr:row>
          <xdr:rowOff>204311</xdr:rowOff>
        </xdr:to>
        <xdr:grpSp>
          <xdr:nvGrpSpPr>
            <xdr:cNvPr id="110" name="Gruppieren 109">
              <a:extLst>
                <a:ext uri="{FF2B5EF4-FFF2-40B4-BE49-F238E27FC236}">
                  <a16:creationId xmlns:a16="http://schemas.microsoft.com/office/drawing/2014/main" id="{00000000-0008-0000-1200-00006E000000}"/>
                </a:ext>
              </a:extLst>
            </xdr:cNvPr>
            <xdr:cNvGrpSpPr/>
          </xdr:nvGrpSpPr>
          <xdr:grpSpPr>
            <a:xfrm>
              <a:off x="4417682" y="20053938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021" name="Group Box 85" hidden="1">
                <a:extLst>
                  <a:ext uri="{63B3BB69-23CF-44E3-9099-C40C66FF867C}">
                    <a14:compatExt spid="_x0000_s40021"/>
                  </a:ext>
                  <a:ext uri="{FF2B5EF4-FFF2-40B4-BE49-F238E27FC236}">
                    <a16:creationId xmlns:a16="http://schemas.microsoft.com/office/drawing/2014/main" id="{00000000-0008-0000-1200-0000559C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22" name="Option Button 86" hidden="1">
                <a:extLst>
                  <a:ext uri="{63B3BB69-23CF-44E3-9099-C40C66FF867C}">
                    <a14:compatExt spid="_x0000_s40022"/>
                  </a:ext>
                  <a:ext uri="{FF2B5EF4-FFF2-40B4-BE49-F238E27FC236}">
                    <a16:creationId xmlns:a16="http://schemas.microsoft.com/office/drawing/2014/main" id="{00000000-0008-0000-1200-0000569C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23" name="Option Button 87" hidden="1">
                <a:extLst>
                  <a:ext uri="{63B3BB69-23CF-44E3-9099-C40C66FF867C}">
                    <a14:compatExt spid="_x0000_s40023"/>
                  </a:ext>
                  <a:ext uri="{FF2B5EF4-FFF2-40B4-BE49-F238E27FC236}">
                    <a16:creationId xmlns:a16="http://schemas.microsoft.com/office/drawing/2014/main" id="{00000000-0008-0000-1200-0000579C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24" name="Option Button 88" hidden="1">
                <a:extLst>
                  <a:ext uri="{63B3BB69-23CF-44E3-9099-C40C66FF867C}">
                    <a14:compatExt spid="_x0000_s40024"/>
                  </a:ext>
                  <a:ext uri="{FF2B5EF4-FFF2-40B4-BE49-F238E27FC236}">
                    <a16:creationId xmlns:a16="http://schemas.microsoft.com/office/drawing/2014/main" id="{00000000-0008-0000-1200-0000589C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25" name="Option Button 89" hidden="1">
                <a:extLst>
                  <a:ext uri="{63B3BB69-23CF-44E3-9099-C40C66FF867C}">
                    <a14:compatExt spid="_x0000_s40025"/>
                  </a:ext>
                  <a:ext uri="{FF2B5EF4-FFF2-40B4-BE49-F238E27FC236}">
                    <a16:creationId xmlns:a16="http://schemas.microsoft.com/office/drawing/2014/main" id="{00000000-0008-0000-1200-0000599C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26" name="Option Button 90" hidden="1">
                <a:extLst>
                  <a:ext uri="{63B3BB69-23CF-44E3-9099-C40C66FF867C}">
                    <a14:compatExt spid="_x0000_s40026"/>
                  </a:ext>
                  <a:ext uri="{FF2B5EF4-FFF2-40B4-BE49-F238E27FC236}">
                    <a16:creationId xmlns:a16="http://schemas.microsoft.com/office/drawing/2014/main" id="{00000000-0008-0000-1200-00005A9C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61</xdr:row>
          <xdr:rowOff>28578</xdr:rowOff>
        </xdr:from>
        <xdr:to>
          <xdr:col>16</xdr:col>
          <xdr:colOff>76181</xdr:colOff>
          <xdr:row>61</xdr:row>
          <xdr:rowOff>204311</xdr:rowOff>
        </xdr:to>
        <xdr:grpSp>
          <xdr:nvGrpSpPr>
            <xdr:cNvPr id="117" name="Gruppieren 116">
              <a:extLst>
                <a:ext uri="{FF2B5EF4-FFF2-40B4-BE49-F238E27FC236}">
                  <a16:creationId xmlns:a16="http://schemas.microsoft.com/office/drawing/2014/main" id="{00000000-0008-0000-1200-000075000000}"/>
                </a:ext>
              </a:extLst>
            </xdr:cNvPr>
            <xdr:cNvGrpSpPr/>
          </xdr:nvGrpSpPr>
          <xdr:grpSpPr>
            <a:xfrm>
              <a:off x="4417682" y="22035138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027" name="Group Box 91" hidden="1">
                <a:extLst>
                  <a:ext uri="{63B3BB69-23CF-44E3-9099-C40C66FF867C}">
                    <a14:compatExt spid="_x0000_s40027"/>
                  </a:ext>
                  <a:ext uri="{FF2B5EF4-FFF2-40B4-BE49-F238E27FC236}">
                    <a16:creationId xmlns:a16="http://schemas.microsoft.com/office/drawing/2014/main" id="{00000000-0008-0000-1200-00005B9C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28" name="Option Button 92" hidden="1">
                <a:extLst>
                  <a:ext uri="{63B3BB69-23CF-44E3-9099-C40C66FF867C}">
                    <a14:compatExt spid="_x0000_s40028"/>
                  </a:ext>
                  <a:ext uri="{FF2B5EF4-FFF2-40B4-BE49-F238E27FC236}">
                    <a16:creationId xmlns:a16="http://schemas.microsoft.com/office/drawing/2014/main" id="{00000000-0008-0000-1200-00005C9C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29" name="Option Button 93" hidden="1">
                <a:extLst>
                  <a:ext uri="{63B3BB69-23CF-44E3-9099-C40C66FF867C}">
                    <a14:compatExt spid="_x0000_s40029"/>
                  </a:ext>
                  <a:ext uri="{FF2B5EF4-FFF2-40B4-BE49-F238E27FC236}">
                    <a16:creationId xmlns:a16="http://schemas.microsoft.com/office/drawing/2014/main" id="{00000000-0008-0000-1200-00005D9C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30" name="Option Button 94" hidden="1">
                <a:extLst>
                  <a:ext uri="{63B3BB69-23CF-44E3-9099-C40C66FF867C}">
                    <a14:compatExt spid="_x0000_s40030"/>
                  </a:ext>
                  <a:ext uri="{FF2B5EF4-FFF2-40B4-BE49-F238E27FC236}">
                    <a16:creationId xmlns:a16="http://schemas.microsoft.com/office/drawing/2014/main" id="{00000000-0008-0000-1200-00005E9C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31" name="Option Button 95" hidden="1">
                <a:extLst>
                  <a:ext uri="{63B3BB69-23CF-44E3-9099-C40C66FF867C}">
                    <a14:compatExt spid="_x0000_s40031"/>
                  </a:ext>
                  <a:ext uri="{FF2B5EF4-FFF2-40B4-BE49-F238E27FC236}">
                    <a16:creationId xmlns:a16="http://schemas.microsoft.com/office/drawing/2014/main" id="{00000000-0008-0000-1200-00005F9C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32" name="Option Button 96" hidden="1">
                <a:extLst>
                  <a:ext uri="{63B3BB69-23CF-44E3-9099-C40C66FF867C}">
                    <a14:compatExt spid="_x0000_s40032"/>
                  </a:ext>
                  <a:ext uri="{FF2B5EF4-FFF2-40B4-BE49-F238E27FC236}">
                    <a16:creationId xmlns:a16="http://schemas.microsoft.com/office/drawing/2014/main" id="{00000000-0008-0000-1200-0000609C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0</xdr:colOff>
      <xdr:row>61</xdr:row>
      <xdr:rowOff>381001</xdr:rowOff>
    </xdr:from>
    <xdr:to>
      <xdr:col>1</xdr:col>
      <xdr:colOff>33068</xdr:colOff>
      <xdr:row>63</xdr:row>
      <xdr:rowOff>295276</xdr:rowOff>
    </xdr:to>
    <xdr:pic>
      <xdr:nvPicPr>
        <xdr:cNvPr id="124" name="Picture 2">
          <a:extLst>
            <a:ext uri="{FF2B5EF4-FFF2-40B4-BE49-F238E27FC236}">
              <a16:creationId xmlns:a16="http://schemas.microsoft.com/office/drawing/2014/main" id="{00000000-0008-0000-1200-00007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0" y="22498051"/>
          <a:ext cx="499793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68</xdr:row>
      <xdr:rowOff>1</xdr:rowOff>
    </xdr:from>
    <xdr:to>
      <xdr:col>0</xdr:col>
      <xdr:colOff>455237</xdr:colOff>
      <xdr:row>69</xdr:row>
      <xdr:rowOff>161926</xdr:rowOff>
    </xdr:to>
    <xdr:pic>
      <xdr:nvPicPr>
        <xdr:cNvPr id="125" name="Picture 2">
          <a:extLst>
            <a:ext uri="{FF2B5EF4-FFF2-40B4-BE49-F238E27FC236}">
              <a16:creationId xmlns:a16="http://schemas.microsoft.com/office/drawing/2014/main" id="{00000000-0008-0000-1200-00007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" y="24717376"/>
          <a:ext cx="455236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69</xdr:row>
          <xdr:rowOff>28578</xdr:rowOff>
        </xdr:from>
        <xdr:to>
          <xdr:col>16</xdr:col>
          <xdr:colOff>76181</xdr:colOff>
          <xdr:row>69</xdr:row>
          <xdr:rowOff>204311</xdr:rowOff>
        </xdr:to>
        <xdr:grpSp>
          <xdr:nvGrpSpPr>
            <xdr:cNvPr id="126" name="Gruppieren 125">
              <a:extLst>
                <a:ext uri="{FF2B5EF4-FFF2-40B4-BE49-F238E27FC236}">
                  <a16:creationId xmlns:a16="http://schemas.microsoft.com/office/drawing/2014/main" id="{00000000-0008-0000-1200-00007E000000}"/>
                </a:ext>
              </a:extLst>
            </xdr:cNvPr>
            <xdr:cNvGrpSpPr/>
          </xdr:nvGrpSpPr>
          <xdr:grpSpPr>
            <a:xfrm>
              <a:off x="4417682" y="24808818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033" name="Group Box 97" hidden="1">
                <a:extLst>
                  <a:ext uri="{63B3BB69-23CF-44E3-9099-C40C66FF867C}">
                    <a14:compatExt spid="_x0000_s40033"/>
                  </a:ext>
                  <a:ext uri="{FF2B5EF4-FFF2-40B4-BE49-F238E27FC236}">
                    <a16:creationId xmlns:a16="http://schemas.microsoft.com/office/drawing/2014/main" id="{00000000-0008-0000-1200-0000619C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34" name="Option Button 98" hidden="1">
                <a:extLst>
                  <a:ext uri="{63B3BB69-23CF-44E3-9099-C40C66FF867C}">
                    <a14:compatExt spid="_x0000_s40034"/>
                  </a:ext>
                  <a:ext uri="{FF2B5EF4-FFF2-40B4-BE49-F238E27FC236}">
                    <a16:creationId xmlns:a16="http://schemas.microsoft.com/office/drawing/2014/main" id="{00000000-0008-0000-1200-0000629C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35" name="Option Button 99" hidden="1">
                <a:extLst>
                  <a:ext uri="{63B3BB69-23CF-44E3-9099-C40C66FF867C}">
                    <a14:compatExt spid="_x0000_s40035"/>
                  </a:ext>
                  <a:ext uri="{FF2B5EF4-FFF2-40B4-BE49-F238E27FC236}">
                    <a16:creationId xmlns:a16="http://schemas.microsoft.com/office/drawing/2014/main" id="{00000000-0008-0000-1200-0000639C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36" name="Option Button 100" hidden="1">
                <a:extLst>
                  <a:ext uri="{63B3BB69-23CF-44E3-9099-C40C66FF867C}">
                    <a14:compatExt spid="_x0000_s40036"/>
                  </a:ext>
                  <a:ext uri="{FF2B5EF4-FFF2-40B4-BE49-F238E27FC236}">
                    <a16:creationId xmlns:a16="http://schemas.microsoft.com/office/drawing/2014/main" id="{00000000-0008-0000-1200-0000649C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37" name="Option Button 101" hidden="1">
                <a:extLst>
                  <a:ext uri="{63B3BB69-23CF-44E3-9099-C40C66FF867C}">
                    <a14:compatExt spid="_x0000_s40037"/>
                  </a:ext>
                  <a:ext uri="{FF2B5EF4-FFF2-40B4-BE49-F238E27FC236}">
                    <a16:creationId xmlns:a16="http://schemas.microsoft.com/office/drawing/2014/main" id="{00000000-0008-0000-1200-0000659C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38" name="Option Button 102" hidden="1">
                <a:extLst>
                  <a:ext uri="{63B3BB69-23CF-44E3-9099-C40C66FF867C}">
                    <a14:compatExt spid="_x0000_s40038"/>
                  </a:ext>
                  <a:ext uri="{FF2B5EF4-FFF2-40B4-BE49-F238E27FC236}">
                    <a16:creationId xmlns:a16="http://schemas.microsoft.com/office/drawing/2014/main" id="{00000000-0008-0000-1200-0000669C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76</xdr:row>
          <xdr:rowOff>28578</xdr:rowOff>
        </xdr:from>
        <xdr:to>
          <xdr:col>16</xdr:col>
          <xdr:colOff>76181</xdr:colOff>
          <xdr:row>76</xdr:row>
          <xdr:rowOff>204311</xdr:rowOff>
        </xdr:to>
        <xdr:grpSp>
          <xdr:nvGrpSpPr>
            <xdr:cNvPr id="133" name="Gruppieren 132">
              <a:extLst>
                <a:ext uri="{FF2B5EF4-FFF2-40B4-BE49-F238E27FC236}">
                  <a16:creationId xmlns:a16="http://schemas.microsoft.com/office/drawing/2014/main" id="{00000000-0008-0000-1200-000085000000}"/>
                </a:ext>
              </a:extLst>
            </xdr:cNvPr>
            <xdr:cNvGrpSpPr/>
          </xdr:nvGrpSpPr>
          <xdr:grpSpPr>
            <a:xfrm>
              <a:off x="4417682" y="27582498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039" name="Group Box 103" hidden="1">
                <a:extLst>
                  <a:ext uri="{63B3BB69-23CF-44E3-9099-C40C66FF867C}">
                    <a14:compatExt spid="_x0000_s40039"/>
                  </a:ext>
                  <a:ext uri="{FF2B5EF4-FFF2-40B4-BE49-F238E27FC236}">
                    <a16:creationId xmlns:a16="http://schemas.microsoft.com/office/drawing/2014/main" id="{00000000-0008-0000-1200-0000679C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40" name="Option Button 104" hidden="1">
                <a:extLst>
                  <a:ext uri="{63B3BB69-23CF-44E3-9099-C40C66FF867C}">
                    <a14:compatExt spid="_x0000_s40040"/>
                  </a:ext>
                  <a:ext uri="{FF2B5EF4-FFF2-40B4-BE49-F238E27FC236}">
                    <a16:creationId xmlns:a16="http://schemas.microsoft.com/office/drawing/2014/main" id="{00000000-0008-0000-1200-0000689C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41" name="Option Button 105" hidden="1">
                <a:extLst>
                  <a:ext uri="{63B3BB69-23CF-44E3-9099-C40C66FF867C}">
                    <a14:compatExt spid="_x0000_s40041"/>
                  </a:ext>
                  <a:ext uri="{FF2B5EF4-FFF2-40B4-BE49-F238E27FC236}">
                    <a16:creationId xmlns:a16="http://schemas.microsoft.com/office/drawing/2014/main" id="{00000000-0008-0000-1200-0000699C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42" name="Option Button 106" hidden="1">
                <a:extLst>
                  <a:ext uri="{63B3BB69-23CF-44E3-9099-C40C66FF867C}">
                    <a14:compatExt spid="_x0000_s40042"/>
                  </a:ext>
                  <a:ext uri="{FF2B5EF4-FFF2-40B4-BE49-F238E27FC236}">
                    <a16:creationId xmlns:a16="http://schemas.microsoft.com/office/drawing/2014/main" id="{00000000-0008-0000-1200-00006A9C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43" name="Option Button 107" hidden="1">
                <a:extLst>
                  <a:ext uri="{63B3BB69-23CF-44E3-9099-C40C66FF867C}">
                    <a14:compatExt spid="_x0000_s40043"/>
                  </a:ext>
                  <a:ext uri="{FF2B5EF4-FFF2-40B4-BE49-F238E27FC236}">
                    <a16:creationId xmlns:a16="http://schemas.microsoft.com/office/drawing/2014/main" id="{00000000-0008-0000-1200-00006B9C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44" name="Option Button 108" hidden="1">
                <a:extLst>
                  <a:ext uri="{63B3BB69-23CF-44E3-9099-C40C66FF867C}">
                    <a14:compatExt spid="_x0000_s40044"/>
                  </a:ext>
                  <a:ext uri="{FF2B5EF4-FFF2-40B4-BE49-F238E27FC236}">
                    <a16:creationId xmlns:a16="http://schemas.microsoft.com/office/drawing/2014/main" id="{00000000-0008-0000-1200-00006C9C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0</xdr:col>
      <xdr:colOff>66675</xdr:colOff>
      <xdr:row>77</xdr:row>
      <xdr:rowOff>0</xdr:rowOff>
    </xdr:from>
    <xdr:to>
      <xdr:col>0</xdr:col>
      <xdr:colOff>390675</xdr:colOff>
      <xdr:row>79</xdr:row>
      <xdr:rowOff>87340</xdr:rowOff>
    </xdr:to>
    <xdr:grpSp>
      <xdr:nvGrpSpPr>
        <xdr:cNvPr id="140" name="Gruppieren 13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200-00008C000000}"/>
            </a:ext>
          </a:extLst>
        </xdr:cNvPr>
        <xdr:cNvGrpSpPr/>
      </xdr:nvGrpSpPr>
      <xdr:grpSpPr>
        <a:xfrm>
          <a:off x="66675" y="27950160"/>
          <a:ext cx="324000" cy="315940"/>
          <a:chOff x="66675" y="4972050"/>
          <a:chExt cx="324000" cy="325465"/>
        </a:xfrm>
      </xdr:grpSpPr>
      <xdr:sp macro="" textlink="">
        <xdr:nvSpPr>
          <xdr:cNvPr id="141" name="Rechteck 140">
            <a:extLst>
              <a:ext uri="{FF2B5EF4-FFF2-40B4-BE49-F238E27FC236}">
                <a16:creationId xmlns:a16="http://schemas.microsoft.com/office/drawing/2014/main" id="{00000000-0008-0000-1200-00008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2" name="Pfeil nach oben 141">
            <a:extLst>
              <a:ext uri="{FF2B5EF4-FFF2-40B4-BE49-F238E27FC236}">
                <a16:creationId xmlns:a16="http://schemas.microsoft.com/office/drawing/2014/main" id="{00000000-0008-0000-1200-00008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0</xdr:row>
      <xdr:rowOff>104775</xdr:rowOff>
    </xdr:from>
    <xdr:to>
      <xdr:col>0</xdr:col>
      <xdr:colOff>390675</xdr:colOff>
      <xdr:row>0</xdr:row>
      <xdr:rowOff>430240</xdr:rowOff>
    </xdr:to>
    <xdr:grpSp>
      <xdr:nvGrpSpPr>
        <xdr:cNvPr id="143" name="Gruppieren 14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1200-00008F000000}"/>
            </a:ext>
          </a:extLst>
        </xdr:cNvPr>
        <xdr:cNvGrpSpPr/>
      </xdr:nvGrpSpPr>
      <xdr:grpSpPr>
        <a:xfrm>
          <a:off x="66675" y="104775"/>
          <a:ext cx="324000" cy="325465"/>
          <a:chOff x="9191625" y="3009900"/>
          <a:chExt cx="324000" cy="325465"/>
        </a:xfrm>
      </xdr:grpSpPr>
      <xdr:sp macro="" textlink="">
        <xdr:nvSpPr>
          <xdr:cNvPr id="144" name="Rechteck 143">
            <a:extLst>
              <a:ext uri="{FF2B5EF4-FFF2-40B4-BE49-F238E27FC236}">
                <a16:creationId xmlns:a16="http://schemas.microsoft.com/office/drawing/2014/main" id="{00000000-0008-0000-1200-00009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5" name="Pfeil nach links 144">
            <a:extLst>
              <a:ext uri="{FF2B5EF4-FFF2-40B4-BE49-F238E27FC236}">
                <a16:creationId xmlns:a16="http://schemas.microsoft.com/office/drawing/2014/main" id="{00000000-0008-0000-1200-00009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0</xdr:col>
      <xdr:colOff>352424</xdr:colOff>
      <xdr:row>81</xdr:row>
      <xdr:rowOff>123826</xdr:rowOff>
    </xdr:from>
    <xdr:to>
      <xdr:col>20</xdr:col>
      <xdr:colOff>1876425</xdr:colOff>
      <xdr:row>114</xdr:row>
      <xdr:rowOff>66675</xdr:rowOff>
    </xdr:to>
    <xdr:graphicFrame macro="">
      <xdr:nvGraphicFramePr>
        <xdr:cNvPr id="146" name="Diagramm 145">
          <a:extLst>
            <a:ext uri="{FF2B5EF4-FFF2-40B4-BE49-F238E27FC236}">
              <a16:creationId xmlns:a16="http://schemas.microsoft.com/office/drawing/2014/main" id="{00000000-0008-0000-1200-00009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3</xdr:col>
      <xdr:colOff>876301</xdr:colOff>
      <xdr:row>87</xdr:row>
      <xdr:rowOff>114301</xdr:rowOff>
    </xdr:from>
    <xdr:to>
      <xdr:col>4</xdr:col>
      <xdr:colOff>312362</xdr:colOff>
      <xdr:row>89</xdr:row>
      <xdr:rowOff>95251</xdr:rowOff>
    </xdr:to>
    <xdr:pic>
      <xdr:nvPicPr>
        <xdr:cNvPr id="147" name="Picture 2">
          <a:extLst>
            <a:ext uri="{FF2B5EF4-FFF2-40B4-BE49-F238E27FC236}">
              <a16:creationId xmlns:a16="http://schemas.microsoft.com/office/drawing/2014/main" id="{00000000-0008-0000-1200-00009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600201" y="29898976"/>
          <a:ext cx="455236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19050</xdr:colOff>
      <xdr:row>79</xdr:row>
      <xdr:rowOff>66675</xdr:rowOff>
    </xdr:from>
    <xdr:to>
      <xdr:col>9</xdr:col>
      <xdr:colOff>63332</xdr:colOff>
      <xdr:row>82</xdr:row>
      <xdr:rowOff>28575</xdr:rowOff>
    </xdr:to>
    <xdr:pic>
      <xdr:nvPicPr>
        <xdr:cNvPr id="148" name="Picture 2">
          <a:extLst>
            <a:ext uri="{FF2B5EF4-FFF2-40B4-BE49-F238E27FC236}">
              <a16:creationId xmlns:a16="http://schemas.microsoft.com/office/drawing/2014/main" id="{00000000-0008-0000-1200-00009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4362450" y="28422600"/>
          <a:ext cx="491957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314325</xdr:colOff>
      <xdr:row>87</xdr:row>
      <xdr:rowOff>57150</xdr:rowOff>
    </xdr:from>
    <xdr:to>
      <xdr:col>20</xdr:col>
      <xdr:colOff>742950</xdr:colOff>
      <xdr:row>90</xdr:row>
      <xdr:rowOff>2198</xdr:rowOff>
    </xdr:to>
    <xdr:pic>
      <xdr:nvPicPr>
        <xdr:cNvPr id="149" name="Picture 2">
          <a:extLst>
            <a:ext uri="{FF2B5EF4-FFF2-40B4-BE49-F238E27FC236}">
              <a16:creationId xmlns:a16="http://schemas.microsoft.com/office/drawing/2014/main" id="{00000000-0008-0000-1200-00009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7305675" y="29841825"/>
          <a:ext cx="428625" cy="516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981075</xdr:colOff>
      <xdr:row>96</xdr:row>
      <xdr:rowOff>47625</xdr:rowOff>
    </xdr:from>
    <xdr:to>
      <xdr:col>20</xdr:col>
      <xdr:colOff>1503045</xdr:colOff>
      <xdr:row>98</xdr:row>
      <xdr:rowOff>85725</xdr:rowOff>
    </xdr:to>
    <xdr:pic>
      <xdr:nvPicPr>
        <xdr:cNvPr id="150" name="Picture 2">
          <a:extLst>
            <a:ext uri="{FF2B5EF4-FFF2-40B4-BE49-F238E27FC236}">
              <a16:creationId xmlns:a16="http://schemas.microsoft.com/office/drawing/2014/main" id="{00000000-0008-0000-1200-00009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7972425" y="31546800"/>
          <a:ext cx="52197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819150</xdr:colOff>
      <xdr:row>106</xdr:row>
      <xdr:rowOff>19050</xdr:rowOff>
    </xdr:from>
    <xdr:to>
      <xdr:col>20</xdr:col>
      <xdr:colOff>1282065</xdr:colOff>
      <xdr:row>108</xdr:row>
      <xdr:rowOff>152400</xdr:rowOff>
    </xdr:to>
    <xdr:pic>
      <xdr:nvPicPr>
        <xdr:cNvPr id="151" name="Picture 2">
          <a:extLst>
            <a:ext uri="{FF2B5EF4-FFF2-40B4-BE49-F238E27FC236}">
              <a16:creationId xmlns:a16="http://schemas.microsoft.com/office/drawing/2014/main" id="{00000000-0008-0000-1200-00009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7810500" y="33423225"/>
          <a:ext cx="46291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200025</xdr:colOff>
      <xdr:row>113</xdr:row>
      <xdr:rowOff>47625</xdr:rowOff>
    </xdr:from>
    <xdr:to>
      <xdr:col>15</xdr:col>
      <xdr:colOff>192612</xdr:colOff>
      <xdr:row>116</xdr:row>
      <xdr:rowOff>9525</xdr:rowOff>
    </xdr:to>
    <xdr:pic>
      <xdr:nvPicPr>
        <xdr:cNvPr id="152" name="Picture 2">
          <a:extLst>
            <a:ext uri="{FF2B5EF4-FFF2-40B4-BE49-F238E27FC236}">
              <a16:creationId xmlns:a16="http://schemas.microsoft.com/office/drawing/2014/main" id="{00000000-0008-0000-1200-00009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5886450" y="34785300"/>
          <a:ext cx="440262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857250</xdr:colOff>
      <xdr:row>113</xdr:row>
      <xdr:rowOff>9525</xdr:rowOff>
    </xdr:from>
    <xdr:to>
      <xdr:col>4</xdr:col>
      <xdr:colOff>1295400</xdr:colOff>
      <xdr:row>116</xdr:row>
      <xdr:rowOff>48023</xdr:rowOff>
    </xdr:to>
    <xdr:pic>
      <xdr:nvPicPr>
        <xdr:cNvPr id="153" name="Picture 2">
          <a:extLst>
            <a:ext uri="{FF2B5EF4-FFF2-40B4-BE49-F238E27FC236}">
              <a16:creationId xmlns:a16="http://schemas.microsoft.com/office/drawing/2014/main" id="{00000000-0008-0000-1200-00009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600325" y="34747200"/>
          <a:ext cx="438150" cy="4290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609600</xdr:colOff>
      <xdr:row>105</xdr:row>
      <xdr:rowOff>171450</xdr:rowOff>
    </xdr:from>
    <xdr:to>
      <xdr:col>4</xdr:col>
      <xdr:colOff>38100</xdr:colOff>
      <xdr:row>109</xdr:row>
      <xdr:rowOff>55841</xdr:rowOff>
    </xdr:to>
    <xdr:pic>
      <xdr:nvPicPr>
        <xdr:cNvPr id="154" name="Picture 2">
          <a:extLst>
            <a:ext uri="{FF2B5EF4-FFF2-40B4-BE49-F238E27FC236}">
              <a16:creationId xmlns:a16="http://schemas.microsoft.com/office/drawing/2014/main" id="{00000000-0008-0000-1200-00009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333500" y="33385125"/>
          <a:ext cx="447675" cy="646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295275</xdr:colOff>
      <xdr:row>95</xdr:row>
      <xdr:rowOff>152400</xdr:rowOff>
    </xdr:from>
    <xdr:to>
      <xdr:col>3</xdr:col>
      <xdr:colOff>795068</xdr:colOff>
      <xdr:row>98</xdr:row>
      <xdr:rowOff>95250</xdr:rowOff>
    </xdr:to>
    <xdr:pic>
      <xdr:nvPicPr>
        <xdr:cNvPr id="155" name="Picture 2">
          <a:extLst>
            <a:ext uri="{FF2B5EF4-FFF2-40B4-BE49-F238E27FC236}">
              <a16:creationId xmlns:a16="http://schemas.microsoft.com/office/drawing/2014/main" id="{00000000-0008-0000-1200-00009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email">
          <a:clrChange>
            <a:clrFrom>
              <a:srgbClr val="F3F3F4"/>
            </a:clrFrom>
            <a:clrTo>
              <a:srgbClr val="F3F3F4">
                <a:alpha val="0"/>
              </a:srgbClr>
            </a:clrTo>
          </a:clrChange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019175" y="31461075"/>
          <a:ext cx="499793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113</xdr:row>
      <xdr:rowOff>0</xdr:rowOff>
    </xdr:from>
    <xdr:to>
      <xdr:col>0</xdr:col>
      <xdr:colOff>390675</xdr:colOff>
      <xdr:row>114</xdr:row>
      <xdr:rowOff>134965</xdr:rowOff>
    </xdr:to>
    <xdr:grpSp>
      <xdr:nvGrpSpPr>
        <xdr:cNvPr id="156" name="Gruppieren 15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200-00009C000000}"/>
            </a:ext>
          </a:extLst>
        </xdr:cNvPr>
        <xdr:cNvGrpSpPr/>
      </xdr:nvGrpSpPr>
      <xdr:grpSpPr>
        <a:xfrm>
          <a:off x="66675" y="34305240"/>
          <a:ext cx="324000" cy="317845"/>
          <a:chOff x="66675" y="4972050"/>
          <a:chExt cx="324000" cy="325465"/>
        </a:xfrm>
      </xdr:grpSpPr>
      <xdr:sp macro="" textlink="">
        <xdr:nvSpPr>
          <xdr:cNvPr id="157" name="Rechteck 156">
            <a:extLst>
              <a:ext uri="{FF2B5EF4-FFF2-40B4-BE49-F238E27FC236}">
                <a16:creationId xmlns:a16="http://schemas.microsoft.com/office/drawing/2014/main" id="{00000000-0008-0000-1200-00009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8" name="Pfeil nach oben 157">
            <a:extLst>
              <a:ext uri="{FF2B5EF4-FFF2-40B4-BE49-F238E27FC236}">
                <a16:creationId xmlns:a16="http://schemas.microsoft.com/office/drawing/2014/main" id="{00000000-0008-0000-1200-00009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66675</xdr:colOff>
      <xdr:row>4</xdr:row>
      <xdr:rowOff>209550</xdr:rowOff>
    </xdr:from>
    <xdr:to>
      <xdr:col>0</xdr:col>
      <xdr:colOff>390675</xdr:colOff>
      <xdr:row>6</xdr:row>
      <xdr:rowOff>1615</xdr:rowOff>
    </xdr:to>
    <xdr:grpSp>
      <xdr:nvGrpSpPr>
        <xdr:cNvPr id="159" name="Gruppieren 158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1200-00009F000000}"/>
            </a:ext>
          </a:extLst>
        </xdr:cNvPr>
        <xdr:cNvGrpSpPr/>
      </xdr:nvGrpSpPr>
      <xdr:grpSpPr>
        <a:xfrm>
          <a:off x="66675" y="1466850"/>
          <a:ext cx="324000" cy="317845"/>
          <a:chOff x="12382500" y="2152650"/>
          <a:chExt cx="324000" cy="325465"/>
        </a:xfrm>
      </xdr:grpSpPr>
      <xdr:sp macro="" textlink="">
        <xdr:nvSpPr>
          <xdr:cNvPr id="160" name="Rechteck 159">
            <a:extLst>
              <a:ext uri="{FF2B5EF4-FFF2-40B4-BE49-F238E27FC236}">
                <a16:creationId xmlns:a16="http://schemas.microsoft.com/office/drawing/2014/main" id="{00000000-0008-0000-1200-0000A0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61" name="Grafik 160">
            <a:extLst>
              <a:ext uri="{FF2B5EF4-FFF2-40B4-BE49-F238E27FC236}">
                <a16:creationId xmlns:a16="http://schemas.microsoft.com/office/drawing/2014/main" id="{00000000-0008-0000-1200-0000A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14</xdr:row>
          <xdr:rowOff>9633</xdr:rowOff>
        </xdr:from>
        <xdr:to>
          <xdr:col>16</xdr:col>
          <xdr:colOff>76191</xdr:colOff>
          <xdr:row>14</xdr:row>
          <xdr:rowOff>203638</xdr:rowOff>
        </xdr:to>
        <xdr:grpSp>
          <xdr:nvGrpSpPr>
            <xdr:cNvPr id="162" name="Gruppieren 161">
              <a:extLst>
                <a:ext uri="{FF2B5EF4-FFF2-40B4-BE49-F238E27FC236}">
                  <a16:creationId xmlns:a16="http://schemas.microsoft.com/office/drawing/2014/main" id="{00000000-0008-0000-1200-0000A2000000}"/>
                </a:ext>
              </a:extLst>
            </xdr:cNvPr>
            <xdr:cNvGrpSpPr/>
          </xdr:nvGrpSpPr>
          <xdr:grpSpPr>
            <a:xfrm>
              <a:off x="4417688" y="3827253"/>
              <a:ext cx="2295523" cy="194005"/>
              <a:chOff x="3581259" y="2105174"/>
              <a:chExt cx="2247895" cy="276225"/>
            </a:xfrm>
          </xdr:grpSpPr>
          <xdr:sp macro="" textlink="">
            <xdr:nvSpPr>
              <xdr:cNvPr id="40045" name="Group Box 109" hidden="1">
                <a:extLst>
                  <a:ext uri="{63B3BB69-23CF-44E3-9099-C40C66FF867C}">
                    <a14:compatExt spid="_x0000_s40045"/>
                  </a:ext>
                  <a:ext uri="{FF2B5EF4-FFF2-40B4-BE49-F238E27FC236}">
                    <a16:creationId xmlns:a16="http://schemas.microsoft.com/office/drawing/2014/main" id="{00000000-0008-0000-1200-00006D9C0000}"/>
                  </a:ext>
                </a:extLst>
              </xdr:cNvPr>
              <xdr:cNvSpPr/>
            </xdr:nvSpPr>
            <xdr:spPr bwMode="auto">
              <a:xfrm>
                <a:off x="3581259" y="210517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46" name="Option Button 110" hidden="1">
                <a:extLst>
                  <a:ext uri="{63B3BB69-23CF-44E3-9099-C40C66FF867C}">
                    <a14:compatExt spid="_x0000_s40046"/>
                  </a:ext>
                  <a:ext uri="{FF2B5EF4-FFF2-40B4-BE49-F238E27FC236}">
                    <a16:creationId xmlns:a16="http://schemas.microsoft.com/office/drawing/2014/main" id="{00000000-0008-0000-1200-00006E9C00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47" name="Option Button 111" hidden="1">
                <a:extLst>
                  <a:ext uri="{63B3BB69-23CF-44E3-9099-C40C66FF867C}">
                    <a14:compatExt spid="_x0000_s40047"/>
                  </a:ext>
                  <a:ext uri="{FF2B5EF4-FFF2-40B4-BE49-F238E27FC236}">
                    <a16:creationId xmlns:a16="http://schemas.microsoft.com/office/drawing/2014/main" id="{00000000-0008-0000-1200-00006F9C00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48" name="Option Button 112" hidden="1">
                <a:extLst>
                  <a:ext uri="{63B3BB69-23CF-44E3-9099-C40C66FF867C}">
                    <a14:compatExt spid="_x0000_s40048"/>
                  </a:ext>
                  <a:ext uri="{FF2B5EF4-FFF2-40B4-BE49-F238E27FC236}">
                    <a16:creationId xmlns:a16="http://schemas.microsoft.com/office/drawing/2014/main" id="{00000000-0008-0000-1200-0000709C00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49" name="Option Button 113" hidden="1">
                <a:extLst>
                  <a:ext uri="{63B3BB69-23CF-44E3-9099-C40C66FF867C}">
                    <a14:compatExt spid="_x0000_s40049"/>
                  </a:ext>
                  <a:ext uri="{FF2B5EF4-FFF2-40B4-BE49-F238E27FC236}">
                    <a16:creationId xmlns:a16="http://schemas.microsoft.com/office/drawing/2014/main" id="{00000000-0008-0000-1200-0000719C00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50" name="Option Button 114" hidden="1">
                <a:extLst>
                  <a:ext uri="{63B3BB69-23CF-44E3-9099-C40C66FF867C}">
                    <a14:compatExt spid="_x0000_s40050"/>
                  </a:ext>
                  <a:ext uri="{FF2B5EF4-FFF2-40B4-BE49-F238E27FC236}">
                    <a16:creationId xmlns:a16="http://schemas.microsoft.com/office/drawing/2014/main" id="{00000000-0008-0000-1200-0000729C00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15</xdr:row>
          <xdr:rowOff>9633</xdr:rowOff>
        </xdr:from>
        <xdr:to>
          <xdr:col>16</xdr:col>
          <xdr:colOff>76191</xdr:colOff>
          <xdr:row>15</xdr:row>
          <xdr:rowOff>203638</xdr:rowOff>
        </xdr:to>
        <xdr:grpSp>
          <xdr:nvGrpSpPr>
            <xdr:cNvPr id="169" name="Gruppieren 168">
              <a:extLst>
                <a:ext uri="{FF2B5EF4-FFF2-40B4-BE49-F238E27FC236}">
                  <a16:creationId xmlns:a16="http://schemas.microsoft.com/office/drawing/2014/main" id="{00000000-0008-0000-1200-0000A9000000}"/>
                </a:ext>
              </a:extLst>
            </xdr:cNvPr>
            <xdr:cNvGrpSpPr/>
          </xdr:nvGrpSpPr>
          <xdr:grpSpPr>
            <a:xfrm>
              <a:off x="4417688" y="4223493"/>
              <a:ext cx="2295523" cy="194005"/>
              <a:chOff x="3581259" y="2105174"/>
              <a:chExt cx="2247895" cy="276225"/>
            </a:xfrm>
          </xdr:grpSpPr>
          <xdr:sp macro="" textlink="">
            <xdr:nvSpPr>
              <xdr:cNvPr id="40051" name="Group Box 115" hidden="1">
                <a:extLst>
                  <a:ext uri="{63B3BB69-23CF-44E3-9099-C40C66FF867C}">
                    <a14:compatExt spid="_x0000_s40051"/>
                  </a:ext>
                  <a:ext uri="{FF2B5EF4-FFF2-40B4-BE49-F238E27FC236}">
                    <a16:creationId xmlns:a16="http://schemas.microsoft.com/office/drawing/2014/main" id="{00000000-0008-0000-1200-0000739C0000}"/>
                  </a:ext>
                </a:extLst>
              </xdr:cNvPr>
              <xdr:cNvSpPr/>
            </xdr:nvSpPr>
            <xdr:spPr bwMode="auto">
              <a:xfrm>
                <a:off x="3581259" y="210517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52" name="Option Button 116" hidden="1">
                <a:extLst>
                  <a:ext uri="{63B3BB69-23CF-44E3-9099-C40C66FF867C}">
                    <a14:compatExt spid="_x0000_s40052"/>
                  </a:ext>
                  <a:ext uri="{FF2B5EF4-FFF2-40B4-BE49-F238E27FC236}">
                    <a16:creationId xmlns:a16="http://schemas.microsoft.com/office/drawing/2014/main" id="{00000000-0008-0000-1200-0000749C00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53" name="Option Button 117" hidden="1">
                <a:extLst>
                  <a:ext uri="{63B3BB69-23CF-44E3-9099-C40C66FF867C}">
                    <a14:compatExt spid="_x0000_s40053"/>
                  </a:ext>
                  <a:ext uri="{FF2B5EF4-FFF2-40B4-BE49-F238E27FC236}">
                    <a16:creationId xmlns:a16="http://schemas.microsoft.com/office/drawing/2014/main" id="{00000000-0008-0000-1200-0000759C00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54" name="Option Button 118" hidden="1">
                <a:extLst>
                  <a:ext uri="{63B3BB69-23CF-44E3-9099-C40C66FF867C}">
                    <a14:compatExt spid="_x0000_s40054"/>
                  </a:ext>
                  <a:ext uri="{FF2B5EF4-FFF2-40B4-BE49-F238E27FC236}">
                    <a16:creationId xmlns:a16="http://schemas.microsoft.com/office/drawing/2014/main" id="{00000000-0008-0000-1200-0000769C00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55" name="Option Button 119" hidden="1">
                <a:extLst>
                  <a:ext uri="{63B3BB69-23CF-44E3-9099-C40C66FF867C}">
                    <a14:compatExt spid="_x0000_s40055"/>
                  </a:ext>
                  <a:ext uri="{FF2B5EF4-FFF2-40B4-BE49-F238E27FC236}">
                    <a16:creationId xmlns:a16="http://schemas.microsoft.com/office/drawing/2014/main" id="{00000000-0008-0000-1200-0000779C00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56" name="Option Button 120" hidden="1">
                <a:extLst>
                  <a:ext uri="{63B3BB69-23CF-44E3-9099-C40C66FF867C}">
                    <a14:compatExt spid="_x0000_s40056"/>
                  </a:ext>
                  <a:ext uri="{FF2B5EF4-FFF2-40B4-BE49-F238E27FC236}">
                    <a16:creationId xmlns:a16="http://schemas.microsoft.com/office/drawing/2014/main" id="{00000000-0008-0000-1200-0000789C00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16</xdr:row>
          <xdr:rowOff>9633</xdr:rowOff>
        </xdr:from>
        <xdr:to>
          <xdr:col>16</xdr:col>
          <xdr:colOff>76191</xdr:colOff>
          <xdr:row>16</xdr:row>
          <xdr:rowOff>203638</xdr:rowOff>
        </xdr:to>
        <xdr:grpSp>
          <xdr:nvGrpSpPr>
            <xdr:cNvPr id="176" name="Gruppieren 175">
              <a:extLst>
                <a:ext uri="{FF2B5EF4-FFF2-40B4-BE49-F238E27FC236}">
                  <a16:creationId xmlns:a16="http://schemas.microsoft.com/office/drawing/2014/main" id="{00000000-0008-0000-1200-0000B0000000}"/>
                </a:ext>
              </a:extLst>
            </xdr:cNvPr>
            <xdr:cNvGrpSpPr/>
          </xdr:nvGrpSpPr>
          <xdr:grpSpPr>
            <a:xfrm>
              <a:off x="4417688" y="4619733"/>
              <a:ext cx="2295523" cy="194005"/>
              <a:chOff x="3581259" y="2105174"/>
              <a:chExt cx="2247895" cy="276225"/>
            </a:xfrm>
          </xdr:grpSpPr>
          <xdr:sp macro="" textlink="">
            <xdr:nvSpPr>
              <xdr:cNvPr id="40057" name="Group Box 121" hidden="1">
                <a:extLst>
                  <a:ext uri="{63B3BB69-23CF-44E3-9099-C40C66FF867C}">
                    <a14:compatExt spid="_x0000_s40057"/>
                  </a:ext>
                  <a:ext uri="{FF2B5EF4-FFF2-40B4-BE49-F238E27FC236}">
                    <a16:creationId xmlns:a16="http://schemas.microsoft.com/office/drawing/2014/main" id="{00000000-0008-0000-1200-0000799C0000}"/>
                  </a:ext>
                </a:extLst>
              </xdr:cNvPr>
              <xdr:cNvSpPr/>
            </xdr:nvSpPr>
            <xdr:spPr bwMode="auto">
              <a:xfrm>
                <a:off x="3581259" y="2105174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58" name="Option Button 122" hidden="1">
                <a:extLst>
                  <a:ext uri="{63B3BB69-23CF-44E3-9099-C40C66FF867C}">
                    <a14:compatExt spid="_x0000_s40058"/>
                  </a:ext>
                  <a:ext uri="{FF2B5EF4-FFF2-40B4-BE49-F238E27FC236}">
                    <a16:creationId xmlns:a16="http://schemas.microsoft.com/office/drawing/2014/main" id="{00000000-0008-0000-1200-00007A9C0000}"/>
                  </a:ext>
                </a:extLst>
              </xdr:cNvPr>
              <xdr:cNvSpPr/>
            </xdr:nvSpPr>
            <xdr:spPr bwMode="auto">
              <a:xfrm>
                <a:off x="370522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59" name="Option Button 123" hidden="1">
                <a:extLst>
                  <a:ext uri="{63B3BB69-23CF-44E3-9099-C40C66FF867C}">
                    <a14:compatExt spid="_x0000_s40059"/>
                  </a:ext>
                  <a:ext uri="{FF2B5EF4-FFF2-40B4-BE49-F238E27FC236}">
                    <a16:creationId xmlns:a16="http://schemas.microsoft.com/office/drawing/2014/main" id="{00000000-0008-0000-1200-00007B9C0000}"/>
                  </a:ext>
                </a:extLst>
              </xdr:cNvPr>
              <xdr:cNvSpPr/>
            </xdr:nvSpPr>
            <xdr:spPr bwMode="auto">
              <a:xfrm>
                <a:off x="4143376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60" name="Option Button 124" hidden="1">
                <a:extLst>
                  <a:ext uri="{63B3BB69-23CF-44E3-9099-C40C66FF867C}">
                    <a14:compatExt spid="_x0000_s40060"/>
                  </a:ext>
                  <a:ext uri="{FF2B5EF4-FFF2-40B4-BE49-F238E27FC236}">
                    <a16:creationId xmlns:a16="http://schemas.microsoft.com/office/drawing/2014/main" id="{00000000-0008-0000-1200-00007C9C0000}"/>
                  </a:ext>
                </a:extLst>
              </xdr:cNvPr>
              <xdr:cNvSpPr/>
            </xdr:nvSpPr>
            <xdr:spPr bwMode="auto">
              <a:xfrm>
                <a:off x="458152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61" name="Option Button 125" hidden="1">
                <a:extLst>
                  <a:ext uri="{63B3BB69-23CF-44E3-9099-C40C66FF867C}">
                    <a14:compatExt spid="_x0000_s40061"/>
                  </a:ext>
                  <a:ext uri="{FF2B5EF4-FFF2-40B4-BE49-F238E27FC236}">
                    <a16:creationId xmlns:a16="http://schemas.microsoft.com/office/drawing/2014/main" id="{00000000-0008-0000-1200-00007D9C0000}"/>
                  </a:ext>
                </a:extLst>
              </xdr:cNvPr>
              <xdr:cNvSpPr/>
            </xdr:nvSpPr>
            <xdr:spPr bwMode="auto">
              <a:xfrm>
                <a:off x="5019675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62" name="Option Button 126" hidden="1">
                <a:extLst>
                  <a:ext uri="{63B3BB69-23CF-44E3-9099-C40C66FF867C}">
                    <a14:compatExt spid="_x0000_s40062"/>
                  </a:ext>
                  <a:ext uri="{FF2B5EF4-FFF2-40B4-BE49-F238E27FC236}">
                    <a16:creationId xmlns:a16="http://schemas.microsoft.com/office/drawing/2014/main" id="{00000000-0008-0000-1200-00007E9C0000}"/>
                  </a:ext>
                </a:extLst>
              </xdr:cNvPr>
              <xdr:cNvSpPr/>
            </xdr:nvSpPr>
            <xdr:spPr bwMode="auto">
              <a:xfrm>
                <a:off x="5457824" y="2152656"/>
                <a:ext cx="21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342900</xdr:colOff>
      <xdr:row>9</xdr:row>
      <xdr:rowOff>190500</xdr:rowOff>
    </xdr:from>
    <xdr:to>
      <xdr:col>20</xdr:col>
      <xdr:colOff>1037700</xdr:colOff>
      <xdr:row>11</xdr:row>
      <xdr:rowOff>341246</xdr:rowOff>
    </xdr:to>
    <xdr:sp macro="" textlink="">
      <xdr:nvSpPr>
        <xdr:cNvPr id="183" name="Rechteck 182">
          <a:extLst>
            <a:ext uri="{FF2B5EF4-FFF2-40B4-BE49-F238E27FC236}">
              <a16:creationId xmlns:a16="http://schemas.microsoft.com/office/drawing/2014/main" id="{00000000-0008-0000-1200-0000B7000000}"/>
            </a:ext>
          </a:extLst>
        </xdr:cNvPr>
        <xdr:cNvSpPr>
          <a:spLocks/>
        </xdr:cNvSpPr>
      </xdr:nvSpPr>
      <xdr:spPr>
        <a:xfrm>
          <a:off x="7334250" y="213360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9</xdr:row>
      <xdr:rowOff>190500</xdr:rowOff>
    </xdr:from>
    <xdr:to>
      <xdr:col>20</xdr:col>
      <xdr:colOff>1758286</xdr:colOff>
      <xdr:row>11</xdr:row>
      <xdr:rowOff>341246</xdr:rowOff>
    </xdr:to>
    <xdr:sp macro="" textlink="">
      <xdr:nvSpPr>
        <xdr:cNvPr id="184" name="Rechteck 183">
          <a:extLst>
            <a:ext uri="{FF2B5EF4-FFF2-40B4-BE49-F238E27FC236}">
              <a16:creationId xmlns:a16="http://schemas.microsoft.com/office/drawing/2014/main" id="{00000000-0008-0000-1200-0000B8000000}"/>
            </a:ext>
          </a:extLst>
        </xdr:cNvPr>
        <xdr:cNvSpPr>
          <a:spLocks/>
        </xdr:cNvSpPr>
      </xdr:nvSpPr>
      <xdr:spPr>
        <a:xfrm>
          <a:off x="8054836" y="213360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9</xdr:row>
      <xdr:rowOff>190500</xdr:rowOff>
    </xdr:from>
    <xdr:to>
      <xdr:col>20</xdr:col>
      <xdr:colOff>2478872</xdr:colOff>
      <xdr:row>11</xdr:row>
      <xdr:rowOff>341246</xdr:rowOff>
    </xdr:to>
    <xdr:sp macro="" textlink="">
      <xdr:nvSpPr>
        <xdr:cNvPr id="185" name="Rechteck 184">
          <a:extLst>
            <a:ext uri="{FF2B5EF4-FFF2-40B4-BE49-F238E27FC236}">
              <a16:creationId xmlns:a16="http://schemas.microsoft.com/office/drawing/2014/main" id="{00000000-0008-0000-1200-0000B9000000}"/>
            </a:ext>
          </a:extLst>
        </xdr:cNvPr>
        <xdr:cNvSpPr>
          <a:spLocks/>
        </xdr:cNvSpPr>
      </xdr:nvSpPr>
      <xdr:spPr>
        <a:xfrm>
          <a:off x="8775422" y="213360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11</xdr:row>
      <xdr:rowOff>381000</xdr:rowOff>
    </xdr:from>
    <xdr:to>
      <xdr:col>20</xdr:col>
      <xdr:colOff>1037700</xdr:colOff>
      <xdr:row>13</xdr:row>
      <xdr:rowOff>312671</xdr:rowOff>
    </xdr:to>
    <xdr:sp macro="" textlink="">
      <xdr:nvSpPr>
        <xdr:cNvPr id="186" name="Rechteck 185">
          <a:extLst>
            <a:ext uri="{FF2B5EF4-FFF2-40B4-BE49-F238E27FC236}">
              <a16:creationId xmlns:a16="http://schemas.microsoft.com/office/drawing/2014/main" id="{00000000-0008-0000-1200-0000BA000000}"/>
            </a:ext>
          </a:extLst>
        </xdr:cNvPr>
        <xdr:cNvSpPr>
          <a:spLocks/>
        </xdr:cNvSpPr>
      </xdr:nvSpPr>
      <xdr:spPr>
        <a:xfrm>
          <a:off x="7334250" y="292417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11</xdr:row>
      <xdr:rowOff>381000</xdr:rowOff>
    </xdr:from>
    <xdr:to>
      <xdr:col>20</xdr:col>
      <xdr:colOff>1758286</xdr:colOff>
      <xdr:row>13</xdr:row>
      <xdr:rowOff>312671</xdr:rowOff>
    </xdr:to>
    <xdr:sp macro="" textlink="">
      <xdr:nvSpPr>
        <xdr:cNvPr id="187" name="Rechteck 186">
          <a:extLst>
            <a:ext uri="{FF2B5EF4-FFF2-40B4-BE49-F238E27FC236}">
              <a16:creationId xmlns:a16="http://schemas.microsoft.com/office/drawing/2014/main" id="{00000000-0008-0000-1200-0000BB000000}"/>
            </a:ext>
          </a:extLst>
        </xdr:cNvPr>
        <xdr:cNvSpPr>
          <a:spLocks/>
        </xdr:cNvSpPr>
      </xdr:nvSpPr>
      <xdr:spPr>
        <a:xfrm>
          <a:off x="8054836" y="292417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11</xdr:row>
      <xdr:rowOff>381000</xdr:rowOff>
    </xdr:from>
    <xdr:to>
      <xdr:col>20</xdr:col>
      <xdr:colOff>2478872</xdr:colOff>
      <xdr:row>13</xdr:row>
      <xdr:rowOff>312671</xdr:rowOff>
    </xdr:to>
    <xdr:sp macro="" textlink="">
      <xdr:nvSpPr>
        <xdr:cNvPr id="188" name="Rechteck 187">
          <a:extLst>
            <a:ext uri="{FF2B5EF4-FFF2-40B4-BE49-F238E27FC236}">
              <a16:creationId xmlns:a16="http://schemas.microsoft.com/office/drawing/2014/main" id="{00000000-0008-0000-1200-0000BC000000}"/>
            </a:ext>
          </a:extLst>
        </xdr:cNvPr>
        <xdr:cNvSpPr>
          <a:spLocks/>
        </xdr:cNvSpPr>
      </xdr:nvSpPr>
      <xdr:spPr>
        <a:xfrm>
          <a:off x="8775422" y="292417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17</xdr:row>
      <xdr:rowOff>171450</xdr:rowOff>
    </xdr:from>
    <xdr:to>
      <xdr:col>20</xdr:col>
      <xdr:colOff>1037700</xdr:colOff>
      <xdr:row>19</xdr:row>
      <xdr:rowOff>322196</xdr:rowOff>
    </xdr:to>
    <xdr:sp macro="" textlink="">
      <xdr:nvSpPr>
        <xdr:cNvPr id="189" name="Rechteck 188">
          <a:extLst>
            <a:ext uri="{FF2B5EF4-FFF2-40B4-BE49-F238E27FC236}">
              <a16:creationId xmlns:a16="http://schemas.microsoft.com/office/drawing/2014/main" id="{00000000-0008-0000-1200-0000BD000000}"/>
            </a:ext>
          </a:extLst>
        </xdr:cNvPr>
        <xdr:cNvSpPr>
          <a:spLocks/>
        </xdr:cNvSpPr>
      </xdr:nvSpPr>
      <xdr:spPr>
        <a:xfrm>
          <a:off x="7334250" y="513397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17</xdr:row>
      <xdr:rowOff>171450</xdr:rowOff>
    </xdr:from>
    <xdr:to>
      <xdr:col>20</xdr:col>
      <xdr:colOff>1758286</xdr:colOff>
      <xdr:row>19</xdr:row>
      <xdr:rowOff>322196</xdr:rowOff>
    </xdr:to>
    <xdr:sp macro="" textlink="">
      <xdr:nvSpPr>
        <xdr:cNvPr id="190" name="Rechteck 189">
          <a:extLst>
            <a:ext uri="{FF2B5EF4-FFF2-40B4-BE49-F238E27FC236}">
              <a16:creationId xmlns:a16="http://schemas.microsoft.com/office/drawing/2014/main" id="{00000000-0008-0000-1200-0000BE000000}"/>
            </a:ext>
          </a:extLst>
        </xdr:cNvPr>
        <xdr:cNvSpPr>
          <a:spLocks/>
        </xdr:cNvSpPr>
      </xdr:nvSpPr>
      <xdr:spPr>
        <a:xfrm>
          <a:off x="8054836" y="513397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17</xdr:row>
      <xdr:rowOff>171450</xdr:rowOff>
    </xdr:from>
    <xdr:to>
      <xdr:col>20</xdr:col>
      <xdr:colOff>2478872</xdr:colOff>
      <xdr:row>19</xdr:row>
      <xdr:rowOff>322196</xdr:rowOff>
    </xdr:to>
    <xdr:sp macro="" textlink="">
      <xdr:nvSpPr>
        <xdr:cNvPr id="191" name="Rechteck 190">
          <a:extLst>
            <a:ext uri="{FF2B5EF4-FFF2-40B4-BE49-F238E27FC236}">
              <a16:creationId xmlns:a16="http://schemas.microsoft.com/office/drawing/2014/main" id="{00000000-0008-0000-1200-0000BF000000}"/>
            </a:ext>
          </a:extLst>
        </xdr:cNvPr>
        <xdr:cNvSpPr>
          <a:spLocks/>
        </xdr:cNvSpPr>
      </xdr:nvSpPr>
      <xdr:spPr>
        <a:xfrm>
          <a:off x="8775422" y="513397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19</xdr:row>
      <xdr:rowOff>361950</xdr:rowOff>
    </xdr:from>
    <xdr:to>
      <xdr:col>20</xdr:col>
      <xdr:colOff>1037700</xdr:colOff>
      <xdr:row>21</xdr:row>
      <xdr:rowOff>312671</xdr:rowOff>
    </xdr:to>
    <xdr:sp macro="" textlink="">
      <xdr:nvSpPr>
        <xdr:cNvPr id="192" name="Rechteck 191">
          <a:extLst>
            <a:ext uri="{FF2B5EF4-FFF2-40B4-BE49-F238E27FC236}">
              <a16:creationId xmlns:a16="http://schemas.microsoft.com/office/drawing/2014/main" id="{00000000-0008-0000-1200-0000C0000000}"/>
            </a:ext>
          </a:extLst>
        </xdr:cNvPr>
        <xdr:cNvSpPr>
          <a:spLocks/>
        </xdr:cNvSpPr>
      </xdr:nvSpPr>
      <xdr:spPr>
        <a:xfrm>
          <a:off x="7334250" y="59245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19</xdr:row>
      <xdr:rowOff>361950</xdr:rowOff>
    </xdr:from>
    <xdr:to>
      <xdr:col>20</xdr:col>
      <xdr:colOff>1758286</xdr:colOff>
      <xdr:row>21</xdr:row>
      <xdr:rowOff>312671</xdr:rowOff>
    </xdr:to>
    <xdr:sp macro="" textlink="">
      <xdr:nvSpPr>
        <xdr:cNvPr id="193" name="Rechteck 192">
          <a:extLst>
            <a:ext uri="{FF2B5EF4-FFF2-40B4-BE49-F238E27FC236}">
              <a16:creationId xmlns:a16="http://schemas.microsoft.com/office/drawing/2014/main" id="{00000000-0008-0000-1200-0000C1000000}"/>
            </a:ext>
          </a:extLst>
        </xdr:cNvPr>
        <xdr:cNvSpPr>
          <a:spLocks/>
        </xdr:cNvSpPr>
      </xdr:nvSpPr>
      <xdr:spPr>
        <a:xfrm>
          <a:off x="8054836" y="59245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19</xdr:row>
      <xdr:rowOff>361950</xdr:rowOff>
    </xdr:from>
    <xdr:to>
      <xdr:col>20</xdr:col>
      <xdr:colOff>2478872</xdr:colOff>
      <xdr:row>21</xdr:row>
      <xdr:rowOff>312671</xdr:rowOff>
    </xdr:to>
    <xdr:sp macro="" textlink="">
      <xdr:nvSpPr>
        <xdr:cNvPr id="194" name="Rechteck 193">
          <a:extLst>
            <a:ext uri="{FF2B5EF4-FFF2-40B4-BE49-F238E27FC236}">
              <a16:creationId xmlns:a16="http://schemas.microsoft.com/office/drawing/2014/main" id="{00000000-0008-0000-1200-0000C2000000}"/>
            </a:ext>
          </a:extLst>
        </xdr:cNvPr>
        <xdr:cNvSpPr>
          <a:spLocks/>
        </xdr:cNvSpPr>
      </xdr:nvSpPr>
      <xdr:spPr>
        <a:xfrm>
          <a:off x="8775422" y="59245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26</xdr:row>
      <xdr:rowOff>171450</xdr:rowOff>
    </xdr:from>
    <xdr:to>
      <xdr:col>20</xdr:col>
      <xdr:colOff>1037700</xdr:colOff>
      <xdr:row>28</xdr:row>
      <xdr:rowOff>322196</xdr:rowOff>
    </xdr:to>
    <xdr:sp macro="" textlink="">
      <xdr:nvSpPr>
        <xdr:cNvPr id="195" name="Rechteck 194">
          <a:extLst>
            <a:ext uri="{FF2B5EF4-FFF2-40B4-BE49-F238E27FC236}">
              <a16:creationId xmlns:a16="http://schemas.microsoft.com/office/drawing/2014/main" id="{00000000-0008-0000-1200-0000C3000000}"/>
            </a:ext>
          </a:extLst>
        </xdr:cNvPr>
        <xdr:cNvSpPr>
          <a:spLocks/>
        </xdr:cNvSpPr>
      </xdr:nvSpPr>
      <xdr:spPr>
        <a:xfrm>
          <a:off x="7334250" y="853440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26</xdr:row>
      <xdr:rowOff>171450</xdr:rowOff>
    </xdr:from>
    <xdr:to>
      <xdr:col>20</xdr:col>
      <xdr:colOff>1758286</xdr:colOff>
      <xdr:row>28</xdr:row>
      <xdr:rowOff>322196</xdr:rowOff>
    </xdr:to>
    <xdr:sp macro="" textlink="">
      <xdr:nvSpPr>
        <xdr:cNvPr id="196" name="Rechteck 195">
          <a:extLst>
            <a:ext uri="{FF2B5EF4-FFF2-40B4-BE49-F238E27FC236}">
              <a16:creationId xmlns:a16="http://schemas.microsoft.com/office/drawing/2014/main" id="{00000000-0008-0000-1200-0000C4000000}"/>
            </a:ext>
          </a:extLst>
        </xdr:cNvPr>
        <xdr:cNvSpPr>
          <a:spLocks/>
        </xdr:cNvSpPr>
      </xdr:nvSpPr>
      <xdr:spPr>
        <a:xfrm>
          <a:off x="8054836" y="853440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26</xdr:row>
      <xdr:rowOff>171450</xdr:rowOff>
    </xdr:from>
    <xdr:to>
      <xdr:col>20</xdr:col>
      <xdr:colOff>2478872</xdr:colOff>
      <xdr:row>28</xdr:row>
      <xdr:rowOff>322196</xdr:rowOff>
    </xdr:to>
    <xdr:sp macro="" textlink="">
      <xdr:nvSpPr>
        <xdr:cNvPr id="197" name="Rechteck 196">
          <a:extLst>
            <a:ext uri="{FF2B5EF4-FFF2-40B4-BE49-F238E27FC236}">
              <a16:creationId xmlns:a16="http://schemas.microsoft.com/office/drawing/2014/main" id="{00000000-0008-0000-1200-0000C5000000}"/>
            </a:ext>
          </a:extLst>
        </xdr:cNvPr>
        <xdr:cNvSpPr>
          <a:spLocks/>
        </xdr:cNvSpPr>
      </xdr:nvSpPr>
      <xdr:spPr>
        <a:xfrm>
          <a:off x="8775422" y="853440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28</xdr:row>
      <xdr:rowOff>361950</xdr:rowOff>
    </xdr:from>
    <xdr:to>
      <xdr:col>20</xdr:col>
      <xdr:colOff>1037700</xdr:colOff>
      <xdr:row>29</xdr:row>
      <xdr:rowOff>712721</xdr:rowOff>
    </xdr:to>
    <xdr:sp macro="" textlink="">
      <xdr:nvSpPr>
        <xdr:cNvPr id="198" name="Rechteck 197">
          <a:extLst>
            <a:ext uri="{FF2B5EF4-FFF2-40B4-BE49-F238E27FC236}">
              <a16:creationId xmlns:a16="http://schemas.microsoft.com/office/drawing/2014/main" id="{00000000-0008-0000-1200-0000C6000000}"/>
            </a:ext>
          </a:extLst>
        </xdr:cNvPr>
        <xdr:cNvSpPr>
          <a:spLocks/>
        </xdr:cNvSpPr>
      </xdr:nvSpPr>
      <xdr:spPr>
        <a:xfrm>
          <a:off x="7334250" y="932497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28</xdr:row>
      <xdr:rowOff>361950</xdr:rowOff>
    </xdr:from>
    <xdr:to>
      <xdr:col>20</xdr:col>
      <xdr:colOff>1758286</xdr:colOff>
      <xdr:row>29</xdr:row>
      <xdr:rowOff>712721</xdr:rowOff>
    </xdr:to>
    <xdr:sp macro="" textlink="">
      <xdr:nvSpPr>
        <xdr:cNvPr id="199" name="Rechteck 198">
          <a:extLst>
            <a:ext uri="{FF2B5EF4-FFF2-40B4-BE49-F238E27FC236}">
              <a16:creationId xmlns:a16="http://schemas.microsoft.com/office/drawing/2014/main" id="{00000000-0008-0000-1200-0000C7000000}"/>
            </a:ext>
          </a:extLst>
        </xdr:cNvPr>
        <xdr:cNvSpPr>
          <a:spLocks/>
        </xdr:cNvSpPr>
      </xdr:nvSpPr>
      <xdr:spPr>
        <a:xfrm>
          <a:off x="8054836" y="932497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28</xdr:row>
      <xdr:rowOff>361950</xdr:rowOff>
    </xdr:from>
    <xdr:to>
      <xdr:col>20</xdr:col>
      <xdr:colOff>2478872</xdr:colOff>
      <xdr:row>29</xdr:row>
      <xdr:rowOff>712721</xdr:rowOff>
    </xdr:to>
    <xdr:sp macro="" textlink="">
      <xdr:nvSpPr>
        <xdr:cNvPr id="200" name="Rechteck 199">
          <a:extLst>
            <a:ext uri="{FF2B5EF4-FFF2-40B4-BE49-F238E27FC236}">
              <a16:creationId xmlns:a16="http://schemas.microsoft.com/office/drawing/2014/main" id="{00000000-0008-0000-1200-0000C8000000}"/>
            </a:ext>
          </a:extLst>
        </xdr:cNvPr>
        <xdr:cNvSpPr>
          <a:spLocks/>
        </xdr:cNvSpPr>
      </xdr:nvSpPr>
      <xdr:spPr>
        <a:xfrm>
          <a:off x="8775422" y="932497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18</xdr:row>
          <xdr:rowOff>9591</xdr:rowOff>
        </xdr:from>
        <xdr:to>
          <xdr:col>16</xdr:col>
          <xdr:colOff>76191</xdr:colOff>
          <xdr:row>18</xdr:row>
          <xdr:rowOff>203596</xdr:rowOff>
        </xdr:to>
        <xdr:grpSp>
          <xdr:nvGrpSpPr>
            <xdr:cNvPr id="201" name="Gruppieren 200">
              <a:extLst>
                <a:ext uri="{FF2B5EF4-FFF2-40B4-BE49-F238E27FC236}">
                  <a16:creationId xmlns:a16="http://schemas.microsoft.com/office/drawing/2014/main" id="{00000000-0008-0000-1200-0000C9000000}"/>
                </a:ext>
              </a:extLst>
            </xdr:cNvPr>
            <xdr:cNvGrpSpPr/>
          </xdr:nvGrpSpPr>
          <xdr:grpSpPr>
            <a:xfrm>
              <a:off x="4417688" y="5214051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063" name="Group Box 127" hidden="1">
                <a:extLst>
                  <a:ext uri="{63B3BB69-23CF-44E3-9099-C40C66FF867C}">
                    <a14:compatExt spid="_x0000_s40063"/>
                  </a:ext>
                  <a:ext uri="{FF2B5EF4-FFF2-40B4-BE49-F238E27FC236}">
                    <a16:creationId xmlns:a16="http://schemas.microsoft.com/office/drawing/2014/main" id="{00000000-0008-0000-1200-00007F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64" name="Option Button 128" hidden="1">
                <a:extLst>
                  <a:ext uri="{63B3BB69-23CF-44E3-9099-C40C66FF867C}">
                    <a14:compatExt spid="_x0000_s40064"/>
                  </a:ext>
                  <a:ext uri="{FF2B5EF4-FFF2-40B4-BE49-F238E27FC236}">
                    <a16:creationId xmlns:a16="http://schemas.microsoft.com/office/drawing/2014/main" id="{00000000-0008-0000-1200-000080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65" name="Option Button 129" hidden="1">
                <a:extLst>
                  <a:ext uri="{63B3BB69-23CF-44E3-9099-C40C66FF867C}">
                    <a14:compatExt spid="_x0000_s40065"/>
                  </a:ext>
                  <a:ext uri="{FF2B5EF4-FFF2-40B4-BE49-F238E27FC236}">
                    <a16:creationId xmlns:a16="http://schemas.microsoft.com/office/drawing/2014/main" id="{00000000-0008-0000-1200-000081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66" name="Option Button 130" hidden="1">
                <a:extLst>
                  <a:ext uri="{63B3BB69-23CF-44E3-9099-C40C66FF867C}">
                    <a14:compatExt spid="_x0000_s40066"/>
                  </a:ext>
                  <a:ext uri="{FF2B5EF4-FFF2-40B4-BE49-F238E27FC236}">
                    <a16:creationId xmlns:a16="http://schemas.microsoft.com/office/drawing/2014/main" id="{00000000-0008-0000-1200-000082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67" name="Option Button 131" hidden="1">
                <a:extLst>
                  <a:ext uri="{63B3BB69-23CF-44E3-9099-C40C66FF867C}">
                    <a14:compatExt spid="_x0000_s40067"/>
                  </a:ext>
                  <a:ext uri="{FF2B5EF4-FFF2-40B4-BE49-F238E27FC236}">
                    <a16:creationId xmlns:a16="http://schemas.microsoft.com/office/drawing/2014/main" id="{00000000-0008-0000-1200-000083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68" name="Option Button 132" hidden="1">
                <a:extLst>
                  <a:ext uri="{63B3BB69-23CF-44E3-9099-C40C66FF867C}">
                    <a14:compatExt spid="_x0000_s40068"/>
                  </a:ext>
                  <a:ext uri="{FF2B5EF4-FFF2-40B4-BE49-F238E27FC236}">
                    <a16:creationId xmlns:a16="http://schemas.microsoft.com/office/drawing/2014/main" id="{00000000-0008-0000-1200-000084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19</xdr:row>
          <xdr:rowOff>9591</xdr:rowOff>
        </xdr:from>
        <xdr:to>
          <xdr:col>16</xdr:col>
          <xdr:colOff>76191</xdr:colOff>
          <xdr:row>19</xdr:row>
          <xdr:rowOff>203596</xdr:rowOff>
        </xdr:to>
        <xdr:grpSp>
          <xdr:nvGrpSpPr>
            <xdr:cNvPr id="208" name="Gruppieren 207">
              <a:extLst>
                <a:ext uri="{FF2B5EF4-FFF2-40B4-BE49-F238E27FC236}">
                  <a16:creationId xmlns:a16="http://schemas.microsoft.com/office/drawing/2014/main" id="{00000000-0008-0000-1200-0000D0000000}"/>
                </a:ext>
              </a:extLst>
            </xdr:cNvPr>
            <xdr:cNvGrpSpPr/>
          </xdr:nvGrpSpPr>
          <xdr:grpSpPr>
            <a:xfrm>
              <a:off x="4417688" y="5610291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069" name="Group Box 133" hidden="1">
                <a:extLst>
                  <a:ext uri="{63B3BB69-23CF-44E3-9099-C40C66FF867C}">
                    <a14:compatExt spid="_x0000_s40069"/>
                  </a:ext>
                  <a:ext uri="{FF2B5EF4-FFF2-40B4-BE49-F238E27FC236}">
                    <a16:creationId xmlns:a16="http://schemas.microsoft.com/office/drawing/2014/main" id="{00000000-0008-0000-1200-000085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70" name="Option Button 134" hidden="1">
                <a:extLst>
                  <a:ext uri="{63B3BB69-23CF-44E3-9099-C40C66FF867C}">
                    <a14:compatExt spid="_x0000_s40070"/>
                  </a:ext>
                  <a:ext uri="{FF2B5EF4-FFF2-40B4-BE49-F238E27FC236}">
                    <a16:creationId xmlns:a16="http://schemas.microsoft.com/office/drawing/2014/main" id="{00000000-0008-0000-1200-000086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71" name="Option Button 135" hidden="1">
                <a:extLst>
                  <a:ext uri="{63B3BB69-23CF-44E3-9099-C40C66FF867C}">
                    <a14:compatExt spid="_x0000_s40071"/>
                  </a:ext>
                  <a:ext uri="{FF2B5EF4-FFF2-40B4-BE49-F238E27FC236}">
                    <a16:creationId xmlns:a16="http://schemas.microsoft.com/office/drawing/2014/main" id="{00000000-0008-0000-1200-000087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72" name="Option Button 136" hidden="1">
                <a:extLst>
                  <a:ext uri="{63B3BB69-23CF-44E3-9099-C40C66FF867C}">
                    <a14:compatExt spid="_x0000_s40072"/>
                  </a:ext>
                  <a:ext uri="{FF2B5EF4-FFF2-40B4-BE49-F238E27FC236}">
                    <a16:creationId xmlns:a16="http://schemas.microsoft.com/office/drawing/2014/main" id="{00000000-0008-0000-1200-000088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73" name="Option Button 137" hidden="1">
                <a:extLst>
                  <a:ext uri="{63B3BB69-23CF-44E3-9099-C40C66FF867C}">
                    <a14:compatExt spid="_x0000_s40073"/>
                  </a:ext>
                  <a:ext uri="{FF2B5EF4-FFF2-40B4-BE49-F238E27FC236}">
                    <a16:creationId xmlns:a16="http://schemas.microsoft.com/office/drawing/2014/main" id="{00000000-0008-0000-1200-000089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74" name="Option Button 138" hidden="1">
                <a:extLst>
                  <a:ext uri="{63B3BB69-23CF-44E3-9099-C40C66FF867C}">
                    <a14:compatExt spid="_x0000_s40074"/>
                  </a:ext>
                  <a:ext uri="{FF2B5EF4-FFF2-40B4-BE49-F238E27FC236}">
                    <a16:creationId xmlns:a16="http://schemas.microsoft.com/office/drawing/2014/main" id="{00000000-0008-0000-1200-00008A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20</xdr:row>
          <xdr:rowOff>9591</xdr:rowOff>
        </xdr:from>
        <xdr:to>
          <xdr:col>16</xdr:col>
          <xdr:colOff>76191</xdr:colOff>
          <xdr:row>20</xdr:row>
          <xdr:rowOff>203596</xdr:rowOff>
        </xdr:to>
        <xdr:grpSp>
          <xdr:nvGrpSpPr>
            <xdr:cNvPr id="215" name="Gruppieren 214">
              <a:extLst>
                <a:ext uri="{FF2B5EF4-FFF2-40B4-BE49-F238E27FC236}">
                  <a16:creationId xmlns:a16="http://schemas.microsoft.com/office/drawing/2014/main" id="{00000000-0008-0000-1200-0000D7000000}"/>
                </a:ext>
              </a:extLst>
            </xdr:cNvPr>
            <xdr:cNvGrpSpPr/>
          </xdr:nvGrpSpPr>
          <xdr:grpSpPr>
            <a:xfrm>
              <a:off x="4417688" y="6006531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075" name="Group Box 139" hidden="1">
                <a:extLst>
                  <a:ext uri="{63B3BB69-23CF-44E3-9099-C40C66FF867C}">
                    <a14:compatExt spid="_x0000_s40075"/>
                  </a:ext>
                  <a:ext uri="{FF2B5EF4-FFF2-40B4-BE49-F238E27FC236}">
                    <a16:creationId xmlns:a16="http://schemas.microsoft.com/office/drawing/2014/main" id="{00000000-0008-0000-1200-00008B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76" name="Option Button 140" hidden="1">
                <a:extLst>
                  <a:ext uri="{63B3BB69-23CF-44E3-9099-C40C66FF867C}">
                    <a14:compatExt spid="_x0000_s40076"/>
                  </a:ext>
                  <a:ext uri="{FF2B5EF4-FFF2-40B4-BE49-F238E27FC236}">
                    <a16:creationId xmlns:a16="http://schemas.microsoft.com/office/drawing/2014/main" id="{00000000-0008-0000-1200-00008C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77" name="Option Button 141" hidden="1">
                <a:extLst>
                  <a:ext uri="{63B3BB69-23CF-44E3-9099-C40C66FF867C}">
                    <a14:compatExt spid="_x0000_s40077"/>
                  </a:ext>
                  <a:ext uri="{FF2B5EF4-FFF2-40B4-BE49-F238E27FC236}">
                    <a16:creationId xmlns:a16="http://schemas.microsoft.com/office/drawing/2014/main" id="{00000000-0008-0000-1200-00008D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78" name="Option Button 142" hidden="1">
                <a:extLst>
                  <a:ext uri="{63B3BB69-23CF-44E3-9099-C40C66FF867C}">
                    <a14:compatExt spid="_x0000_s40078"/>
                  </a:ext>
                  <a:ext uri="{FF2B5EF4-FFF2-40B4-BE49-F238E27FC236}">
                    <a16:creationId xmlns:a16="http://schemas.microsoft.com/office/drawing/2014/main" id="{00000000-0008-0000-1200-00008E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79" name="Option Button 143" hidden="1">
                <a:extLst>
                  <a:ext uri="{63B3BB69-23CF-44E3-9099-C40C66FF867C}">
                    <a14:compatExt spid="_x0000_s40079"/>
                  </a:ext>
                  <a:ext uri="{FF2B5EF4-FFF2-40B4-BE49-F238E27FC236}">
                    <a16:creationId xmlns:a16="http://schemas.microsoft.com/office/drawing/2014/main" id="{00000000-0008-0000-1200-00008F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80" name="Option Button 144" hidden="1">
                <a:extLst>
                  <a:ext uri="{63B3BB69-23CF-44E3-9099-C40C66FF867C}">
                    <a14:compatExt spid="_x0000_s40080"/>
                  </a:ext>
                  <a:ext uri="{FF2B5EF4-FFF2-40B4-BE49-F238E27FC236}">
                    <a16:creationId xmlns:a16="http://schemas.microsoft.com/office/drawing/2014/main" id="{00000000-0008-0000-1200-000090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21</xdr:row>
          <xdr:rowOff>66</xdr:rowOff>
        </xdr:from>
        <xdr:to>
          <xdr:col>16</xdr:col>
          <xdr:colOff>76191</xdr:colOff>
          <xdr:row>21</xdr:row>
          <xdr:rowOff>194071</xdr:rowOff>
        </xdr:to>
        <xdr:grpSp>
          <xdr:nvGrpSpPr>
            <xdr:cNvPr id="222" name="Gruppieren 221">
              <a:extLst>
                <a:ext uri="{FF2B5EF4-FFF2-40B4-BE49-F238E27FC236}">
                  <a16:creationId xmlns:a16="http://schemas.microsoft.com/office/drawing/2014/main" id="{00000000-0008-0000-1200-0000DE000000}"/>
                </a:ext>
              </a:extLst>
            </xdr:cNvPr>
            <xdr:cNvGrpSpPr/>
          </xdr:nvGrpSpPr>
          <xdr:grpSpPr>
            <a:xfrm>
              <a:off x="4417688" y="6393246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081" name="Group Box 145" hidden="1">
                <a:extLst>
                  <a:ext uri="{63B3BB69-23CF-44E3-9099-C40C66FF867C}">
                    <a14:compatExt spid="_x0000_s40081"/>
                  </a:ext>
                  <a:ext uri="{FF2B5EF4-FFF2-40B4-BE49-F238E27FC236}">
                    <a16:creationId xmlns:a16="http://schemas.microsoft.com/office/drawing/2014/main" id="{00000000-0008-0000-1200-000091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82" name="Option Button 146" hidden="1">
                <a:extLst>
                  <a:ext uri="{63B3BB69-23CF-44E3-9099-C40C66FF867C}">
                    <a14:compatExt spid="_x0000_s40082"/>
                  </a:ext>
                  <a:ext uri="{FF2B5EF4-FFF2-40B4-BE49-F238E27FC236}">
                    <a16:creationId xmlns:a16="http://schemas.microsoft.com/office/drawing/2014/main" id="{00000000-0008-0000-1200-000092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83" name="Option Button 147" hidden="1">
                <a:extLst>
                  <a:ext uri="{63B3BB69-23CF-44E3-9099-C40C66FF867C}">
                    <a14:compatExt spid="_x0000_s40083"/>
                  </a:ext>
                  <a:ext uri="{FF2B5EF4-FFF2-40B4-BE49-F238E27FC236}">
                    <a16:creationId xmlns:a16="http://schemas.microsoft.com/office/drawing/2014/main" id="{00000000-0008-0000-1200-000093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84" name="Option Button 148" hidden="1">
                <a:extLst>
                  <a:ext uri="{63B3BB69-23CF-44E3-9099-C40C66FF867C}">
                    <a14:compatExt spid="_x0000_s40084"/>
                  </a:ext>
                  <a:ext uri="{FF2B5EF4-FFF2-40B4-BE49-F238E27FC236}">
                    <a16:creationId xmlns:a16="http://schemas.microsoft.com/office/drawing/2014/main" id="{00000000-0008-0000-1200-000094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85" name="Option Button 149" hidden="1">
                <a:extLst>
                  <a:ext uri="{63B3BB69-23CF-44E3-9099-C40C66FF867C}">
                    <a14:compatExt spid="_x0000_s40085"/>
                  </a:ext>
                  <a:ext uri="{FF2B5EF4-FFF2-40B4-BE49-F238E27FC236}">
                    <a16:creationId xmlns:a16="http://schemas.microsoft.com/office/drawing/2014/main" id="{00000000-0008-0000-1200-000095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86" name="Option Button 150" hidden="1">
                <a:extLst>
                  <a:ext uri="{63B3BB69-23CF-44E3-9099-C40C66FF867C}">
                    <a14:compatExt spid="_x0000_s40086"/>
                  </a:ext>
                  <a:ext uri="{FF2B5EF4-FFF2-40B4-BE49-F238E27FC236}">
                    <a16:creationId xmlns:a16="http://schemas.microsoft.com/office/drawing/2014/main" id="{00000000-0008-0000-1200-000096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22</xdr:row>
          <xdr:rowOff>66</xdr:rowOff>
        </xdr:from>
        <xdr:to>
          <xdr:col>16</xdr:col>
          <xdr:colOff>76191</xdr:colOff>
          <xdr:row>22</xdr:row>
          <xdr:rowOff>194071</xdr:rowOff>
        </xdr:to>
        <xdr:grpSp>
          <xdr:nvGrpSpPr>
            <xdr:cNvPr id="229" name="Gruppieren 228">
              <a:extLst>
                <a:ext uri="{FF2B5EF4-FFF2-40B4-BE49-F238E27FC236}">
                  <a16:creationId xmlns:a16="http://schemas.microsoft.com/office/drawing/2014/main" id="{00000000-0008-0000-1200-0000E5000000}"/>
                </a:ext>
              </a:extLst>
            </xdr:cNvPr>
            <xdr:cNvGrpSpPr/>
          </xdr:nvGrpSpPr>
          <xdr:grpSpPr>
            <a:xfrm>
              <a:off x="4417688" y="6789486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087" name="Group Box 151" hidden="1">
                <a:extLst>
                  <a:ext uri="{63B3BB69-23CF-44E3-9099-C40C66FF867C}">
                    <a14:compatExt spid="_x0000_s40087"/>
                  </a:ext>
                  <a:ext uri="{FF2B5EF4-FFF2-40B4-BE49-F238E27FC236}">
                    <a16:creationId xmlns:a16="http://schemas.microsoft.com/office/drawing/2014/main" id="{00000000-0008-0000-1200-000097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88" name="Option Button 152" hidden="1">
                <a:extLst>
                  <a:ext uri="{63B3BB69-23CF-44E3-9099-C40C66FF867C}">
                    <a14:compatExt spid="_x0000_s40088"/>
                  </a:ext>
                  <a:ext uri="{FF2B5EF4-FFF2-40B4-BE49-F238E27FC236}">
                    <a16:creationId xmlns:a16="http://schemas.microsoft.com/office/drawing/2014/main" id="{00000000-0008-0000-1200-000098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89" name="Option Button 153" hidden="1">
                <a:extLst>
                  <a:ext uri="{63B3BB69-23CF-44E3-9099-C40C66FF867C}">
                    <a14:compatExt spid="_x0000_s40089"/>
                  </a:ext>
                  <a:ext uri="{FF2B5EF4-FFF2-40B4-BE49-F238E27FC236}">
                    <a16:creationId xmlns:a16="http://schemas.microsoft.com/office/drawing/2014/main" id="{00000000-0008-0000-1200-000099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90" name="Option Button 154" hidden="1">
                <a:extLst>
                  <a:ext uri="{63B3BB69-23CF-44E3-9099-C40C66FF867C}">
                    <a14:compatExt spid="_x0000_s40090"/>
                  </a:ext>
                  <a:ext uri="{FF2B5EF4-FFF2-40B4-BE49-F238E27FC236}">
                    <a16:creationId xmlns:a16="http://schemas.microsoft.com/office/drawing/2014/main" id="{00000000-0008-0000-1200-00009A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91" name="Option Button 155" hidden="1">
                <a:extLst>
                  <a:ext uri="{63B3BB69-23CF-44E3-9099-C40C66FF867C}">
                    <a14:compatExt spid="_x0000_s40091"/>
                  </a:ext>
                  <a:ext uri="{FF2B5EF4-FFF2-40B4-BE49-F238E27FC236}">
                    <a16:creationId xmlns:a16="http://schemas.microsoft.com/office/drawing/2014/main" id="{00000000-0008-0000-1200-00009B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92" name="Option Button 156" hidden="1">
                <a:extLst>
                  <a:ext uri="{63B3BB69-23CF-44E3-9099-C40C66FF867C}">
                    <a14:compatExt spid="_x0000_s40092"/>
                  </a:ext>
                  <a:ext uri="{FF2B5EF4-FFF2-40B4-BE49-F238E27FC236}">
                    <a16:creationId xmlns:a16="http://schemas.microsoft.com/office/drawing/2014/main" id="{00000000-0008-0000-1200-00009C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9</xdr:row>
      <xdr:rowOff>85724</xdr:rowOff>
    </xdr:from>
    <xdr:to>
      <xdr:col>21</xdr:col>
      <xdr:colOff>133349</xdr:colOff>
      <xdr:row>14</xdr:row>
      <xdr:rowOff>219074</xdr:rowOff>
    </xdr:to>
    <xdr:graphicFrame macro="">
      <xdr:nvGraphicFramePr>
        <xdr:cNvPr id="236" name="Diagramm 235">
          <a:extLst>
            <a:ext uri="{FF2B5EF4-FFF2-40B4-BE49-F238E27FC236}">
              <a16:creationId xmlns:a16="http://schemas.microsoft.com/office/drawing/2014/main" id="{00000000-0008-0000-1200-0000E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20</xdr:col>
      <xdr:colOff>57150</xdr:colOff>
      <xdr:row>17</xdr:row>
      <xdr:rowOff>66674</xdr:rowOff>
    </xdr:from>
    <xdr:to>
      <xdr:col>21</xdr:col>
      <xdr:colOff>133349</xdr:colOff>
      <xdr:row>22</xdr:row>
      <xdr:rowOff>219074</xdr:rowOff>
    </xdr:to>
    <xdr:graphicFrame macro="">
      <xdr:nvGraphicFramePr>
        <xdr:cNvPr id="237" name="Diagramm 236">
          <a:extLst>
            <a:ext uri="{FF2B5EF4-FFF2-40B4-BE49-F238E27FC236}">
              <a16:creationId xmlns:a16="http://schemas.microsoft.com/office/drawing/2014/main" id="{00000000-0008-0000-1200-0000E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27</xdr:row>
          <xdr:rowOff>19016</xdr:rowOff>
        </xdr:from>
        <xdr:to>
          <xdr:col>16</xdr:col>
          <xdr:colOff>76191</xdr:colOff>
          <xdr:row>27</xdr:row>
          <xdr:rowOff>188312</xdr:rowOff>
        </xdr:to>
        <xdr:grpSp>
          <xdr:nvGrpSpPr>
            <xdr:cNvPr id="238" name="Gruppieren 237">
              <a:extLst>
                <a:ext uri="{FF2B5EF4-FFF2-40B4-BE49-F238E27FC236}">
                  <a16:creationId xmlns:a16="http://schemas.microsoft.com/office/drawing/2014/main" id="{00000000-0008-0000-1200-0000EE000000}"/>
                </a:ext>
              </a:extLst>
            </xdr:cNvPr>
            <xdr:cNvGrpSpPr/>
          </xdr:nvGrpSpPr>
          <xdr:grpSpPr>
            <a:xfrm>
              <a:off x="4417688" y="8591516"/>
              <a:ext cx="2295523" cy="169296"/>
              <a:chOff x="3581259" y="2104735"/>
              <a:chExt cx="2247895" cy="276225"/>
            </a:xfrm>
          </xdr:grpSpPr>
          <xdr:sp macro="" textlink="">
            <xdr:nvSpPr>
              <xdr:cNvPr id="40093" name="Group Box 157" hidden="1">
                <a:extLst>
                  <a:ext uri="{63B3BB69-23CF-44E3-9099-C40C66FF867C}">
                    <a14:compatExt spid="_x0000_s40093"/>
                  </a:ext>
                  <a:ext uri="{FF2B5EF4-FFF2-40B4-BE49-F238E27FC236}">
                    <a16:creationId xmlns:a16="http://schemas.microsoft.com/office/drawing/2014/main" id="{00000000-0008-0000-1200-00009D9C0000}"/>
                  </a:ext>
                </a:extLst>
              </xdr:cNvPr>
              <xdr:cNvSpPr/>
            </xdr:nvSpPr>
            <xdr:spPr bwMode="auto">
              <a:xfrm>
                <a:off x="3581259" y="2104735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094" name="Option Button 158" hidden="1">
                <a:extLst>
                  <a:ext uri="{63B3BB69-23CF-44E3-9099-C40C66FF867C}">
                    <a14:compatExt spid="_x0000_s40094"/>
                  </a:ext>
                  <a:ext uri="{FF2B5EF4-FFF2-40B4-BE49-F238E27FC236}">
                    <a16:creationId xmlns:a16="http://schemas.microsoft.com/office/drawing/2014/main" id="{00000000-0008-0000-1200-00009E9C0000}"/>
                  </a:ext>
                </a:extLst>
              </xdr:cNvPr>
              <xdr:cNvSpPr/>
            </xdr:nvSpPr>
            <xdr:spPr bwMode="auto">
              <a:xfrm>
                <a:off x="3705226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95" name="Option Button 159" hidden="1">
                <a:extLst>
                  <a:ext uri="{63B3BB69-23CF-44E3-9099-C40C66FF867C}">
                    <a14:compatExt spid="_x0000_s40095"/>
                  </a:ext>
                  <a:ext uri="{FF2B5EF4-FFF2-40B4-BE49-F238E27FC236}">
                    <a16:creationId xmlns:a16="http://schemas.microsoft.com/office/drawing/2014/main" id="{00000000-0008-0000-1200-00009F9C0000}"/>
                  </a:ext>
                </a:extLst>
              </xdr:cNvPr>
              <xdr:cNvSpPr/>
            </xdr:nvSpPr>
            <xdr:spPr bwMode="auto">
              <a:xfrm>
                <a:off x="4143376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96" name="Option Button 160" hidden="1">
                <a:extLst>
                  <a:ext uri="{63B3BB69-23CF-44E3-9099-C40C66FF867C}">
                    <a14:compatExt spid="_x0000_s40096"/>
                  </a:ext>
                  <a:ext uri="{FF2B5EF4-FFF2-40B4-BE49-F238E27FC236}">
                    <a16:creationId xmlns:a16="http://schemas.microsoft.com/office/drawing/2014/main" id="{00000000-0008-0000-1200-0000A09C0000}"/>
                  </a:ext>
                </a:extLst>
              </xdr:cNvPr>
              <xdr:cNvSpPr/>
            </xdr:nvSpPr>
            <xdr:spPr bwMode="auto">
              <a:xfrm>
                <a:off x="4581525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97" name="Option Button 161" hidden="1">
                <a:extLst>
                  <a:ext uri="{63B3BB69-23CF-44E3-9099-C40C66FF867C}">
                    <a14:compatExt spid="_x0000_s40097"/>
                  </a:ext>
                  <a:ext uri="{FF2B5EF4-FFF2-40B4-BE49-F238E27FC236}">
                    <a16:creationId xmlns:a16="http://schemas.microsoft.com/office/drawing/2014/main" id="{00000000-0008-0000-1200-0000A19C0000}"/>
                  </a:ext>
                </a:extLst>
              </xdr:cNvPr>
              <xdr:cNvSpPr/>
            </xdr:nvSpPr>
            <xdr:spPr bwMode="auto">
              <a:xfrm>
                <a:off x="5019675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098" name="Option Button 162" hidden="1">
                <a:extLst>
                  <a:ext uri="{63B3BB69-23CF-44E3-9099-C40C66FF867C}">
                    <a14:compatExt spid="_x0000_s40098"/>
                  </a:ext>
                  <a:ext uri="{FF2B5EF4-FFF2-40B4-BE49-F238E27FC236}">
                    <a16:creationId xmlns:a16="http://schemas.microsoft.com/office/drawing/2014/main" id="{00000000-0008-0000-1200-0000A29C0000}"/>
                  </a:ext>
                </a:extLst>
              </xdr:cNvPr>
              <xdr:cNvSpPr/>
            </xdr:nvSpPr>
            <xdr:spPr bwMode="auto">
              <a:xfrm>
                <a:off x="5457824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28</xdr:row>
          <xdr:rowOff>9491</xdr:rowOff>
        </xdr:from>
        <xdr:to>
          <xdr:col>16</xdr:col>
          <xdr:colOff>76191</xdr:colOff>
          <xdr:row>28</xdr:row>
          <xdr:rowOff>178787</xdr:rowOff>
        </xdr:to>
        <xdr:grpSp>
          <xdr:nvGrpSpPr>
            <xdr:cNvPr id="245" name="Gruppieren 244">
              <a:extLst>
                <a:ext uri="{FF2B5EF4-FFF2-40B4-BE49-F238E27FC236}">
                  <a16:creationId xmlns:a16="http://schemas.microsoft.com/office/drawing/2014/main" id="{00000000-0008-0000-1200-0000F5000000}"/>
                </a:ext>
              </a:extLst>
            </xdr:cNvPr>
            <xdr:cNvGrpSpPr/>
          </xdr:nvGrpSpPr>
          <xdr:grpSpPr>
            <a:xfrm>
              <a:off x="4417688" y="8978231"/>
              <a:ext cx="2295523" cy="169296"/>
              <a:chOff x="3581259" y="2104735"/>
              <a:chExt cx="2247895" cy="276225"/>
            </a:xfrm>
          </xdr:grpSpPr>
          <xdr:sp macro="" textlink="">
            <xdr:nvSpPr>
              <xdr:cNvPr id="40099" name="Group Box 163" hidden="1">
                <a:extLst>
                  <a:ext uri="{63B3BB69-23CF-44E3-9099-C40C66FF867C}">
                    <a14:compatExt spid="_x0000_s40099"/>
                  </a:ext>
                  <a:ext uri="{FF2B5EF4-FFF2-40B4-BE49-F238E27FC236}">
                    <a16:creationId xmlns:a16="http://schemas.microsoft.com/office/drawing/2014/main" id="{00000000-0008-0000-1200-0000A39C0000}"/>
                  </a:ext>
                </a:extLst>
              </xdr:cNvPr>
              <xdr:cNvSpPr/>
            </xdr:nvSpPr>
            <xdr:spPr bwMode="auto">
              <a:xfrm>
                <a:off x="3581259" y="2104735"/>
                <a:ext cx="2247895" cy="276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00" name="Option Button 164" hidden="1">
                <a:extLst>
                  <a:ext uri="{63B3BB69-23CF-44E3-9099-C40C66FF867C}">
                    <a14:compatExt spid="_x0000_s40100"/>
                  </a:ext>
                  <a:ext uri="{FF2B5EF4-FFF2-40B4-BE49-F238E27FC236}">
                    <a16:creationId xmlns:a16="http://schemas.microsoft.com/office/drawing/2014/main" id="{00000000-0008-0000-1200-0000A49C0000}"/>
                  </a:ext>
                </a:extLst>
              </xdr:cNvPr>
              <xdr:cNvSpPr/>
            </xdr:nvSpPr>
            <xdr:spPr bwMode="auto">
              <a:xfrm>
                <a:off x="3705226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01" name="Option Button 165" hidden="1">
                <a:extLst>
                  <a:ext uri="{63B3BB69-23CF-44E3-9099-C40C66FF867C}">
                    <a14:compatExt spid="_x0000_s40101"/>
                  </a:ext>
                  <a:ext uri="{FF2B5EF4-FFF2-40B4-BE49-F238E27FC236}">
                    <a16:creationId xmlns:a16="http://schemas.microsoft.com/office/drawing/2014/main" id="{00000000-0008-0000-1200-0000A59C0000}"/>
                  </a:ext>
                </a:extLst>
              </xdr:cNvPr>
              <xdr:cNvSpPr/>
            </xdr:nvSpPr>
            <xdr:spPr bwMode="auto">
              <a:xfrm>
                <a:off x="4143376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02" name="Option Button 166" hidden="1">
                <a:extLst>
                  <a:ext uri="{63B3BB69-23CF-44E3-9099-C40C66FF867C}">
                    <a14:compatExt spid="_x0000_s40102"/>
                  </a:ext>
                  <a:ext uri="{FF2B5EF4-FFF2-40B4-BE49-F238E27FC236}">
                    <a16:creationId xmlns:a16="http://schemas.microsoft.com/office/drawing/2014/main" id="{00000000-0008-0000-1200-0000A69C0000}"/>
                  </a:ext>
                </a:extLst>
              </xdr:cNvPr>
              <xdr:cNvSpPr/>
            </xdr:nvSpPr>
            <xdr:spPr bwMode="auto">
              <a:xfrm>
                <a:off x="4581525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03" name="Option Button 167" hidden="1">
                <a:extLst>
                  <a:ext uri="{63B3BB69-23CF-44E3-9099-C40C66FF867C}">
                    <a14:compatExt spid="_x0000_s40103"/>
                  </a:ext>
                  <a:ext uri="{FF2B5EF4-FFF2-40B4-BE49-F238E27FC236}">
                    <a16:creationId xmlns:a16="http://schemas.microsoft.com/office/drawing/2014/main" id="{00000000-0008-0000-1200-0000A79C0000}"/>
                  </a:ext>
                </a:extLst>
              </xdr:cNvPr>
              <xdr:cNvSpPr/>
            </xdr:nvSpPr>
            <xdr:spPr bwMode="auto">
              <a:xfrm>
                <a:off x="5019675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04" name="Option Button 168" hidden="1">
                <a:extLst>
                  <a:ext uri="{63B3BB69-23CF-44E3-9099-C40C66FF867C}">
                    <a14:compatExt spid="_x0000_s40104"/>
                  </a:ext>
                  <a:ext uri="{FF2B5EF4-FFF2-40B4-BE49-F238E27FC236}">
                    <a16:creationId xmlns:a16="http://schemas.microsoft.com/office/drawing/2014/main" id="{00000000-0008-0000-1200-0000A89C0000}"/>
                  </a:ext>
                </a:extLst>
              </xdr:cNvPr>
              <xdr:cNvSpPr/>
            </xdr:nvSpPr>
            <xdr:spPr bwMode="auto">
              <a:xfrm>
                <a:off x="5457824" y="2152664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342900</xdr:colOff>
      <xdr:row>30</xdr:row>
      <xdr:rowOff>180975</xdr:rowOff>
    </xdr:from>
    <xdr:to>
      <xdr:col>20</xdr:col>
      <xdr:colOff>1037700</xdr:colOff>
      <xdr:row>32</xdr:row>
      <xdr:rowOff>331721</xdr:rowOff>
    </xdr:to>
    <xdr:sp macro="" textlink="">
      <xdr:nvSpPr>
        <xdr:cNvPr id="252" name="Rechteck 251">
          <a:extLst>
            <a:ext uri="{FF2B5EF4-FFF2-40B4-BE49-F238E27FC236}">
              <a16:creationId xmlns:a16="http://schemas.microsoft.com/office/drawing/2014/main" id="{00000000-0008-0000-1200-0000FC000000}"/>
            </a:ext>
          </a:extLst>
        </xdr:cNvPr>
        <xdr:cNvSpPr>
          <a:spLocks/>
        </xdr:cNvSpPr>
      </xdr:nvSpPr>
      <xdr:spPr>
        <a:xfrm>
          <a:off x="7334250" y="1069657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30</xdr:row>
      <xdr:rowOff>180975</xdr:rowOff>
    </xdr:from>
    <xdr:to>
      <xdr:col>20</xdr:col>
      <xdr:colOff>1758286</xdr:colOff>
      <xdr:row>32</xdr:row>
      <xdr:rowOff>331721</xdr:rowOff>
    </xdr:to>
    <xdr:sp macro="" textlink="">
      <xdr:nvSpPr>
        <xdr:cNvPr id="253" name="Rechteck 252">
          <a:extLst>
            <a:ext uri="{FF2B5EF4-FFF2-40B4-BE49-F238E27FC236}">
              <a16:creationId xmlns:a16="http://schemas.microsoft.com/office/drawing/2014/main" id="{00000000-0008-0000-1200-0000FD000000}"/>
            </a:ext>
          </a:extLst>
        </xdr:cNvPr>
        <xdr:cNvSpPr>
          <a:spLocks/>
        </xdr:cNvSpPr>
      </xdr:nvSpPr>
      <xdr:spPr>
        <a:xfrm>
          <a:off x="8054836" y="1069657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30</xdr:row>
      <xdr:rowOff>180975</xdr:rowOff>
    </xdr:from>
    <xdr:to>
      <xdr:col>20</xdr:col>
      <xdr:colOff>2478872</xdr:colOff>
      <xdr:row>32</xdr:row>
      <xdr:rowOff>331721</xdr:rowOff>
    </xdr:to>
    <xdr:sp macro="" textlink="">
      <xdr:nvSpPr>
        <xdr:cNvPr id="254" name="Rechteck 253">
          <a:extLst>
            <a:ext uri="{FF2B5EF4-FFF2-40B4-BE49-F238E27FC236}">
              <a16:creationId xmlns:a16="http://schemas.microsoft.com/office/drawing/2014/main" id="{00000000-0008-0000-1200-0000FE000000}"/>
            </a:ext>
          </a:extLst>
        </xdr:cNvPr>
        <xdr:cNvSpPr>
          <a:spLocks/>
        </xdr:cNvSpPr>
      </xdr:nvSpPr>
      <xdr:spPr>
        <a:xfrm>
          <a:off x="8775422" y="1069657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32</xdr:row>
      <xdr:rowOff>371475</xdr:rowOff>
    </xdr:from>
    <xdr:to>
      <xdr:col>20</xdr:col>
      <xdr:colOff>1037700</xdr:colOff>
      <xdr:row>34</xdr:row>
      <xdr:rowOff>322196</xdr:rowOff>
    </xdr:to>
    <xdr:sp macro="" textlink="">
      <xdr:nvSpPr>
        <xdr:cNvPr id="255" name="Rechteck 254">
          <a:extLst>
            <a:ext uri="{FF2B5EF4-FFF2-40B4-BE49-F238E27FC236}">
              <a16:creationId xmlns:a16="http://schemas.microsoft.com/office/drawing/2014/main" id="{00000000-0008-0000-1200-0000FF000000}"/>
            </a:ext>
          </a:extLst>
        </xdr:cNvPr>
        <xdr:cNvSpPr>
          <a:spLocks/>
        </xdr:cNvSpPr>
      </xdr:nvSpPr>
      <xdr:spPr>
        <a:xfrm>
          <a:off x="7334250" y="114871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32</xdr:row>
      <xdr:rowOff>371475</xdr:rowOff>
    </xdr:from>
    <xdr:to>
      <xdr:col>20</xdr:col>
      <xdr:colOff>1758286</xdr:colOff>
      <xdr:row>34</xdr:row>
      <xdr:rowOff>322196</xdr:rowOff>
    </xdr:to>
    <xdr:sp macro="" textlink="">
      <xdr:nvSpPr>
        <xdr:cNvPr id="256" name="Rechteck 255">
          <a:extLst>
            <a:ext uri="{FF2B5EF4-FFF2-40B4-BE49-F238E27FC236}">
              <a16:creationId xmlns:a16="http://schemas.microsoft.com/office/drawing/2014/main" id="{00000000-0008-0000-1200-000000010000}"/>
            </a:ext>
          </a:extLst>
        </xdr:cNvPr>
        <xdr:cNvSpPr>
          <a:spLocks/>
        </xdr:cNvSpPr>
      </xdr:nvSpPr>
      <xdr:spPr>
        <a:xfrm>
          <a:off x="8054836" y="114871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32</xdr:row>
      <xdr:rowOff>371475</xdr:rowOff>
    </xdr:from>
    <xdr:to>
      <xdr:col>20</xdr:col>
      <xdr:colOff>2478872</xdr:colOff>
      <xdr:row>34</xdr:row>
      <xdr:rowOff>322196</xdr:rowOff>
    </xdr:to>
    <xdr:sp macro="" textlink="">
      <xdr:nvSpPr>
        <xdr:cNvPr id="257" name="Rechteck 256">
          <a:extLst>
            <a:ext uri="{FF2B5EF4-FFF2-40B4-BE49-F238E27FC236}">
              <a16:creationId xmlns:a16="http://schemas.microsoft.com/office/drawing/2014/main" id="{00000000-0008-0000-1200-000001010000}"/>
            </a:ext>
          </a:extLst>
        </xdr:cNvPr>
        <xdr:cNvSpPr>
          <a:spLocks/>
        </xdr:cNvSpPr>
      </xdr:nvSpPr>
      <xdr:spPr>
        <a:xfrm>
          <a:off x="8775422" y="114871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57150</xdr:colOff>
      <xdr:row>26</xdr:row>
      <xdr:rowOff>66674</xdr:rowOff>
    </xdr:from>
    <xdr:to>
      <xdr:col>21</xdr:col>
      <xdr:colOff>133349</xdr:colOff>
      <xdr:row>29</xdr:row>
      <xdr:rowOff>1019174</xdr:rowOff>
    </xdr:to>
    <xdr:graphicFrame macro="">
      <xdr:nvGraphicFramePr>
        <xdr:cNvPr id="258" name="Diagramm 257">
          <a:extLst>
            <a:ext uri="{FF2B5EF4-FFF2-40B4-BE49-F238E27FC236}">
              <a16:creationId xmlns:a16="http://schemas.microsoft.com/office/drawing/2014/main" id="{00000000-0008-0000-1200-000002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20</xdr:col>
      <xdr:colOff>342900</xdr:colOff>
      <xdr:row>39</xdr:row>
      <xdr:rowOff>171450</xdr:rowOff>
    </xdr:from>
    <xdr:to>
      <xdr:col>20</xdr:col>
      <xdr:colOff>1037700</xdr:colOff>
      <xdr:row>41</xdr:row>
      <xdr:rowOff>322196</xdr:rowOff>
    </xdr:to>
    <xdr:sp macro="" textlink="">
      <xdr:nvSpPr>
        <xdr:cNvPr id="259" name="Rechteck 258">
          <a:extLst>
            <a:ext uri="{FF2B5EF4-FFF2-40B4-BE49-F238E27FC236}">
              <a16:creationId xmlns:a16="http://schemas.microsoft.com/office/drawing/2014/main" id="{00000000-0008-0000-1200-000003010000}"/>
            </a:ext>
          </a:extLst>
        </xdr:cNvPr>
        <xdr:cNvSpPr>
          <a:spLocks/>
        </xdr:cNvSpPr>
      </xdr:nvSpPr>
      <xdr:spPr>
        <a:xfrm>
          <a:off x="7334250" y="1408747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39</xdr:row>
      <xdr:rowOff>171450</xdr:rowOff>
    </xdr:from>
    <xdr:to>
      <xdr:col>20</xdr:col>
      <xdr:colOff>1758286</xdr:colOff>
      <xdr:row>41</xdr:row>
      <xdr:rowOff>322196</xdr:rowOff>
    </xdr:to>
    <xdr:sp macro="" textlink="">
      <xdr:nvSpPr>
        <xdr:cNvPr id="260" name="Rechteck 259">
          <a:extLst>
            <a:ext uri="{FF2B5EF4-FFF2-40B4-BE49-F238E27FC236}">
              <a16:creationId xmlns:a16="http://schemas.microsoft.com/office/drawing/2014/main" id="{00000000-0008-0000-1200-000004010000}"/>
            </a:ext>
          </a:extLst>
        </xdr:cNvPr>
        <xdr:cNvSpPr>
          <a:spLocks/>
        </xdr:cNvSpPr>
      </xdr:nvSpPr>
      <xdr:spPr>
        <a:xfrm>
          <a:off x="8054836" y="1408747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39</xdr:row>
      <xdr:rowOff>171450</xdr:rowOff>
    </xdr:from>
    <xdr:to>
      <xdr:col>20</xdr:col>
      <xdr:colOff>2478872</xdr:colOff>
      <xdr:row>41</xdr:row>
      <xdr:rowOff>322196</xdr:rowOff>
    </xdr:to>
    <xdr:sp macro="" textlink="">
      <xdr:nvSpPr>
        <xdr:cNvPr id="261" name="Rechteck 260">
          <a:extLst>
            <a:ext uri="{FF2B5EF4-FFF2-40B4-BE49-F238E27FC236}">
              <a16:creationId xmlns:a16="http://schemas.microsoft.com/office/drawing/2014/main" id="{00000000-0008-0000-1200-000005010000}"/>
            </a:ext>
          </a:extLst>
        </xdr:cNvPr>
        <xdr:cNvSpPr>
          <a:spLocks/>
        </xdr:cNvSpPr>
      </xdr:nvSpPr>
      <xdr:spPr>
        <a:xfrm>
          <a:off x="8775422" y="1408747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41</xdr:row>
      <xdr:rowOff>361950</xdr:rowOff>
    </xdr:from>
    <xdr:to>
      <xdr:col>20</xdr:col>
      <xdr:colOff>1037700</xdr:colOff>
      <xdr:row>43</xdr:row>
      <xdr:rowOff>312671</xdr:rowOff>
    </xdr:to>
    <xdr:sp macro="" textlink="">
      <xdr:nvSpPr>
        <xdr:cNvPr id="262" name="Rechteck 261">
          <a:extLst>
            <a:ext uri="{FF2B5EF4-FFF2-40B4-BE49-F238E27FC236}">
              <a16:creationId xmlns:a16="http://schemas.microsoft.com/office/drawing/2014/main" id="{00000000-0008-0000-1200-000006010000}"/>
            </a:ext>
          </a:extLst>
        </xdr:cNvPr>
        <xdr:cNvSpPr>
          <a:spLocks/>
        </xdr:cNvSpPr>
      </xdr:nvSpPr>
      <xdr:spPr>
        <a:xfrm>
          <a:off x="7334250" y="148780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41</xdr:row>
      <xdr:rowOff>361950</xdr:rowOff>
    </xdr:from>
    <xdr:to>
      <xdr:col>20</xdr:col>
      <xdr:colOff>1758286</xdr:colOff>
      <xdr:row>43</xdr:row>
      <xdr:rowOff>312671</xdr:rowOff>
    </xdr:to>
    <xdr:sp macro="" textlink="">
      <xdr:nvSpPr>
        <xdr:cNvPr id="263" name="Rechteck 262">
          <a:extLst>
            <a:ext uri="{FF2B5EF4-FFF2-40B4-BE49-F238E27FC236}">
              <a16:creationId xmlns:a16="http://schemas.microsoft.com/office/drawing/2014/main" id="{00000000-0008-0000-1200-000007010000}"/>
            </a:ext>
          </a:extLst>
        </xdr:cNvPr>
        <xdr:cNvSpPr>
          <a:spLocks/>
        </xdr:cNvSpPr>
      </xdr:nvSpPr>
      <xdr:spPr>
        <a:xfrm>
          <a:off x="8054836" y="148780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41</xdr:row>
      <xdr:rowOff>361950</xdr:rowOff>
    </xdr:from>
    <xdr:to>
      <xdr:col>20</xdr:col>
      <xdr:colOff>2478872</xdr:colOff>
      <xdr:row>43</xdr:row>
      <xdr:rowOff>312671</xdr:rowOff>
    </xdr:to>
    <xdr:sp macro="" textlink="">
      <xdr:nvSpPr>
        <xdr:cNvPr id="264" name="Rechteck 263">
          <a:extLst>
            <a:ext uri="{FF2B5EF4-FFF2-40B4-BE49-F238E27FC236}">
              <a16:creationId xmlns:a16="http://schemas.microsoft.com/office/drawing/2014/main" id="{00000000-0008-0000-1200-000008010000}"/>
            </a:ext>
          </a:extLst>
        </xdr:cNvPr>
        <xdr:cNvSpPr>
          <a:spLocks/>
        </xdr:cNvSpPr>
      </xdr:nvSpPr>
      <xdr:spPr>
        <a:xfrm>
          <a:off x="8775422" y="148780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47</xdr:row>
      <xdr:rowOff>171450</xdr:rowOff>
    </xdr:from>
    <xdr:to>
      <xdr:col>20</xdr:col>
      <xdr:colOff>1037700</xdr:colOff>
      <xdr:row>49</xdr:row>
      <xdr:rowOff>322196</xdr:rowOff>
    </xdr:to>
    <xdr:sp macro="" textlink="">
      <xdr:nvSpPr>
        <xdr:cNvPr id="265" name="Rechteck 264">
          <a:extLst>
            <a:ext uri="{FF2B5EF4-FFF2-40B4-BE49-F238E27FC236}">
              <a16:creationId xmlns:a16="http://schemas.microsoft.com/office/drawing/2014/main" id="{00000000-0008-0000-1200-000009010000}"/>
            </a:ext>
          </a:extLst>
        </xdr:cNvPr>
        <xdr:cNvSpPr>
          <a:spLocks/>
        </xdr:cNvSpPr>
      </xdr:nvSpPr>
      <xdr:spPr>
        <a:xfrm>
          <a:off x="7334250" y="170878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47</xdr:row>
      <xdr:rowOff>171450</xdr:rowOff>
    </xdr:from>
    <xdr:to>
      <xdr:col>20</xdr:col>
      <xdr:colOff>1758286</xdr:colOff>
      <xdr:row>49</xdr:row>
      <xdr:rowOff>322196</xdr:rowOff>
    </xdr:to>
    <xdr:sp macro="" textlink="">
      <xdr:nvSpPr>
        <xdr:cNvPr id="266" name="Rechteck 265">
          <a:extLst>
            <a:ext uri="{FF2B5EF4-FFF2-40B4-BE49-F238E27FC236}">
              <a16:creationId xmlns:a16="http://schemas.microsoft.com/office/drawing/2014/main" id="{00000000-0008-0000-1200-00000A010000}"/>
            </a:ext>
          </a:extLst>
        </xdr:cNvPr>
        <xdr:cNvSpPr>
          <a:spLocks/>
        </xdr:cNvSpPr>
      </xdr:nvSpPr>
      <xdr:spPr>
        <a:xfrm>
          <a:off x="8054836" y="170878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47</xdr:row>
      <xdr:rowOff>171450</xdr:rowOff>
    </xdr:from>
    <xdr:to>
      <xdr:col>20</xdr:col>
      <xdr:colOff>2478872</xdr:colOff>
      <xdr:row>49</xdr:row>
      <xdr:rowOff>322196</xdr:rowOff>
    </xdr:to>
    <xdr:sp macro="" textlink="">
      <xdr:nvSpPr>
        <xdr:cNvPr id="267" name="Rechteck 266">
          <a:extLst>
            <a:ext uri="{FF2B5EF4-FFF2-40B4-BE49-F238E27FC236}">
              <a16:creationId xmlns:a16="http://schemas.microsoft.com/office/drawing/2014/main" id="{00000000-0008-0000-1200-00000B010000}"/>
            </a:ext>
          </a:extLst>
        </xdr:cNvPr>
        <xdr:cNvSpPr>
          <a:spLocks/>
        </xdr:cNvSpPr>
      </xdr:nvSpPr>
      <xdr:spPr>
        <a:xfrm>
          <a:off x="8775422" y="170878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49</xdr:row>
      <xdr:rowOff>361950</xdr:rowOff>
    </xdr:from>
    <xdr:to>
      <xdr:col>20</xdr:col>
      <xdr:colOff>1037700</xdr:colOff>
      <xdr:row>51</xdr:row>
      <xdr:rowOff>312671</xdr:rowOff>
    </xdr:to>
    <xdr:sp macro="" textlink="">
      <xdr:nvSpPr>
        <xdr:cNvPr id="268" name="Rechteck 267">
          <a:extLst>
            <a:ext uri="{FF2B5EF4-FFF2-40B4-BE49-F238E27FC236}">
              <a16:creationId xmlns:a16="http://schemas.microsoft.com/office/drawing/2014/main" id="{00000000-0008-0000-1200-00000C010000}"/>
            </a:ext>
          </a:extLst>
        </xdr:cNvPr>
        <xdr:cNvSpPr>
          <a:spLocks/>
        </xdr:cNvSpPr>
      </xdr:nvSpPr>
      <xdr:spPr>
        <a:xfrm>
          <a:off x="7334250" y="178784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49</xdr:row>
      <xdr:rowOff>361950</xdr:rowOff>
    </xdr:from>
    <xdr:to>
      <xdr:col>20</xdr:col>
      <xdr:colOff>1758286</xdr:colOff>
      <xdr:row>51</xdr:row>
      <xdr:rowOff>312671</xdr:rowOff>
    </xdr:to>
    <xdr:sp macro="" textlink="">
      <xdr:nvSpPr>
        <xdr:cNvPr id="269" name="Rechteck 268">
          <a:extLst>
            <a:ext uri="{FF2B5EF4-FFF2-40B4-BE49-F238E27FC236}">
              <a16:creationId xmlns:a16="http://schemas.microsoft.com/office/drawing/2014/main" id="{00000000-0008-0000-1200-00000D010000}"/>
            </a:ext>
          </a:extLst>
        </xdr:cNvPr>
        <xdr:cNvSpPr>
          <a:spLocks/>
        </xdr:cNvSpPr>
      </xdr:nvSpPr>
      <xdr:spPr>
        <a:xfrm>
          <a:off x="8054836" y="178784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49</xdr:row>
      <xdr:rowOff>361950</xdr:rowOff>
    </xdr:from>
    <xdr:to>
      <xdr:col>20</xdr:col>
      <xdr:colOff>2478872</xdr:colOff>
      <xdr:row>51</xdr:row>
      <xdr:rowOff>312671</xdr:rowOff>
    </xdr:to>
    <xdr:sp macro="" textlink="">
      <xdr:nvSpPr>
        <xdr:cNvPr id="270" name="Rechteck 269">
          <a:extLst>
            <a:ext uri="{FF2B5EF4-FFF2-40B4-BE49-F238E27FC236}">
              <a16:creationId xmlns:a16="http://schemas.microsoft.com/office/drawing/2014/main" id="{00000000-0008-0000-1200-00000E010000}"/>
            </a:ext>
          </a:extLst>
        </xdr:cNvPr>
        <xdr:cNvSpPr>
          <a:spLocks/>
        </xdr:cNvSpPr>
      </xdr:nvSpPr>
      <xdr:spPr>
        <a:xfrm>
          <a:off x="8775422" y="178784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55</xdr:row>
      <xdr:rowOff>180975</xdr:rowOff>
    </xdr:from>
    <xdr:to>
      <xdr:col>20</xdr:col>
      <xdr:colOff>1037700</xdr:colOff>
      <xdr:row>57</xdr:row>
      <xdr:rowOff>331721</xdr:rowOff>
    </xdr:to>
    <xdr:sp macro="" textlink="">
      <xdr:nvSpPr>
        <xdr:cNvPr id="271" name="Rechteck 270">
          <a:extLst>
            <a:ext uri="{FF2B5EF4-FFF2-40B4-BE49-F238E27FC236}">
              <a16:creationId xmlns:a16="http://schemas.microsoft.com/office/drawing/2014/main" id="{00000000-0008-0000-1200-00000F010000}"/>
            </a:ext>
          </a:extLst>
        </xdr:cNvPr>
        <xdr:cNvSpPr>
          <a:spLocks/>
        </xdr:cNvSpPr>
      </xdr:nvSpPr>
      <xdr:spPr>
        <a:xfrm>
          <a:off x="7334250" y="200977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55</xdr:row>
      <xdr:rowOff>180975</xdr:rowOff>
    </xdr:from>
    <xdr:to>
      <xdr:col>20</xdr:col>
      <xdr:colOff>1758286</xdr:colOff>
      <xdr:row>57</xdr:row>
      <xdr:rowOff>331721</xdr:rowOff>
    </xdr:to>
    <xdr:sp macro="" textlink="">
      <xdr:nvSpPr>
        <xdr:cNvPr id="272" name="Rechteck 271">
          <a:extLst>
            <a:ext uri="{FF2B5EF4-FFF2-40B4-BE49-F238E27FC236}">
              <a16:creationId xmlns:a16="http://schemas.microsoft.com/office/drawing/2014/main" id="{00000000-0008-0000-1200-000010010000}"/>
            </a:ext>
          </a:extLst>
        </xdr:cNvPr>
        <xdr:cNvSpPr>
          <a:spLocks/>
        </xdr:cNvSpPr>
      </xdr:nvSpPr>
      <xdr:spPr>
        <a:xfrm>
          <a:off x="8054836" y="200977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55</xdr:row>
      <xdr:rowOff>180975</xdr:rowOff>
    </xdr:from>
    <xdr:to>
      <xdr:col>20</xdr:col>
      <xdr:colOff>2478872</xdr:colOff>
      <xdr:row>57</xdr:row>
      <xdr:rowOff>331721</xdr:rowOff>
    </xdr:to>
    <xdr:sp macro="" textlink="">
      <xdr:nvSpPr>
        <xdr:cNvPr id="273" name="Rechteck 272">
          <a:extLst>
            <a:ext uri="{FF2B5EF4-FFF2-40B4-BE49-F238E27FC236}">
              <a16:creationId xmlns:a16="http://schemas.microsoft.com/office/drawing/2014/main" id="{00000000-0008-0000-1200-000011010000}"/>
            </a:ext>
          </a:extLst>
        </xdr:cNvPr>
        <xdr:cNvSpPr>
          <a:spLocks/>
        </xdr:cNvSpPr>
      </xdr:nvSpPr>
      <xdr:spPr>
        <a:xfrm>
          <a:off x="8775422" y="200977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57</xdr:row>
      <xdr:rowOff>371475</xdr:rowOff>
    </xdr:from>
    <xdr:to>
      <xdr:col>20</xdr:col>
      <xdr:colOff>1037700</xdr:colOff>
      <xdr:row>59</xdr:row>
      <xdr:rowOff>322196</xdr:rowOff>
    </xdr:to>
    <xdr:sp macro="" textlink="">
      <xdr:nvSpPr>
        <xdr:cNvPr id="274" name="Rechteck 273">
          <a:extLst>
            <a:ext uri="{FF2B5EF4-FFF2-40B4-BE49-F238E27FC236}">
              <a16:creationId xmlns:a16="http://schemas.microsoft.com/office/drawing/2014/main" id="{00000000-0008-0000-1200-000012010000}"/>
            </a:ext>
          </a:extLst>
        </xdr:cNvPr>
        <xdr:cNvSpPr>
          <a:spLocks/>
        </xdr:cNvSpPr>
      </xdr:nvSpPr>
      <xdr:spPr>
        <a:xfrm>
          <a:off x="7334250" y="208883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57</xdr:row>
      <xdr:rowOff>371475</xdr:rowOff>
    </xdr:from>
    <xdr:to>
      <xdr:col>20</xdr:col>
      <xdr:colOff>1758286</xdr:colOff>
      <xdr:row>59</xdr:row>
      <xdr:rowOff>322196</xdr:rowOff>
    </xdr:to>
    <xdr:sp macro="" textlink="">
      <xdr:nvSpPr>
        <xdr:cNvPr id="275" name="Rechteck 274">
          <a:extLst>
            <a:ext uri="{FF2B5EF4-FFF2-40B4-BE49-F238E27FC236}">
              <a16:creationId xmlns:a16="http://schemas.microsoft.com/office/drawing/2014/main" id="{00000000-0008-0000-1200-000013010000}"/>
            </a:ext>
          </a:extLst>
        </xdr:cNvPr>
        <xdr:cNvSpPr>
          <a:spLocks/>
        </xdr:cNvSpPr>
      </xdr:nvSpPr>
      <xdr:spPr>
        <a:xfrm>
          <a:off x="8054836" y="208883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57</xdr:row>
      <xdr:rowOff>371475</xdr:rowOff>
    </xdr:from>
    <xdr:to>
      <xdr:col>20</xdr:col>
      <xdr:colOff>2478872</xdr:colOff>
      <xdr:row>59</xdr:row>
      <xdr:rowOff>322196</xdr:rowOff>
    </xdr:to>
    <xdr:sp macro="" textlink="">
      <xdr:nvSpPr>
        <xdr:cNvPr id="276" name="Rechteck 275">
          <a:extLst>
            <a:ext uri="{FF2B5EF4-FFF2-40B4-BE49-F238E27FC236}">
              <a16:creationId xmlns:a16="http://schemas.microsoft.com/office/drawing/2014/main" id="{00000000-0008-0000-1200-000014010000}"/>
            </a:ext>
          </a:extLst>
        </xdr:cNvPr>
        <xdr:cNvSpPr>
          <a:spLocks/>
        </xdr:cNvSpPr>
      </xdr:nvSpPr>
      <xdr:spPr>
        <a:xfrm>
          <a:off x="8775422" y="208883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62</xdr:row>
      <xdr:rowOff>171450</xdr:rowOff>
    </xdr:from>
    <xdr:to>
      <xdr:col>20</xdr:col>
      <xdr:colOff>1037700</xdr:colOff>
      <xdr:row>64</xdr:row>
      <xdr:rowOff>322196</xdr:rowOff>
    </xdr:to>
    <xdr:sp macro="" textlink="">
      <xdr:nvSpPr>
        <xdr:cNvPr id="277" name="Rechteck 276">
          <a:extLst>
            <a:ext uri="{FF2B5EF4-FFF2-40B4-BE49-F238E27FC236}">
              <a16:creationId xmlns:a16="http://schemas.microsoft.com/office/drawing/2014/main" id="{00000000-0008-0000-1200-000015010000}"/>
            </a:ext>
          </a:extLst>
        </xdr:cNvPr>
        <xdr:cNvSpPr>
          <a:spLocks/>
        </xdr:cNvSpPr>
      </xdr:nvSpPr>
      <xdr:spPr>
        <a:xfrm>
          <a:off x="7334250" y="2268855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62</xdr:row>
      <xdr:rowOff>171450</xdr:rowOff>
    </xdr:from>
    <xdr:to>
      <xdr:col>20</xdr:col>
      <xdr:colOff>1758286</xdr:colOff>
      <xdr:row>64</xdr:row>
      <xdr:rowOff>322196</xdr:rowOff>
    </xdr:to>
    <xdr:sp macro="" textlink="">
      <xdr:nvSpPr>
        <xdr:cNvPr id="278" name="Rechteck 277">
          <a:extLst>
            <a:ext uri="{FF2B5EF4-FFF2-40B4-BE49-F238E27FC236}">
              <a16:creationId xmlns:a16="http://schemas.microsoft.com/office/drawing/2014/main" id="{00000000-0008-0000-1200-000016010000}"/>
            </a:ext>
          </a:extLst>
        </xdr:cNvPr>
        <xdr:cNvSpPr>
          <a:spLocks/>
        </xdr:cNvSpPr>
      </xdr:nvSpPr>
      <xdr:spPr>
        <a:xfrm>
          <a:off x="8054836" y="2268855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62</xdr:row>
      <xdr:rowOff>171450</xdr:rowOff>
    </xdr:from>
    <xdr:to>
      <xdr:col>20</xdr:col>
      <xdr:colOff>2478872</xdr:colOff>
      <xdr:row>64</xdr:row>
      <xdr:rowOff>322196</xdr:rowOff>
    </xdr:to>
    <xdr:sp macro="" textlink="">
      <xdr:nvSpPr>
        <xdr:cNvPr id="279" name="Rechteck 278">
          <a:extLst>
            <a:ext uri="{FF2B5EF4-FFF2-40B4-BE49-F238E27FC236}">
              <a16:creationId xmlns:a16="http://schemas.microsoft.com/office/drawing/2014/main" id="{00000000-0008-0000-1200-000017010000}"/>
            </a:ext>
          </a:extLst>
        </xdr:cNvPr>
        <xdr:cNvSpPr>
          <a:spLocks/>
        </xdr:cNvSpPr>
      </xdr:nvSpPr>
      <xdr:spPr>
        <a:xfrm>
          <a:off x="8775422" y="2268855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64</xdr:row>
      <xdr:rowOff>361950</xdr:rowOff>
    </xdr:from>
    <xdr:to>
      <xdr:col>20</xdr:col>
      <xdr:colOff>1037700</xdr:colOff>
      <xdr:row>66</xdr:row>
      <xdr:rowOff>312671</xdr:rowOff>
    </xdr:to>
    <xdr:sp macro="" textlink="">
      <xdr:nvSpPr>
        <xdr:cNvPr id="280" name="Rechteck 279">
          <a:extLst>
            <a:ext uri="{FF2B5EF4-FFF2-40B4-BE49-F238E27FC236}">
              <a16:creationId xmlns:a16="http://schemas.microsoft.com/office/drawing/2014/main" id="{00000000-0008-0000-1200-000018010000}"/>
            </a:ext>
          </a:extLst>
        </xdr:cNvPr>
        <xdr:cNvSpPr>
          <a:spLocks/>
        </xdr:cNvSpPr>
      </xdr:nvSpPr>
      <xdr:spPr>
        <a:xfrm>
          <a:off x="7334250" y="234791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64</xdr:row>
      <xdr:rowOff>361950</xdr:rowOff>
    </xdr:from>
    <xdr:to>
      <xdr:col>20</xdr:col>
      <xdr:colOff>1758286</xdr:colOff>
      <xdr:row>66</xdr:row>
      <xdr:rowOff>312671</xdr:rowOff>
    </xdr:to>
    <xdr:sp macro="" textlink="">
      <xdr:nvSpPr>
        <xdr:cNvPr id="281" name="Rechteck 280">
          <a:extLst>
            <a:ext uri="{FF2B5EF4-FFF2-40B4-BE49-F238E27FC236}">
              <a16:creationId xmlns:a16="http://schemas.microsoft.com/office/drawing/2014/main" id="{00000000-0008-0000-1200-000019010000}"/>
            </a:ext>
          </a:extLst>
        </xdr:cNvPr>
        <xdr:cNvSpPr>
          <a:spLocks/>
        </xdr:cNvSpPr>
      </xdr:nvSpPr>
      <xdr:spPr>
        <a:xfrm>
          <a:off x="8054836" y="234791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64</xdr:row>
      <xdr:rowOff>361950</xdr:rowOff>
    </xdr:from>
    <xdr:to>
      <xdr:col>20</xdr:col>
      <xdr:colOff>2478872</xdr:colOff>
      <xdr:row>66</xdr:row>
      <xdr:rowOff>312671</xdr:rowOff>
    </xdr:to>
    <xdr:sp macro="" textlink="">
      <xdr:nvSpPr>
        <xdr:cNvPr id="282" name="Rechteck 281">
          <a:extLst>
            <a:ext uri="{FF2B5EF4-FFF2-40B4-BE49-F238E27FC236}">
              <a16:creationId xmlns:a16="http://schemas.microsoft.com/office/drawing/2014/main" id="{00000000-0008-0000-1200-00001A010000}"/>
            </a:ext>
          </a:extLst>
        </xdr:cNvPr>
        <xdr:cNvSpPr>
          <a:spLocks/>
        </xdr:cNvSpPr>
      </xdr:nvSpPr>
      <xdr:spPr>
        <a:xfrm>
          <a:off x="8775422" y="234791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68</xdr:row>
      <xdr:rowOff>171450</xdr:rowOff>
    </xdr:from>
    <xdr:to>
      <xdr:col>20</xdr:col>
      <xdr:colOff>1037700</xdr:colOff>
      <xdr:row>70</xdr:row>
      <xdr:rowOff>322196</xdr:rowOff>
    </xdr:to>
    <xdr:sp macro="" textlink="">
      <xdr:nvSpPr>
        <xdr:cNvPr id="283" name="Rechteck 282">
          <a:extLst>
            <a:ext uri="{FF2B5EF4-FFF2-40B4-BE49-F238E27FC236}">
              <a16:creationId xmlns:a16="http://schemas.microsoft.com/office/drawing/2014/main" id="{00000000-0008-0000-1200-00001B010000}"/>
            </a:ext>
          </a:extLst>
        </xdr:cNvPr>
        <xdr:cNvSpPr>
          <a:spLocks/>
        </xdr:cNvSpPr>
      </xdr:nvSpPr>
      <xdr:spPr>
        <a:xfrm>
          <a:off x="7334250" y="24888825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68</xdr:row>
      <xdr:rowOff>171450</xdr:rowOff>
    </xdr:from>
    <xdr:to>
      <xdr:col>20</xdr:col>
      <xdr:colOff>1758286</xdr:colOff>
      <xdr:row>70</xdr:row>
      <xdr:rowOff>322196</xdr:rowOff>
    </xdr:to>
    <xdr:sp macro="" textlink="">
      <xdr:nvSpPr>
        <xdr:cNvPr id="284" name="Rechteck 283">
          <a:extLst>
            <a:ext uri="{FF2B5EF4-FFF2-40B4-BE49-F238E27FC236}">
              <a16:creationId xmlns:a16="http://schemas.microsoft.com/office/drawing/2014/main" id="{00000000-0008-0000-1200-00001C010000}"/>
            </a:ext>
          </a:extLst>
        </xdr:cNvPr>
        <xdr:cNvSpPr>
          <a:spLocks/>
        </xdr:cNvSpPr>
      </xdr:nvSpPr>
      <xdr:spPr>
        <a:xfrm>
          <a:off x="8054836" y="24888825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68</xdr:row>
      <xdr:rowOff>171450</xdr:rowOff>
    </xdr:from>
    <xdr:to>
      <xdr:col>20</xdr:col>
      <xdr:colOff>2478872</xdr:colOff>
      <xdr:row>70</xdr:row>
      <xdr:rowOff>322196</xdr:rowOff>
    </xdr:to>
    <xdr:sp macro="" textlink="">
      <xdr:nvSpPr>
        <xdr:cNvPr id="285" name="Rechteck 284">
          <a:extLst>
            <a:ext uri="{FF2B5EF4-FFF2-40B4-BE49-F238E27FC236}">
              <a16:creationId xmlns:a16="http://schemas.microsoft.com/office/drawing/2014/main" id="{00000000-0008-0000-1200-00001D010000}"/>
            </a:ext>
          </a:extLst>
        </xdr:cNvPr>
        <xdr:cNvSpPr>
          <a:spLocks/>
        </xdr:cNvSpPr>
      </xdr:nvSpPr>
      <xdr:spPr>
        <a:xfrm>
          <a:off x="8775422" y="24888825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342900</xdr:colOff>
      <xdr:row>70</xdr:row>
      <xdr:rowOff>361950</xdr:rowOff>
    </xdr:from>
    <xdr:to>
      <xdr:col>20</xdr:col>
      <xdr:colOff>1037700</xdr:colOff>
      <xdr:row>72</xdr:row>
      <xdr:rowOff>312671</xdr:rowOff>
    </xdr:to>
    <xdr:sp macro="" textlink="">
      <xdr:nvSpPr>
        <xdr:cNvPr id="286" name="Rechteck 285">
          <a:extLst>
            <a:ext uri="{FF2B5EF4-FFF2-40B4-BE49-F238E27FC236}">
              <a16:creationId xmlns:a16="http://schemas.microsoft.com/office/drawing/2014/main" id="{00000000-0008-0000-1200-00001E010000}"/>
            </a:ext>
          </a:extLst>
        </xdr:cNvPr>
        <xdr:cNvSpPr>
          <a:spLocks/>
        </xdr:cNvSpPr>
      </xdr:nvSpPr>
      <xdr:spPr>
        <a:xfrm>
          <a:off x="7334250" y="25679400"/>
          <a:ext cx="694800" cy="75082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1063486</xdr:colOff>
      <xdr:row>70</xdr:row>
      <xdr:rowOff>361950</xdr:rowOff>
    </xdr:from>
    <xdr:to>
      <xdr:col>20</xdr:col>
      <xdr:colOff>1758286</xdr:colOff>
      <xdr:row>72</xdr:row>
      <xdr:rowOff>312671</xdr:rowOff>
    </xdr:to>
    <xdr:sp macro="" textlink="">
      <xdr:nvSpPr>
        <xdr:cNvPr id="287" name="Rechteck 286">
          <a:extLst>
            <a:ext uri="{FF2B5EF4-FFF2-40B4-BE49-F238E27FC236}">
              <a16:creationId xmlns:a16="http://schemas.microsoft.com/office/drawing/2014/main" id="{00000000-0008-0000-1200-00001F010000}"/>
            </a:ext>
          </a:extLst>
        </xdr:cNvPr>
        <xdr:cNvSpPr>
          <a:spLocks/>
        </xdr:cNvSpPr>
      </xdr:nvSpPr>
      <xdr:spPr>
        <a:xfrm>
          <a:off x="8054836" y="25679400"/>
          <a:ext cx="694800" cy="75082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>
    <xdr:from>
      <xdr:col>20</xdr:col>
      <xdr:colOff>1784072</xdr:colOff>
      <xdr:row>70</xdr:row>
      <xdr:rowOff>361950</xdr:rowOff>
    </xdr:from>
    <xdr:to>
      <xdr:col>20</xdr:col>
      <xdr:colOff>2478872</xdr:colOff>
      <xdr:row>72</xdr:row>
      <xdr:rowOff>312671</xdr:rowOff>
    </xdr:to>
    <xdr:sp macro="" textlink="">
      <xdr:nvSpPr>
        <xdr:cNvPr id="288" name="Rechteck 287">
          <a:extLst>
            <a:ext uri="{FF2B5EF4-FFF2-40B4-BE49-F238E27FC236}">
              <a16:creationId xmlns:a16="http://schemas.microsoft.com/office/drawing/2014/main" id="{00000000-0008-0000-1200-000020010000}"/>
            </a:ext>
          </a:extLst>
        </xdr:cNvPr>
        <xdr:cNvSpPr>
          <a:spLocks/>
        </xdr:cNvSpPr>
      </xdr:nvSpPr>
      <xdr:spPr>
        <a:xfrm>
          <a:off x="8775422" y="25679400"/>
          <a:ext cx="694800" cy="750821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31</xdr:row>
          <xdr:rowOff>9591</xdr:rowOff>
        </xdr:from>
        <xdr:to>
          <xdr:col>16</xdr:col>
          <xdr:colOff>76191</xdr:colOff>
          <xdr:row>31</xdr:row>
          <xdr:rowOff>203596</xdr:rowOff>
        </xdr:to>
        <xdr:grpSp>
          <xdr:nvGrpSpPr>
            <xdr:cNvPr id="289" name="Gruppieren 288">
              <a:extLst>
                <a:ext uri="{FF2B5EF4-FFF2-40B4-BE49-F238E27FC236}">
                  <a16:creationId xmlns:a16="http://schemas.microsoft.com/office/drawing/2014/main" id="{00000000-0008-0000-1200-000021010000}"/>
                </a:ext>
              </a:extLst>
            </xdr:cNvPr>
            <xdr:cNvGrpSpPr/>
          </xdr:nvGrpSpPr>
          <xdr:grpSpPr>
            <a:xfrm>
              <a:off x="4417688" y="10723311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105" name="Group Box 169" hidden="1">
                <a:extLst>
                  <a:ext uri="{63B3BB69-23CF-44E3-9099-C40C66FF867C}">
                    <a14:compatExt spid="_x0000_s40105"/>
                  </a:ext>
                  <a:ext uri="{FF2B5EF4-FFF2-40B4-BE49-F238E27FC236}">
                    <a16:creationId xmlns:a16="http://schemas.microsoft.com/office/drawing/2014/main" id="{00000000-0008-0000-1200-0000A9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06" name="Option Button 170" hidden="1">
                <a:extLst>
                  <a:ext uri="{63B3BB69-23CF-44E3-9099-C40C66FF867C}">
                    <a14:compatExt spid="_x0000_s40106"/>
                  </a:ext>
                  <a:ext uri="{FF2B5EF4-FFF2-40B4-BE49-F238E27FC236}">
                    <a16:creationId xmlns:a16="http://schemas.microsoft.com/office/drawing/2014/main" id="{00000000-0008-0000-1200-0000AA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07" name="Option Button 171" hidden="1">
                <a:extLst>
                  <a:ext uri="{63B3BB69-23CF-44E3-9099-C40C66FF867C}">
                    <a14:compatExt spid="_x0000_s40107"/>
                  </a:ext>
                  <a:ext uri="{FF2B5EF4-FFF2-40B4-BE49-F238E27FC236}">
                    <a16:creationId xmlns:a16="http://schemas.microsoft.com/office/drawing/2014/main" id="{00000000-0008-0000-1200-0000AB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08" name="Option Button 172" hidden="1">
                <a:extLst>
                  <a:ext uri="{63B3BB69-23CF-44E3-9099-C40C66FF867C}">
                    <a14:compatExt spid="_x0000_s40108"/>
                  </a:ext>
                  <a:ext uri="{FF2B5EF4-FFF2-40B4-BE49-F238E27FC236}">
                    <a16:creationId xmlns:a16="http://schemas.microsoft.com/office/drawing/2014/main" id="{00000000-0008-0000-1200-0000AC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09" name="Option Button 173" hidden="1">
                <a:extLst>
                  <a:ext uri="{63B3BB69-23CF-44E3-9099-C40C66FF867C}">
                    <a14:compatExt spid="_x0000_s40109"/>
                  </a:ext>
                  <a:ext uri="{FF2B5EF4-FFF2-40B4-BE49-F238E27FC236}">
                    <a16:creationId xmlns:a16="http://schemas.microsoft.com/office/drawing/2014/main" id="{00000000-0008-0000-1200-0000AD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10" name="Option Button 174" hidden="1">
                <a:extLst>
                  <a:ext uri="{63B3BB69-23CF-44E3-9099-C40C66FF867C}">
                    <a14:compatExt spid="_x0000_s40110"/>
                  </a:ext>
                  <a:ext uri="{FF2B5EF4-FFF2-40B4-BE49-F238E27FC236}">
                    <a16:creationId xmlns:a16="http://schemas.microsoft.com/office/drawing/2014/main" id="{00000000-0008-0000-1200-0000AE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32</xdr:row>
          <xdr:rowOff>66</xdr:rowOff>
        </xdr:from>
        <xdr:to>
          <xdr:col>16</xdr:col>
          <xdr:colOff>76191</xdr:colOff>
          <xdr:row>32</xdr:row>
          <xdr:rowOff>194071</xdr:rowOff>
        </xdr:to>
        <xdr:grpSp>
          <xdr:nvGrpSpPr>
            <xdr:cNvPr id="296" name="Gruppieren 295">
              <a:extLst>
                <a:ext uri="{FF2B5EF4-FFF2-40B4-BE49-F238E27FC236}">
                  <a16:creationId xmlns:a16="http://schemas.microsoft.com/office/drawing/2014/main" id="{00000000-0008-0000-1200-000028010000}"/>
                </a:ext>
              </a:extLst>
            </xdr:cNvPr>
            <xdr:cNvGrpSpPr/>
          </xdr:nvGrpSpPr>
          <xdr:grpSpPr>
            <a:xfrm>
              <a:off x="4417688" y="11110026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111" name="Group Box 175" hidden="1">
                <a:extLst>
                  <a:ext uri="{63B3BB69-23CF-44E3-9099-C40C66FF867C}">
                    <a14:compatExt spid="_x0000_s40111"/>
                  </a:ext>
                  <a:ext uri="{FF2B5EF4-FFF2-40B4-BE49-F238E27FC236}">
                    <a16:creationId xmlns:a16="http://schemas.microsoft.com/office/drawing/2014/main" id="{00000000-0008-0000-1200-0000AF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12" name="Option Button 176" hidden="1">
                <a:extLst>
                  <a:ext uri="{63B3BB69-23CF-44E3-9099-C40C66FF867C}">
                    <a14:compatExt spid="_x0000_s40112"/>
                  </a:ext>
                  <a:ext uri="{FF2B5EF4-FFF2-40B4-BE49-F238E27FC236}">
                    <a16:creationId xmlns:a16="http://schemas.microsoft.com/office/drawing/2014/main" id="{00000000-0008-0000-1200-0000B0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13" name="Option Button 177" hidden="1">
                <a:extLst>
                  <a:ext uri="{63B3BB69-23CF-44E3-9099-C40C66FF867C}">
                    <a14:compatExt spid="_x0000_s40113"/>
                  </a:ext>
                  <a:ext uri="{FF2B5EF4-FFF2-40B4-BE49-F238E27FC236}">
                    <a16:creationId xmlns:a16="http://schemas.microsoft.com/office/drawing/2014/main" id="{00000000-0008-0000-1200-0000B1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14" name="Option Button 178" hidden="1">
                <a:extLst>
                  <a:ext uri="{63B3BB69-23CF-44E3-9099-C40C66FF867C}">
                    <a14:compatExt spid="_x0000_s40114"/>
                  </a:ext>
                  <a:ext uri="{FF2B5EF4-FFF2-40B4-BE49-F238E27FC236}">
                    <a16:creationId xmlns:a16="http://schemas.microsoft.com/office/drawing/2014/main" id="{00000000-0008-0000-1200-0000B2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15" name="Option Button 179" hidden="1">
                <a:extLst>
                  <a:ext uri="{63B3BB69-23CF-44E3-9099-C40C66FF867C}">
                    <a14:compatExt spid="_x0000_s40115"/>
                  </a:ext>
                  <a:ext uri="{FF2B5EF4-FFF2-40B4-BE49-F238E27FC236}">
                    <a16:creationId xmlns:a16="http://schemas.microsoft.com/office/drawing/2014/main" id="{00000000-0008-0000-1200-0000B3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16" name="Option Button 180" hidden="1">
                <a:extLst>
                  <a:ext uri="{63B3BB69-23CF-44E3-9099-C40C66FF867C}">
                    <a14:compatExt spid="_x0000_s40116"/>
                  </a:ext>
                  <a:ext uri="{FF2B5EF4-FFF2-40B4-BE49-F238E27FC236}">
                    <a16:creationId xmlns:a16="http://schemas.microsoft.com/office/drawing/2014/main" id="{00000000-0008-0000-1200-0000B4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33</xdr:row>
          <xdr:rowOff>19116</xdr:rowOff>
        </xdr:from>
        <xdr:to>
          <xdr:col>16</xdr:col>
          <xdr:colOff>76191</xdr:colOff>
          <xdr:row>33</xdr:row>
          <xdr:rowOff>213121</xdr:rowOff>
        </xdr:to>
        <xdr:grpSp>
          <xdr:nvGrpSpPr>
            <xdr:cNvPr id="303" name="Gruppieren 302">
              <a:extLst>
                <a:ext uri="{FF2B5EF4-FFF2-40B4-BE49-F238E27FC236}">
                  <a16:creationId xmlns:a16="http://schemas.microsoft.com/office/drawing/2014/main" id="{00000000-0008-0000-1200-00002F010000}"/>
                </a:ext>
              </a:extLst>
            </xdr:cNvPr>
            <xdr:cNvGrpSpPr/>
          </xdr:nvGrpSpPr>
          <xdr:grpSpPr>
            <a:xfrm>
              <a:off x="4417688" y="11525316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117" name="Group Box 181" hidden="1">
                <a:extLst>
                  <a:ext uri="{63B3BB69-23CF-44E3-9099-C40C66FF867C}">
                    <a14:compatExt spid="_x0000_s40117"/>
                  </a:ext>
                  <a:ext uri="{FF2B5EF4-FFF2-40B4-BE49-F238E27FC236}">
                    <a16:creationId xmlns:a16="http://schemas.microsoft.com/office/drawing/2014/main" id="{00000000-0008-0000-1200-0000B5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18" name="Option Button 182" hidden="1">
                <a:extLst>
                  <a:ext uri="{63B3BB69-23CF-44E3-9099-C40C66FF867C}">
                    <a14:compatExt spid="_x0000_s40118"/>
                  </a:ext>
                  <a:ext uri="{FF2B5EF4-FFF2-40B4-BE49-F238E27FC236}">
                    <a16:creationId xmlns:a16="http://schemas.microsoft.com/office/drawing/2014/main" id="{00000000-0008-0000-1200-0000B6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19" name="Option Button 183" hidden="1">
                <a:extLst>
                  <a:ext uri="{63B3BB69-23CF-44E3-9099-C40C66FF867C}">
                    <a14:compatExt spid="_x0000_s40119"/>
                  </a:ext>
                  <a:ext uri="{FF2B5EF4-FFF2-40B4-BE49-F238E27FC236}">
                    <a16:creationId xmlns:a16="http://schemas.microsoft.com/office/drawing/2014/main" id="{00000000-0008-0000-1200-0000B7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20" name="Option Button 184" hidden="1">
                <a:extLst>
                  <a:ext uri="{63B3BB69-23CF-44E3-9099-C40C66FF867C}">
                    <a14:compatExt spid="_x0000_s40120"/>
                  </a:ext>
                  <a:ext uri="{FF2B5EF4-FFF2-40B4-BE49-F238E27FC236}">
                    <a16:creationId xmlns:a16="http://schemas.microsoft.com/office/drawing/2014/main" id="{00000000-0008-0000-1200-0000B8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21" name="Option Button 185" hidden="1">
                <a:extLst>
                  <a:ext uri="{63B3BB69-23CF-44E3-9099-C40C66FF867C}">
                    <a14:compatExt spid="_x0000_s40121"/>
                  </a:ext>
                  <a:ext uri="{FF2B5EF4-FFF2-40B4-BE49-F238E27FC236}">
                    <a16:creationId xmlns:a16="http://schemas.microsoft.com/office/drawing/2014/main" id="{00000000-0008-0000-1200-0000B9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22" name="Option Button 186" hidden="1">
                <a:extLst>
                  <a:ext uri="{63B3BB69-23CF-44E3-9099-C40C66FF867C}">
                    <a14:compatExt spid="_x0000_s40122"/>
                  </a:ext>
                  <a:ext uri="{FF2B5EF4-FFF2-40B4-BE49-F238E27FC236}">
                    <a16:creationId xmlns:a16="http://schemas.microsoft.com/office/drawing/2014/main" id="{00000000-0008-0000-1200-0000BA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34</xdr:row>
          <xdr:rowOff>9591</xdr:rowOff>
        </xdr:from>
        <xdr:to>
          <xdr:col>16</xdr:col>
          <xdr:colOff>76191</xdr:colOff>
          <xdr:row>34</xdr:row>
          <xdr:rowOff>203596</xdr:rowOff>
        </xdr:to>
        <xdr:grpSp>
          <xdr:nvGrpSpPr>
            <xdr:cNvPr id="310" name="Gruppieren 309">
              <a:extLst>
                <a:ext uri="{FF2B5EF4-FFF2-40B4-BE49-F238E27FC236}">
                  <a16:creationId xmlns:a16="http://schemas.microsoft.com/office/drawing/2014/main" id="{00000000-0008-0000-1200-000036010000}"/>
                </a:ext>
              </a:extLst>
            </xdr:cNvPr>
            <xdr:cNvGrpSpPr/>
          </xdr:nvGrpSpPr>
          <xdr:grpSpPr>
            <a:xfrm>
              <a:off x="4417688" y="11912031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123" name="Group Box 187" hidden="1">
                <a:extLst>
                  <a:ext uri="{63B3BB69-23CF-44E3-9099-C40C66FF867C}">
                    <a14:compatExt spid="_x0000_s40123"/>
                  </a:ext>
                  <a:ext uri="{FF2B5EF4-FFF2-40B4-BE49-F238E27FC236}">
                    <a16:creationId xmlns:a16="http://schemas.microsoft.com/office/drawing/2014/main" id="{00000000-0008-0000-1200-0000BB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24" name="Option Button 188" hidden="1">
                <a:extLst>
                  <a:ext uri="{63B3BB69-23CF-44E3-9099-C40C66FF867C}">
                    <a14:compatExt spid="_x0000_s40124"/>
                  </a:ext>
                  <a:ext uri="{FF2B5EF4-FFF2-40B4-BE49-F238E27FC236}">
                    <a16:creationId xmlns:a16="http://schemas.microsoft.com/office/drawing/2014/main" id="{00000000-0008-0000-1200-0000BC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25" name="Option Button 189" hidden="1">
                <a:extLst>
                  <a:ext uri="{63B3BB69-23CF-44E3-9099-C40C66FF867C}">
                    <a14:compatExt spid="_x0000_s40125"/>
                  </a:ext>
                  <a:ext uri="{FF2B5EF4-FFF2-40B4-BE49-F238E27FC236}">
                    <a16:creationId xmlns:a16="http://schemas.microsoft.com/office/drawing/2014/main" id="{00000000-0008-0000-1200-0000BD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26" name="Option Button 190" hidden="1">
                <a:extLst>
                  <a:ext uri="{63B3BB69-23CF-44E3-9099-C40C66FF867C}">
                    <a14:compatExt spid="_x0000_s40126"/>
                  </a:ext>
                  <a:ext uri="{FF2B5EF4-FFF2-40B4-BE49-F238E27FC236}">
                    <a16:creationId xmlns:a16="http://schemas.microsoft.com/office/drawing/2014/main" id="{00000000-0008-0000-1200-0000BE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27" name="Option Button 191" hidden="1">
                <a:extLst>
                  <a:ext uri="{63B3BB69-23CF-44E3-9099-C40C66FF867C}">
                    <a14:compatExt spid="_x0000_s40127"/>
                  </a:ext>
                  <a:ext uri="{FF2B5EF4-FFF2-40B4-BE49-F238E27FC236}">
                    <a16:creationId xmlns:a16="http://schemas.microsoft.com/office/drawing/2014/main" id="{00000000-0008-0000-1200-0000BF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28" name="Option Button 192" hidden="1">
                <a:extLst>
                  <a:ext uri="{63B3BB69-23CF-44E3-9099-C40C66FF867C}">
                    <a14:compatExt spid="_x0000_s40128"/>
                  </a:ext>
                  <a:ext uri="{FF2B5EF4-FFF2-40B4-BE49-F238E27FC236}">
                    <a16:creationId xmlns:a16="http://schemas.microsoft.com/office/drawing/2014/main" id="{00000000-0008-0000-1200-0000C0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35</xdr:row>
          <xdr:rowOff>66</xdr:rowOff>
        </xdr:from>
        <xdr:to>
          <xdr:col>16</xdr:col>
          <xdr:colOff>76191</xdr:colOff>
          <xdr:row>35</xdr:row>
          <xdr:rowOff>194071</xdr:rowOff>
        </xdr:to>
        <xdr:grpSp>
          <xdr:nvGrpSpPr>
            <xdr:cNvPr id="317" name="Gruppieren 316">
              <a:extLst>
                <a:ext uri="{FF2B5EF4-FFF2-40B4-BE49-F238E27FC236}">
                  <a16:creationId xmlns:a16="http://schemas.microsoft.com/office/drawing/2014/main" id="{00000000-0008-0000-1200-00003D010000}"/>
                </a:ext>
              </a:extLst>
            </xdr:cNvPr>
            <xdr:cNvGrpSpPr/>
          </xdr:nvGrpSpPr>
          <xdr:grpSpPr>
            <a:xfrm>
              <a:off x="4417688" y="12298746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129" name="Group Box 193" hidden="1">
                <a:extLst>
                  <a:ext uri="{63B3BB69-23CF-44E3-9099-C40C66FF867C}">
                    <a14:compatExt spid="_x0000_s40129"/>
                  </a:ext>
                  <a:ext uri="{FF2B5EF4-FFF2-40B4-BE49-F238E27FC236}">
                    <a16:creationId xmlns:a16="http://schemas.microsoft.com/office/drawing/2014/main" id="{00000000-0008-0000-1200-0000C1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30" name="Option Button 194" hidden="1">
                <a:extLst>
                  <a:ext uri="{63B3BB69-23CF-44E3-9099-C40C66FF867C}">
                    <a14:compatExt spid="_x0000_s40130"/>
                  </a:ext>
                  <a:ext uri="{FF2B5EF4-FFF2-40B4-BE49-F238E27FC236}">
                    <a16:creationId xmlns:a16="http://schemas.microsoft.com/office/drawing/2014/main" id="{00000000-0008-0000-1200-0000C2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31" name="Option Button 195" hidden="1">
                <a:extLst>
                  <a:ext uri="{63B3BB69-23CF-44E3-9099-C40C66FF867C}">
                    <a14:compatExt spid="_x0000_s40131"/>
                  </a:ext>
                  <a:ext uri="{FF2B5EF4-FFF2-40B4-BE49-F238E27FC236}">
                    <a16:creationId xmlns:a16="http://schemas.microsoft.com/office/drawing/2014/main" id="{00000000-0008-0000-1200-0000C3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32" name="Option Button 196" hidden="1">
                <a:extLst>
                  <a:ext uri="{63B3BB69-23CF-44E3-9099-C40C66FF867C}">
                    <a14:compatExt spid="_x0000_s40132"/>
                  </a:ext>
                  <a:ext uri="{FF2B5EF4-FFF2-40B4-BE49-F238E27FC236}">
                    <a16:creationId xmlns:a16="http://schemas.microsoft.com/office/drawing/2014/main" id="{00000000-0008-0000-1200-0000C4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33" name="Option Button 197" hidden="1">
                <a:extLst>
                  <a:ext uri="{63B3BB69-23CF-44E3-9099-C40C66FF867C}">
                    <a14:compatExt spid="_x0000_s40133"/>
                  </a:ext>
                  <a:ext uri="{FF2B5EF4-FFF2-40B4-BE49-F238E27FC236}">
                    <a16:creationId xmlns:a16="http://schemas.microsoft.com/office/drawing/2014/main" id="{00000000-0008-0000-1200-0000C5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34" name="Option Button 198" hidden="1">
                <a:extLst>
                  <a:ext uri="{63B3BB69-23CF-44E3-9099-C40C66FF867C}">
                    <a14:compatExt spid="_x0000_s40134"/>
                  </a:ext>
                  <a:ext uri="{FF2B5EF4-FFF2-40B4-BE49-F238E27FC236}">
                    <a16:creationId xmlns:a16="http://schemas.microsoft.com/office/drawing/2014/main" id="{00000000-0008-0000-1200-0000C6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36</xdr:row>
          <xdr:rowOff>9591</xdr:rowOff>
        </xdr:from>
        <xdr:to>
          <xdr:col>16</xdr:col>
          <xdr:colOff>76191</xdr:colOff>
          <xdr:row>36</xdr:row>
          <xdr:rowOff>203596</xdr:rowOff>
        </xdr:to>
        <xdr:grpSp>
          <xdr:nvGrpSpPr>
            <xdr:cNvPr id="324" name="Gruppieren 323">
              <a:extLst>
                <a:ext uri="{FF2B5EF4-FFF2-40B4-BE49-F238E27FC236}">
                  <a16:creationId xmlns:a16="http://schemas.microsoft.com/office/drawing/2014/main" id="{00000000-0008-0000-1200-000044010000}"/>
                </a:ext>
              </a:extLst>
            </xdr:cNvPr>
            <xdr:cNvGrpSpPr/>
          </xdr:nvGrpSpPr>
          <xdr:grpSpPr>
            <a:xfrm>
              <a:off x="4417688" y="12704511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135" name="Group Box 199" hidden="1">
                <a:extLst>
                  <a:ext uri="{63B3BB69-23CF-44E3-9099-C40C66FF867C}">
                    <a14:compatExt spid="_x0000_s40135"/>
                  </a:ext>
                  <a:ext uri="{FF2B5EF4-FFF2-40B4-BE49-F238E27FC236}">
                    <a16:creationId xmlns:a16="http://schemas.microsoft.com/office/drawing/2014/main" id="{00000000-0008-0000-1200-0000C7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36" name="Option Button 200" hidden="1">
                <a:extLst>
                  <a:ext uri="{63B3BB69-23CF-44E3-9099-C40C66FF867C}">
                    <a14:compatExt spid="_x0000_s40136"/>
                  </a:ext>
                  <a:ext uri="{FF2B5EF4-FFF2-40B4-BE49-F238E27FC236}">
                    <a16:creationId xmlns:a16="http://schemas.microsoft.com/office/drawing/2014/main" id="{00000000-0008-0000-1200-0000C8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37" name="Option Button 201" hidden="1">
                <a:extLst>
                  <a:ext uri="{63B3BB69-23CF-44E3-9099-C40C66FF867C}">
                    <a14:compatExt spid="_x0000_s40137"/>
                  </a:ext>
                  <a:ext uri="{FF2B5EF4-FFF2-40B4-BE49-F238E27FC236}">
                    <a16:creationId xmlns:a16="http://schemas.microsoft.com/office/drawing/2014/main" id="{00000000-0008-0000-1200-0000C9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38" name="Option Button 202" hidden="1">
                <a:extLst>
                  <a:ext uri="{63B3BB69-23CF-44E3-9099-C40C66FF867C}">
                    <a14:compatExt spid="_x0000_s40138"/>
                  </a:ext>
                  <a:ext uri="{FF2B5EF4-FFF2-40B4-BE49-F238E27FC236}">
                    <a16:creationId xmlns:a16="http://schemas.microsoft.com/office/drawing/2014/main" id="{00000000-0008-0000-1200-0000CA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39" name="Option Button 203" hidden="1">
                <a:extLst>
                  <a:ext uri="{63B3BB69-23CF-44E3-9099-C40C66FF867C}">
                    <a14:compatExt spid="_x0000_s40139"/>
                  </a:ext>
                  <a:ext uri="{FF2B5EF4-FFF2-40B4-BE49-F238E27FC236}">
                    <a16:creationId xmlns:a16="http://schemas.microsoft.com/office/drawing/2014/main" id="{00000000-0008-0000-1200-0000CB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40" name="Option Button 204" hidden="1">
                <a:extLst>
                  <a:ext uri="{63B3BB69-23CF-44E3-9099-C40C66FF867C}">
                    <a14:compatExt spid="_x0000_s40140"/>
                  </a:ext>
                  <a:ext uri="{FF2B5EF4-FFF2-40B4-BE49-F238E27FC236}">
                    <a16:creationId xmlns:a16="http://schemas.microsoft.com/office/drawing/2014/main" id="{00000000-0008-0000-1200-0000CC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37</xdr:row>
          <xdr:rowOff>66</xdr:rowOff>
        </xdr:from>
        <xdr:to>
          <xdr:col>16</xdr:col>
          <xdr:colOff>76191</xdr:colOff>
          <xdr:row>37</xdr:row>
          <xdr:rowOff>194071</xdr:rowOff>
        </xdr:to>
        <xdr:grpSp>
          <xdr:nvGrpSpPr>
            <xdr:cNvPr id="331" name="Gruppieren 330">
              <a:extLst>
                <a:ext uri="{FF2B5EF4-FFF2-40B4-BE49-F238E27FC236}">
                  <a16:creationId xmlns:a16="http://schemas.microsoft.com/office/drawing/2014/main" id="{00000000-0008-0000-1200-00004B010000}"/>
                </a:ext>
              </a:extLst>
            </xdr:cNvPr>
            <xdr:cNvGrpSpPr/>
          </xdr:nvGrpSpPr>
          <xdr:grpSpPr>
            <a:xfrm>
              <a:off x="4417688" y="13091226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141" name="Group Box 205" hidden="1">
                <a:extLst>
                  <a:ext uri="{63B3BB69-23CF-44E3-9099-C40C66FF867C}">
                    <a14:compatExt spid="_x0000_s40141"/>
                  </a:ext>
                  <a:ext uri="{FF2B5EF4-FFF2-40B4-BE49-F238E27FC236}">
                    <a16:creationId xmlns:a16="http://schemas.microsoft.com/office/drawing/2014/main" id="{00000000-0008-0000-1200-0000CD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42" name="Option Button 206" hidden="1">
                <a:extLst>
                  <a:ext uri="{63B3BB69-23CF-44E3-9099-C40C66FF867C}">
                    <a14:compatExt spid="_x0000_s40142"/>
                  </a:ext>
                  <a:ext uri="{FF2B5EF4-FFF2-40B4-BE49-F238E27FC236}">
                    <a16:creationId xmlns:a16="http://schemas.microsoft.com/office/drawing/2014/main" id="{00000000-0008-0000-1200-0000CE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43" name="Option Button 207" hidden="1">
                <a:extLst>
                  <a:ext uri="{63B3BB69-23CF-44E3-9099-C40C66FF867C}">
                    <a14:compatExt spid="_x0000_s40143"/>
                  </a:ext>
                  <a:ext uri="{FF2B5EF4-FFF2-40B4-BE49-F238E27FC236}">
                    <a16:creationId xmlns:a16="http://schemas.microsoft.com/office/drawing/2014/main" id="{00000000-0008-0000-1200-0000CF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44" name="Option Button 208" hidden="1">
                <a:extLst>
                  <a:ext uri="{63B3BB69-23CF-44E3-9099-C40C66FF867C}">
                    <a14:compatExt spid="_x0000_s40144"/>
                  </a:ext>
                  <a:ext uri="{FF2B5EF4-FFF2-40B4-BE49-F238E27FC236}">
                    <a16:creationId xmlns:a16="http://schemas.microsoft.com/office/drawing/2014/main" id="{00000000-0008-0000-1200-0000D0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45" name="Option Button 209" hidden="1">
                <a:extLst>
                  <a:ext uri="{63B3BB69-23CF-44E3-9099-C40C66FF867C}">
                    <a14:compatExt spid="_x0000_s40145"/>
                  </a:ext>
                  <a:ext uri="{FF2B5EF4-FFF2-40B4-BE49-F238E27FC236}">
                    <a16:creationId xmlns:a16="http://schemas.microsoft.com/office/drawing/2014/main" id="{00000000-0008-0000-1200-0000D1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46" name="Option Button 210" hidden="1">
                <a:extLst>
                  <a:ext uri="{63B3BB69-23CF-44E3-9099-C40C66FF867C}">
                    <a14:compatExt spid="_x0000_s40146"/>
                  </a:ext>
                  <a:ext uri="{FF2B5EF4-FFF2-40B4-BE49-F238E27FC236}">
                    <a16:creationId xmlns:a16="http://schemas.microsoft.com/office/drawing/2014/main" id="{00000000-0008-0000-1200-0000D2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30</xdr:row>
      <xdr:rowOff>76199</xdr:rowOff>
    </xdr:from>
    <xdr:to>
      <xdr:col>21</xdr:col>
      <xdr:colOff>133349</xdr:colOff>
      <xdr:row>35</xdr:row>
      <xdr:rowOff>228599</xdr:rowOff>
    </xdr:to>
    <xdr:graphicFrame macro="">
      <xdr:nvGraphicFramePr>
        <xdr:cNvPr id="338" name="Diagramm 337">
          <a:extLst>
            <a:ext uri="{FF2B5EF4-FFF2-40B4-BE49-F238E27FC236}">
              <a16:creationId xmlns:a16="http://schemas.microsoft.com/office/drawing/2014/main" id="{00000000-0008-0000-1200-000052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40</xdr:row>
          <xdr:rowOff>28578</xdr:rowOff>
        </xdr:from>
        <xdr:to>
          <xdr:col>16</xdr:col>
          <xdr:colOff>76181</xdr:colOff>
          <xdr:row>40</xdr:row>
          <xdr:rowOff>204311</xdr:rowOff>
        </xdr:to>
        <xdr:grpSp>
          <xdr:nvGrpSpPr>
            <xdr:cNvPr id="339" name="Gruppieren 338">
              <a:extLst>
                <a:ext uri="{FF2B5EF4-FFF2-40B4-BE49-F238E27FC236}">
                  <a16:creationId xmlns:a16="http://schemas.microsoft.com/office/drawing/2014/main" id="{00000000-0008-0000-1200-000053010000}"/>
                </a:ext>
              </a:extLst>
            </xdr:cNvPr>
            <xdr:cNvGrpSpPr/>
          </xdr:nvGrpSpPr>
          <xdr:grpSpPr>
            <a:xfrm>
              <a:off x="4417682" y="14110338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147" name="Group Box 211" hidden="1">
                <a:extLst>
                  <a:ext uri="{63B3BB69-23CF-44E3-9099-C40C66FF867C}">
                    <a14:compatExt spid="_x0000_s40147"/>
                  </a:ext>
                  <a:ext uri="{FF2B5EF4-FFF2-40B4-BE49-F238E27FC236}">
                    <a16:creationId xmlns:a16="http://schemas.microsoft.com/office/drawing/2014/main" id="{00000000-0008-0000-1200-0000D39C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48" name="Option Button 212" hidden="1">
                <a:extLst>
                  <a:ext uri="{63B3BB69-23CF-44E3-9099-C40C66FF867C}">
                    <a14:compatExt spid="_x0000_s40148"/>
                  </a:ext>
                  <a:ext uri="{FF2B5EF4-FFF2-40B4-BE49-F238E27FC236}">
                    <a16:creationId xmlns:a16="http://schemas.microsoft.com/office/drawing/2014/main" id="{00000000-0008-0000-1200-0000D49C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49" name="Option Button 213" hidden="1">
                <a:extLst>
                  <a:ext uri="{63B3BB69-23CF-44E3-9099-C40C66FF867C}">
                    <a14:compatExt spid="_x0000_s40149"/>
                  </a:ext>
                  <a:ext uri="{FF2B5EF4-FFF2-40B4-BE49-F238E27FC236}">
                    <a16:creationId xmlns:a16="http://schemas.microsoft.com/office/drawing/2014/main" id="{00000000-0008-0000-1200-0000D59C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50" name="Option Button 214" hidden="1">
                <a:extLst>
                  <a:ext uri="{63B3BB69-23CF-44E3-9099-C40C66FF867C}">
                    <a14:compatExt spid="_x0000_s40150"/>
                  </a:ext>
                  <a:ext uri="{FF2B5EF4-FFF2-40B4-BE49-F238E27FC236}">
                    <a16:creationId xmlns:a16="http://schemas.microsoft.com/office/drawing/2014/main" id="{00000000-0008-0000-1200-0000D69C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51" name="Option Button 215" hidden="1">
                <a:extLst>
                  <a:ext uri="{63B3BB69-23CF-44E3-9099-C40C66FF867C}">
                    <a14:compatExt spid="_x0000_s40151"/>
                  </a:ext>
                  <a:ext uri="{FF2B5EF4-FFF2-40B4-BE49-F238E27FC236}">
                    <a16:creationId xmlns:a16="http://schemas.microsoft.com/office/drawing/2014/main" id="{00000000-0008-0000-1200-0000D79C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52" name="Option Button 216" hidden="1">
                <a:extLst>
                  <a:ext uri="{63B3BB69-23CF-44E3-9099-C40C66FF867C}">
                    <a14:compatExt spid="_x0000_s40152"/>
                  </a:ext>
                  <a:ext uri="{FF2B5EF4-FFF2-40B4-BE49-F238E27FC236}">
                    <a16:creationId xmlns:a16="http://schemas.microsoft.com/office/drawing/2014/main" id="{00000000-0008-0000-1200-0000D89C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41</xdr:row>
          <xdr:rowOff>19053</xdr:rowOff>
        </xdr:from>
        <xdr:to>
          <xdr:col>16</xdr:col>
          <xdr:colOff>76181</xdr:colOff>
          <xdr:row>41</xdr:row>
          <xdr:rowOff>194786</xdr:rowOff>
        </xdr:to>
        <xdr:grpSp>
          <xdr:nvGrpSpPr>
            <xdr:cNvPr id="346" name="Gruppieren 345">
              <a:extLst>
                <a:ext uri="{FF2B5EF4-FFF2-40B4-BE49-F238E27FC236}">
                  <a16:creationId xmlns:a16="http://schemas.microsoft.com/office/drawing/2014/main" id="{00000000-0008-0000-1200-00005A010000}"/>
                </a:ext>
              </a:extLst>
            </xdr:cNvPr>
            <xdr:cNvGrpSpPr/>
          </xdr:nvGrpSpPr>
          <xdr:grpSpPr>
            <a:xfrm>
              <a:off x="4417682" y="14497053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153" name="Group Box 217" hidden="1">
                <a:extLst>
                  <a:ext uri="{63B3BB69-23CF-44E3-9099-C40C66FF867C}">
                    <a14:compatExt spid="_x0000_s40153"/>
                  </a:ext>
                  <a:ext uri="{FF2B5EF4-FFF2-40B4-BE49-F238E27FC236}">
                    <a16:creationId xmlns:a16="http://schemas.microsoft.com/office/drawing/2014/main" id="{00000000-0008-0000-1200-0000D99C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54" name="Option Button 218" hidden="1">
                <a:extLst>
                  <a:ext uri="{63B3BB69-23CF-44E3-9099-C40C66FF867C}">
                    <a14:compatExt spid="_x0000_s40154"/>
                  </a:ext>
                  <a:ext uri="{FF2B5EF4-FFF2-40B4-BE49-F238E27FC236}">
                    <a16:creationId xmlns:a16="http://schemas.microsoft.com/office/drawing/2014/main" id="{00000000-0008-0000-1200-0000DA9C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55" name="Option Button 219" hidden="1">
                <a:extLst>
                  <a:ext uri="{63B3BB69-23CF-44E3-9099-C40C66FF867C}">
                    <a14:compatExt spid="_x0000_s40155"/>
                  </a:ext>
                  <a:ext uri="{FF2B5EF4-FFF2-40B4-BE49-F238E27FC236}">
                    <a16:creationId xmlns:a16="http://schemas.microsoft.com/office/drawing/2014/main" id="{00000000-0008-0000-1200-0000DB9C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56" name="Option Button 220" hidden="1">
                <a:extLst>
                  <a:ext uri="{63B3BB69-23CF-44E3-9099-C40C66FF867C}">
                    <a14:compatExt spid="_x0000_s40156"/>
                  </a:ext>
                  <a:ext uri="{FF2B5EF4-FFF2-40B4-BE49-F238E27FC236}">
                    <a16:creationId xmlns:a16="http://schemas.microsoft.com/office/drawing/2014/main" id="{00000000-0008-0000-1200-0000DC9C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57" name="Option Button 221" hidden="1">
                <a:extLst>
                  <a:ext uri="{63B3BB69-23CF-44E3-9099-C40C66FF867C}">
                    <a14:compatExt spid="_x0000_s40157"/>
                  </a:ext>
                  <a:ext uri="{FF2B5EF4-FFF2-40B4-BE49-F238E27FC236}">
                    <a16:creationId xmlns:a16="http://schemas.microsoft.com/office/drawing/2014/main" id="{00000000-0008-0000-1200-0000DD9C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58" name="Option Button 222" hidden="1">
                <a:extLst>
                  <a:ext uri="{63B3BB69-23CF-44E3-9099-C40C66FF867C}">
                    <a14:compatExt spid="_x0000_s40158"/>
                  </a:ext>
                  <a:ext uri="{FF2B5EF4-FFF2-40B4-BE49-F238E27FC236}">
                    <a16:creationId xmlns:a16="http://schemas.microsoft.com/office/drawing/2014/main" id="{00000000-0008-0000-1200-0000DE9C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42</xdr:row>
          <xdr:rowOff>28578</xdr:rowOff>
        </xdr:from>
        <xdr:to>
          <xdr:col>16</xdr:col>
          <xdr:colOff>76181</xdr:colOff>
          <xdr:row>42</xdr:row>
          <xdr:rowOff>204311</xdr:rowOff>
        </xdr:to>
        <xdr:grpSp>
          <xdr:nvGrpSpPr>
            <xdr:cNvPr id="353" name="Gruppieren 352">
              <a:extLst>
                <a:ext uri="{FF2B5EF4-FFF2-40B4-BE49-F238E27FC236}">
                  <a16:creationId xmlns:a16="http://schemas.microsoft.com/office/drawing/2014/main" id="{00000000-0008-0000-1200-000061010000}"/>
                </a:ext>
              </a:extLst>
            </xdr:cNvPr>
            <xdr:cNvGrpSpPr/>
          </xdr:nvGrpSpPr>
          <xdr:grpSpPr>
            <a:xfrm>
              <a:off x="4417682" y="14902818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159" name="Group Box 223" hidden="1">
                <a:extLst>
                  <a:ext uri="{63B3BB69-23CF-44E3-9099-C40C66FF867C}">
                    <a14:compatExt spid="_x0000_s40159"/>
                  </a:ext>
                  <a:ext uri="{FF2B5EF4-FFF2-40B4-BE49-F238E27FC236}">
                    <a16:creationId xmlns:a16="http://schemas.microsoft.com/office/drawing/2014/main" id="{00000000-0008-0000-1200-0000DF9C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60" name="Option Button 224" hidden="1">
                <a:extLst>
                  <a:ext uri="{63B3BB69-23CF-44E3-9099-C40C66FF867C}">
                    <a14:compatExt spid="_x0000_s40160"/>
                  </a:ext>
                  <a:ext uri="{FF2B5EF4-FFF2-40B4-BE49-F238E27FC236}">
                    <a16:creationId xmlns:a16="http://schemas.microsoft.com/office/drawing/2014/main" id="{00000000-0008-0000-1200-0000E09C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61" name="Option Button 225" hidden="1">
                <a:extLst>
                  <a:ext uri="{63B3BB69-23CF-44E3-9099-C40C66FF867C}">
                    <a14:compatExt spid="_x0000_s40161"/>
                  </a:ext>
                  <a:ext uri="{FF2B5EF4-FFF2-40B4-BE49-F238E27FC236}">
                    <a16:creationId xmlns:a16="http://schemas.microsoft.com/office/drawing/2014/main" id="{00000000-0008-0000-1200-0000E19C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62" name="Option Button 226" hidden="1">
                <a:extLst>
                  <a:ext uri="{63B3BB69-23CF-44E3-9099-C40C66FF867C}">
                    <a14:compatExt spid="_x0000_s40162"/>
                  </a:ext>
                  <a:ext uri="{FF2B5EF4-FFF2-40B4-BE49-F238E27FC236}">
                    <a16:creationId xmlns:a16="http://schemas.microsoft.com/office/drawing/2014/main" id="{00000000-0008-0000-1200-0000E29C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63" name="Option Button 227" hidden="1">
                <a:extLst>
                  <a:ext uri="{63B3BB69-23CF-44E3-9099-C40C66FF867C}">
                    <a14:compatExt spid="_x0000_s40163"/>
                  </a:ext>
                  <a:ext uri="{FF2B5EF4-FFF2-40B4-BE49-F238E27FC236}">
                    <a16:creationId xmlns:a16="http://schemas.microsoft.com/office/drawing/2014/main" id="{00000000-0008-0000-1200-0000E39C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64" name="Option Button 228" hidden="1">
                <a:extLst>
                  <a:ext uri="{63B3BB69-23CF-44E3-9099-C40C66FF867C}">
                    <a14:compatExt spid="_x0000_s40164"/>
                  </a:ext>
                  <a:ext uri="{FF2B5EF4-FFF2-40B4-BE49-F238E27FC236}">
                    <a16:creationId xmlns:a16="http://schemas.microsoft.com/office/drawing/2014/main" id="{00000000-0008-0000-1200-0000E49C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44</xdr:row>
          <xdr:rowOff>28578</xdr:rowOff>
        </xdr:from>
        <xdr:to>
          <xdr:col>16</xdr:col>
          <xdr:colOff>76181</xdr:colOff>
          <xdr:row>44</xdr:row>
          <xdr:rowOff>204311</xdr:rowOff>
        </xdr:to>
        <xdr:grpSp>
          <xdr:nvGrpSpPr>
            <xdr:cNvPr id="360" name="Gruppieren 359">
              <a:extLst>
                <a:ext uri="{FF2B5EF4-FFF2-40B4-BE49-F238E27FC236}">
                  <a16:creationId xmlns:a16="http://schemas.microsoft.com/office/drawing/2014/main" id="{00000000-0008-0000-1200-000068010000}"/>
                </a:ext>
              </a:extLst>
            </xdr:cNvPr>
            <xdr:cNvGrpSpPr/>
          </xdr:nvGrpSpPr>
          <xdr:grpSpPr>
            <a:xfrm>
              <a:off x="4417682" y="15695298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165" name="Group Box 229" hidden="1">
                <a:extLst>
                  <a:ext uri="{63B3BB69-23CF-44E3-9099-C40C66FF867C}">
                    <a14:compatExt spid="_x0000_s40165"/>
                  </a:ext>
                  <a:ext uri="{FF2B5EF4-FFF2-40B4-BE49-F238E27FC236}">
                    <a16:creationId xmlns:a16="http://schemas.microsoft.com/office/drawing/2014/main" id="{00000000-0008-0000-1200-0000E59C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66" name="Option Button 230" hidden="1">
                <a:extLst>
                  <a:ext uri="{63B3BB69-23CF-44E3-9099-C40C66FF867C}">
                    <a14:compatExt spid="_x0000_s40166"/>
                  </a:ext>
                  <a:ext uri="{FF2B5EF4-FFF2-40B4-BE49-F238E27FC236}">
                    <a16:creationId xmlns:a16="http://schemas.microsoft.com/office/drawing/2014/main" id="{00000000-0008-0000-1200-0000E69C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67" name="Option Button 231" hidden="1">
                <a:extLst>
                  <a:ext uri="{63B3BB69-23CF-44E3-9099-C40C66FF867C}">
                    <a14:compatExt spid="_x0000_s40167"/>
                  </a:ext>
                  <a:ext uri="{FF2B5EF4-FFF2-40B4-BE49-F238E27FC236}">
                    <a16:creationId xmlns:a16="http://schemas.microsoft.com/office/drawing/2014/main" id="{00000000-0008-0000-1200-0000E79C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68" name="Option Button 232" hidden="1">
                <a:extLst>
                  <a:ext uri="{63B3BB69-23CF-44E3-9099-C40C66FF867C}">
                    <a14:compatExt spid="_x0000_s40168"/>
                  </a:ext>
                  <a:ext uri="{FF2B5EF4-FFF2-40B4-BE49-F238E27FC236}">
                    <a16:creationId xmlns:a16="http://schemas.microsoft.com/office/drawing/2014/main" id="{00000000-0008-0000-1200-0000E89C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69" name="Option Button 233" hidden="1">
                <a:extLst>
                  <a:ext uri="{63B3BB69-23CF-44E3-9099-C40C66FF867C}">
                    <a14:compatExt spid="_x0000_s40169"/>
                  </a:ext>
                  <a:ext uri="{FF2B5EF4-FFF2-40B4-BE49-F238E27FC236}">
                    <a16:creationId xmlns:a16="http://schemas.microsoft.com/office/drawing/2014/main" id="{00000000-0008-0000-1200-0000E99C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70" name="Option Button 234" hidden="1">
                <a:extLst>
                  <a:ext uri="{63B3BB69-23CF-44E3-9099-C40C66FF867C}">
                    <a14:compatExt spid="_x0000_s40170"/>
                  </a:ext>
                  <a:ext uri="{FF2B5EF4-FFF2-40B4-BE49-F238E27FC236}">
                    <a16:creationId xmlns:a16="http://schemas.microsoft.com/office/drawing/2014/main" id="{00000000-0008-0000-1200-0000EA9C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45</xdr:row>
          <xdr:rowOff>38103</xdr:rowOff>
        </xdr:from>
        <xdr:to>
          <xdr:col>16</xdr:col>
          <xdr:colOff>76181</xdr:colOff>
          <xdr:row>45</xdr:row>
          <xdr:rowOff>213836</xdr:rowOff>
        </xdr:to>
        <xdr:grpSp>
          <xdr:nvGrpSpPr>
            <xdr:cNvPr id="367" name="Gruppieren 366">
              <a:extLst>
                <a:ext uri="{FF2B5EF4-FFF2-40B4-BE49-F238E27FC236}">
                  <a16:creationId xmlns:a16="http://schemas.microsoft.com/office/drawing/2014/main" id="{00000000-0008-0000-1200-00006F010000}"/>
                </a:ext>
              </a:extLst>
            </xdr:cNvPr>
            <xdr:cNvGrpSpPr/>
          </xdr:nvGrpSpPr>
          <xdr:grpSpPr>
            <a:xfrm>
              <a:off x="4417682" y="16101063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171" name="Group Box 235" hidden="1">
                <a:extLst>
                  <a:ext uri="{63B3BB69-23CF-44E3-9099-C40C66FF867C}">
                    <a14:compatExt spid="_x0000_s40171"/>
                  </a:ext>
                  <a:ext uri="{FF2B5EF4-FFF2-40B4-BE49-F238E27FC236}">
                    <a16:creationId xmlns:a16="http://schemas.microsoft.com/office/drawing/2014/main" id="{00000000-0008-0000-1200-0000EB9C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72" name="Option Button 236" hidden="1">
                <a:extLst>
                  <a:ext uri="{63B3BB69-23CF-44E3-9099-C40C66FF867C}">
                    <a14:compatExt spid="_x0000_s40172"/>
                  </a:ext>
                  <a:ext uri="{FF2B5EF4-FFF2-40B4-BE49-F238E27FC236}">
                    <a16:creationId xmlns:a16="http://schemas.microsoft.com/office/drawing/2014/main" id="{00000000-0008-0000-1200-0000EC9C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73" name="Option Button 237" hidden="1">
                <a:extLst>
                  <a:ext uri="{63B3BB69-23CF-44E3-9099-C40C66FF867C}">
                    <a14:compatExt spid="_x0000_s40173"/>
                  </a:ext>
                  <a:ext uri="{FF2B5EF4-FFF2-40B4-BE49-F238E27FC236}">
                    <a16:creationId xmlns:a16="http://schemas.microsoft.com/office/drawing/2014/main" id="{00000000-0008-0000-1200-0000ED9C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74" name="Option Button 238" hidden="1">
                <a:extLst>
                  <a:ext uri="{63B3BB69-23CF-44E3-9099-C40C66FF867C}">
                    <a14:compatExt spid="_x0000_s40174"/>
                  </a:ext>
                  <a:ext uri="{FF2B5EF4-FFF2-40B4-BE49-F238E27FC236}">
                    <a16:creationId xmlns:a16="http://schemas.microsoft.com/office/drawing/2014/main" id="{00000000-0008-0000-1200-0000EE9C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75" name="Option Button 239" hidden="1">
                <a:extLst>
                  <a:ext uri="{63B3BB69-23CF-44E3-9099-C40C66FF867C}">
                    <a14:compatExt spid="_x0000_s40175"/>
                  </a:ext>
                  <a:ext uri="{FF2B5EF4-FFF2-40B4-BE49-F238E27FC236}">
                    <a16:creationId xmlns:a16="http://schemas.microsoft.com/office/drawing/2014/main" id="{00000000-0008-0000-1200-0000EF9C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76" name="Option Button 240" hidden="1">
                <a:extLst>
                  <a:ext uri="{63B3BB69-23CF-44E3-9099-C40C66FF867C}">
                    <a14:compatExt spid="_x0000_s40176"/>
                  </a:ext>
                  <a:ext uri="{FF2B5EF4-FFF2-40B4-BE49-F238E27FC236}">
                    <a16:creationId xmlns:a16="http://schemas.microsoft.com/office/drawing/2014/main" id="{00000000-0008-0000-1200-0000F09C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39</xdr:row>
      <xdr:rowOff>66674</xdr:rowOff>
    </xdr:from>
    <xdr:to>
      <xdr:col>21</xdr:col>
      <xdr:colOff>133349</xdr:colOff>
      <xdr:row>44</xdr:row>
      <xdr:rowOff>219074</xdr:rowOff>
    </xdr:to>
    <xdr:graphicFrame macro="">
      <xdr:nvGraphicFramePr>
        <xdr:cNvPr id="374" name="Diagramm 373">
          <a:extLst>
            <a:ext uri="{FF2B5EF4-FFF2-40B4-BE49-F238E27FC236}">
              <a16:creationId xmlns:a16="http://schemas.microsoft.com/office/drawing/2014/main" id="{00000000-0008-0000-1200-000076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48</xdr:row>
          <xdr:rowOff>9591</xdr:rowOff>
        </xdr:from>
        <xdr:to>
          <xdr:col>16</xdr:col>
          <xdr:colOff>76191</xdr:colOff>
          <xdr:row>48</xdr:row>
          <xdr:rowOff>203596</xdr:rowOff>
        </xdr:to>
        <xdr:grpSp>
          <xdr:nvGrpSpPr>
            <xdr:cNvPr id="375" name="Gruppieren 374">
              <a:extLst>
                <a:ext uri="{FF2B5EF4-FFF2-40B4-BE49-F238E27FC236}">
                  <a16:creationId xmlns:a16="http://schemas.microsoft.com/office/drawing/2014/main" id="{00000000-0008-0000-1200-000077010000}"/>
                </a:ext>
              </a:extLst>
            </xdr:cNvPr>
            <xdr:cNvGrpSpPr/>
          </xdr:nvGrpSpPr>
          <xdr:grpSpPr>
            <a:xfrm>
              <a:off x="4417688" y="17063151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177" name="Group Box 241" hidden="1">
                <a:extLst>
                  <a:ext uri="{63B3BB69-23CF-44E3-9099-C40C66FF867C}">
                    <a14:compatExt spid="_x0000_s40177"/>
                  </a:ext>
                  <a:ext uri="{FF2B5EF4-FFF2-40B4-BE49-F238E27FC236}">
                    <a16:creationId xmlns:a16="http://schemas.microsoft.com/office/drawing/2014/main" id="{00000000-0008-0000-1200-0000F1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78" name="Option Button 242" hidden="1">
                <a:extLst>
                  <a:ext uri="{63B3BB69-23CF-44E3-9099-C40C66FF867C}">
                    <a14:compatExt spid="_x0000_s40178"/>
                  </a:ext>
                  <a:ext uri="{FF2B5EF4-FFF2-40B4-BE49-F238E27FC236}">
                    <a16:creationId xmlns:a16="http://schemas.microsoft.com/office/drawing/2014/main" id="{00000000-0008-0000-1200-0000F2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79" name="Option Button 243" hidden="1">
                <a:extLst>
                  <a:ext uri="{63B3BB69-23CF-44E3-9099-C40C66FF867C}">
                    <a14:compatExt spid="_x0000_s40179"/>
                  </a:ext>
                  <a:ext uri="{FF2B5EF4-FFF2-40B4-BE49-F238E27FC236}">
                    <a16:creationId xmlns:a16="http://schemas.microsoft.com/office/drawing/2014/main" id="{00000000-0008-0000-1200-0000F3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80" name="Option Button 244" hidden="1">
                <a:extLst>
                  <a:ext uri="{63B3BB69-23CF-44E3-9099-C40C66FF867C}">
                    <a14:compatExt spid="_x0000_s40180"/>
                  </a:ext>
                  <a:ext uri="{FF2B5EF4-FFF2-40B4-BE49-F238E27FC236}">
                    <a16:creationId xmlns:a16="http://schemas.microsoft.com/office/drawing/2014/main" id="{00000000-0008-0000-1200-0000F4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81" name="Option Button 245" hidden="1">
                <a:extLst>
                  <a:ext uri="{63B3BB69-23CF-44E3-9099-C40C66FF867C}">
                    <a14:compatExt spid="_x0000_s40181"/>
                  </a:ext>
                  <a:ext uri="{FF2B5EF4-FFF2-40B4-BE49-F238E27FC236}">
                    <a16:creationId xmlns:a16="http://schemas.microsoft.com/office/drawing/2014/main" id="{00000000-0008-0000-1200-0000F5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82" name="Option Button 246" hidden="1">
                <a:extLst>
                  <a:ext uri="{63B3BB69-23CF-44E3-9099-C40C66FF867C}">
                    <a14:compatExt spid="_x0000_s40182"/>
                  </a:ext>
                  <a:ext uri="{FF2B5EF4-FFF2-40B4-BE49-F238E27FC236}">
                    <a16:creationId xmlns:a16="http://schemas.microsoft.com/office/drawing/2014/main" id="{00000000-0008-0000-1200-0000F6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51</xdr:row>
          <xdr:rowOff>66</xdr:rowOff>
        </xdr:from>
        <xdr:to>
          <xdr:col>16</xdr:col>
          <xdr:colOff>76191</xdr:colOff>
          <xdr:row>51</xdr:row>
          <xdr:rowOff>194071</xdr:rowOff>
        </xdr:to>
        <xdr:grpSp>
          <xdr:nvGrpSpPr>
            <xdr:cNvPr id="382" name="Gruppieren 381">
              <a:extLst>
                <a:ext uri="{FF2B5EF4-FFF2-40B4-BE49-F238E27FC236}">
                  <a16:creationId xmlns:a16="http://schemas.microsoft.com/office/drawing/2014/main" id="{00000000-0008-0000-1200-00007E010000}"/>
                </a:ext>
              </a:extLst>
            </xdr:cNvPr>
            <xdr:cNvGrpSpPr/>
          </xdr:nvGrpSpPr>
          <xdr:grpSpPr>
            <a:xfrm>
              <a:off x="4417688" y="18242346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183" name="Group Box 247" hidden="1">
                <a:extLst>
                  <a:ext uri="{63B3BB69-23CF-44E3-9099-C40C66FF867C}">
                    <a14:compatExt spid="_x0000_s40183"/>
                  </a:ext>
                  <a:ext uri="{FF2B5EF4-FFF2-40B4-BE49-F238E27FC236}">
                    <a16:creationId xmlns:a16="http://schemas.microsoft.com/office/drawing/2014/main" id="{00000000-0008-0000-1200-0000F7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84" name="Option Button 248" hidden="1">
                <a:extLst>
                  <a:ext uri="{63B3BB69-23CF-44E3-9099-C40C66FF867C}">
                    <a14:compatExt spid="_x0000_s40184"/>
                  </a:ext>
                  <a:ext uri="{FF2B5EF4-FFF2-40B4-BE49-F238E27FC236}">
                    <a16:creationId xmlns:a16="http://schemas.microsoft.com/office/drawing/2014/main" id="{00000000-0008-0000-1200-0000F8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85" name="Option Button 249" hidden="1">
                <a:extLst>
                  <a:ext uri="{63B3BB69-23CF-44E3-9099-C40C66FF867C}">
                    <a14:compatExt spid="_x0000_s40185"/>
                  </a:ext>
                  <a:ext uri="{FF2B5EF4-FFF2-40B4-BE49-F238E27FC236}">
                    <a16:creationId xmlns:a16="http://schemas.microsoft.com/office/drawing/2014/main" id="{00000000-0008-0000-1200-0000F9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86" name="Option Button 250" hidden="1">
                <a:extLst>
                  <a:ext uri="{63B3BB69-23CF-44E3-9099-C40C66FF867C}">
                    <a14:compatExt spid="_x0000_s40186"/>
                  </a:ext>
                  <a:ext uri="{FF2B5EF4-FFF2-40B4-BE49-F238E27FC236}">
                    <a16:creationId xmlns:a16="http://schemas.microsoft.com/office/drawing/2014/main" id="{00000000-0008-0000-1200-0000FA9C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87" name="Option Button 251" hidden="1">
                <a:extLst>
                  <a:ext uri="{63B3BB69-23CF-44E3-9099-C40C66FF867C}">
                    <a14:compatExt spid="_x0000_s40187"/>
                  </a:ext>
                  <a:ext uri="{FF2B5EF4-FFF2-40B4-BE49-F238E27FC236}">
                    <a16:creationId xmlns:a16="http://schemas.microsoft.com/office/drawing/2014/main" id="{00000000-0008-0000-1200-0000FB9C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88" name="Option Button 252" hidden="1">
                <a:extLst>
                  <a:ext uri="{63B3BB69-23CF-44E3-9099-C40C66FF867C}">
                    <a14:compatExt spid="_x0000_s40188"/>
                  </a:ext>
                  <a:ext uri="{FF2B5EF4-FFF2-40B4-BE49-F238E27FC236}">
                    <a16:creationId xmlns:a16="http://schemas.microsoft.com/office/drawing/2014/main" id="{00000000-0008-0000-1200-0000FC9C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52</xdr:row>
          <xdr:rowOff>9591</xdr:rowOff>
        </xdr:from>
        <xdr:to>
          <xdr:col>16</xdr:col>
          <xdr:colOff>76191</xdr:colOff>
          <xdr:row>52</xdr:row>
          <xdr:rowOff>203596</xdr:rowOff>
        </xdr:to>
        <xdr:grpSp>
          <xdr:nvGrpSpPr>
            <xdr:cNvPr id="389" name="Gruppieren 388">
              <a:extLst>
                <a:ext uri="{FF2B5EF4-FFF2-40B4-BE49-F238E27FC236}">
                  <a16:creationId xmlns:a16="http://schemas.microsoft.com/office/drawing/2014/main" id="{00000000-0008-0000-1200-000085010000}"/>
                </a:ext>
              </a:extLst>
            </xdr:cNvPr>
            <xdr:cNvGrpSpPr/>
          </xdr:nvGrpSpPr>
          <xdr:grpSpPr>
            <a:xfrm>
              <a:off x="4417688" y="18648111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189" name="Group Box 253" hidden="1">
                <a:extLst>
                  <a:ext uri="{63B3BB69-23CF-44E3-9099-C40C66FF867C}">
                    <a14:compatExt spid="_x0000_s40189"/>
                  </a:ext>
                  <a:ext uri="{FF2B5EF4-FFF2-40B4-BE49-F238E27FC236}">
                    <a16:creationId xmlns:a16="http://schemas.microsoft.com/office/drawing/2014/main" id="{00000000-0008-0000-1200-0000FD9C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90" name="Option Button 254" hidden="1">
                <a:extLst>
                  <a:ext uri="{63B3BB69-23CF-44E3-9099-C40C66FF867C}">
                    <a14:compatExt spid="_x0000_s40190"/>
                  </a:ext>
                  <a:ext uri="{FF2B5EF4-FFF2-40B4-BE49-F238E27FC236}">
                    <a16:creationId xmlns:a16="http://schemas.microsoft.com/office/drawing/2014/main" id="{00000000-0008-0000-1200-0000FE9C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91" name="Option Button 255" hidden="1">
                <a:extLst>
                  <a:ext uri="{63B3BB69-23CF-44E3-9099-C40C66FF867C}">
                    <a14:compatExt spid="_x0000_s40191"/>
                  </a:ext>
                  <a:ext uri="{FF2B5EF4-FFF2-40B4-BE49-F238E27FC236}">
                    <a16:creationId xmlns:a16="http://schemas.microsoft.com/office/drawing/2014/main" id="{00000000-0008-0000-1200-0000FF9C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92" name="Option Button 256" hidden="1">
                <a:extLst>
                  <a:ext uri="{63B3BB69-23CF-44E3-9099-C40C66FF867C}">
                    <a14:compatExt spid="_x0000_s40192"/>
                  </a:ext>
                  <a:ext uri="{FF2B5EF4-FFF2-40B4-BE49-F238E27FC236}">
                    <a16:creationId xmlns:a16="http://schemas.microsoft.com/office/drawing/2014/main" id="{00000000-0008-0000-1200-0000009D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93" name="Option Button 257" hidden="1">
                <a:extLst>
                  <a:ext uri="{63B3BB69-23CF-44E3-9099-C40C66FF867C}">
                    <a14:compatExt spid="_x0000_s40193"/>
                  </a:ext>
                  <a:ext uri="{FF2B5EF4-FFF2-40B4-BE49-F238E27FC236}">
                    <a16:creationId xmlns:a16="http://schemas.microsoft.com/office/drawing/2014/main" id="{00000000-0008-0000-1200-0000019D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94" name="Option Button 258" hidden="1">
                <a:extLst>
                  <a:ext uri="{63B3BB69-23CF-44E3-9099-C40C66FF867C}">
                    <a14:compatExt spid="_x0000_s40194"/>
                  </a:ext>
                  <a:ext uri="{FF2B5EF4-FFF2-40B4-BE49-F238E27FC236}">
                    <a16:creationId xmlns:a16="http://schemas.microsoft.com/office/drawing/2014/main" id="{00000000-0008-0000-1200-0000029D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66668</xdr:colOff>
          <xdr:row>53</xdr:row>
          <xdr:rowOff>66</xdr:rowOff>
        </xdr:from>
        <xdr:to>
          <xdr:col>16</xdr:col>
          <xdr:colOff>76191</xdr:colOff>
          <xdr:row>53</xdr:row>
          <xdr:rowOff>194071</xdr:rowOff>
        </xdr:to>
        <xdr:grpSp>
          <xdr:nvGrpSpPr>
            <xdr:cNvPr id="396" name="Gruppieren 395">
              <a:extLst>
                <a:ext uri="{FF2B5EF4-FFF2-40B4-BE49-F238E27FC236}">
                  <a16:creationId xmlns:a16="http://schemas.microsoft.com/office/drawing/2014/main" id="{00000000-0008-0000-1200-00008C010000}"/>
                </a:ext>
              </a:extLst>
            </xdr:cNvPr>
            <xdr:cNvGrpSpPr/>
          </xdr:nvGrpSpPr>
          <xdr:grpSpPr>
            <a:xfrm>
              <a:off x="4417688" y="19034826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195" name="Group Box 259" hidden="1">
                <a:extLst>
                  <a:ext uri="{63B3BB69-23CF-44E3-9099-C40C66FF867C}">
                    <a14:compatExt spid="_x0000_s40195"/>
                  </a:ext>
                  <a:ext uri="{FF2B5EF4-FFF2-40B4-BE49-F238E27FC236}">
                    <a16:creationId xmlns:a16="http://schemas.microsoft.com/office/drawing/2014/main" id="{00000000-0008-0000-1200-0000039D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196" name="Option Button 260" hidden="1">
                <a:extLst>
                  <a:ext uri="{63B3BB69-23CF-44E3-9099-C40C66FF867C}">
                    <a14:compatExt spid="_x0000_s40196"/>
                  </a:ext>
                  <a:ext uri="{FF2B5EF4-FFF2-40B4-BE49-F238E27FC236}">
                    <a16:creationId xmlns:a16="http://schemas.microsoft.com/office/drawing/2014/main" id="{00000000-0008-0000-1200-0000049D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97" name="Option Button 261" hidden="1">
                <a:extLst>
                  <a:ext uri="{63B3BB69-23CF-44E3-9099-C40C66FF867C}">
                    <a14:compatExt spid="_x0000_s40197"/>
                  </a:ext>
                  <a:ext uri="{FF2B5EF4-FFF2-40B4-BE49-F238E27FC236}">
                    <a16:creationId xmlns:a16="http://schemas.microsoft.com/office/drawing/2014/main" id="{00000000-0008-0000-1200-0000059D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98" name="Option Button 262" hidden="1">
                <a:extLst>
                  <a:ext uri="{63B3BB69-23CF-44E3-9099-C40C66FF867C}">
                    <a14:compatExt spid="_x0000_s40198"/>
                  </a:ext>
                  <a:ext uri="{FF2B5EF4-FFF2-40B4-BE49-F238E27FC236}">
                    <a16:creationId xmlns:a16="http://schemas.microsoft.com/office/drawing/2014/main" id="{00000000-0008-0000-1200-0000069D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199" name="Option Button 263" hidden="1">
                <a:extLst>
                  <a:ext uri="{63B3BB69-23CF-44E3-9099-C40C66FF867C}">
                    <a14:compatExt spid="_x0000_s40199"/>
                  </a:ext>
                  <a:ext uri="{FF2B5EF4-FFF2-40B4-BE49-F238E27FC236}">
                    <a16:creationId xmlns:a16="http://schemas.microsoft.com/office/drawing/2014/main" id="{00000000-0008-0000-1200-0000079D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00" name="Option Button 264" hidden="1">
                <a:extLst>
                  <a:ext uri="{63B3BB69-23CF-44E3-9099-C40C66FF867C}">
                    <a14:compatExt spid="_x0000_s40200"/>
                  </a:ext>
                  <a:ext uri="{FF2B5EF4-FFF2-40B4-BE49-F238E27FC236}">
                    <a16:creationId xmlns:a16="http://schemas.microsoft.com/office/drawing/2014/main" id="{00000000-0008-0000-1200-0000089D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47</xdr:row>
      <xdr:rowOff>66674</xdr:rowOff>
    </xdr:from>
    <xdr:to>
      <xdr:col>21</xdr:col>
      <xdr:colOff>133349</xdr:colOff>
      <xdr:row>52</xdr:row>
      <xdr:rowOff>219074</xdr:rowOff>
    </xdr:to>
    <xdr:graphicFrame macro="">
      <xdr:nvGraphicFramePr>
        <xdr:cNvPr id="403" name="Diagramm 402">
          <a:extLst>
            <a:ext uri="{FF2B5EF4-FFF2-40B4-BE49-F238E27FC236}">
              <a16:creationId xmlns:a16="http://schemas.microsoft.com/office/drawing/2014/main" id="{00000000-0008-0000-1200-000093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57</xdr:row>
          <xdr:rowOff>28578</xdr:rowOff>
        </xdr:from>
        <xdr:to>
          <xdr:col>16</xdr:col>
          <xdr:colOff>76181</xdr:colOff>
          <xdr:row>57</xdr:row>
          <xdr:rowOff>204311</xdr:rowOff>
        </xdr:to>
        <xdr:grpSp>
          <xdr:nvGrpSpPr>
            <xdr:cNvPr id="404" name="Gruppieren 403">
              <a:extLst>
                <a:ext uri="{FF2B5EF4-FFF2-40B4-BE49-F238E27FC236}">
                  <a16:creationId xmlns:a16="http://schemas.microsoft.com/office/drawing/2014/main" id="{00000000-0008-0000-1200-000094010000}"/>
                </a:ext>
              </a:extLst>
            </xdr:cNvPr>
            <xdr:cNvGrpSpPr/>
          </xdr:nvGrpSpPr>
          <xdr:grpSpPr>
            <a:xfrm>
              <a:off x="4417682" y="20450178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201" name="Group Box 265" hidden="1">
                <a:extLst>
                  <a:ext uri="{63B3BB69-23CF-44E3-9099-C40C66FF867C}">
                    <a14:compatExt spid="_x0000_s40201"/>
                  </a:ext>
                  <a:ext uri="{FF2B5EF4-FFF2-40B4-BE49-F238E27FC236}">
                    <a16:creationId xmlns:a16="http://schemas.microsoft.com/office/drawing/2014/main" id="{00000000-0008-0000-1200-0000099D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02" name="Option Button 266" hidden="1">
                <a:extLst>
                  <a:ext uri="{63B3BB69-23CF-44E3-9099-C40C66FF867C}">
                    <a14:compatExt spid="_x0000_s40202"/>
                  </a:ext>
                  <a:ext uri="{FF2B5EF4-FFF2-40B4-BE49-F238E27FC236}">
                    <a16:creationId xmlns:a16="http://schemas.microsoft.com/office/drawing/2014/main" id="{00000000-0008-0000-1200-00000A9D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03" name="Option Button 267" hidden="1">
                <a:extLst>
                  <a:ext uri="{63B3BB69-23CF-44E3-9099-C40C66FF867C}">
                    <a14:compatExt spid="_x0000_s40203"/>
                  </a:ext>
                  <a:ext uri="{FF2B5EF4-FFF2-40B4-BE49-F238E27FC236}">
                    <a16:creationId xmlns:a16="http://schemas.microsoft.com/office/drawing/2014/main" id="{00000000-0008-0000-1200-00000B9D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04" name="Option Button 268" hidden="1">
                <a:extLst>
                  <a:ext uri="{63B3BB69-23CF-44E3-9099-C40C66FF867C}">
                    <a14:compatExt spid="_x0000_s40204"/>
                  </a:ext>
                  <a:ext uri="{FF2B5EF4-FFF2-40B4-BE49-F238E27FC236}">
                    <a16:creationId xmlns:a16="http://schemas.microsoft.com/office/drawing/2014/main" id="{00000000-0008-0000-1200-00000C9D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05" name="Option Button 269" hidden="1">
                <a:extLst>
                  <a:ext uri="{63B3BB69-23CF-44E3-9099-C40C66FF867C}">
                    <a14:compatExt spid="_x0000_s40205"/>
                  </a:ext>
                  <a:ext uri="{FF2B5EF4-FFF2-40B4-BE49-F238E27FC236}">
                    <a16:creationId xmlns:a16="http://schemas.microsoft.com/office/drawing/2014/main" id="{00000000-0008-0000-1200-00000D9D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06" name="Option Button 270" hidden="1">
                <a:extLst>
                  <a:ext uri="{63B3BB69-23CF-44E3-9099-C40C66FF867C}">
                    <a14:compatExt spid="_x0000_s40206"/>
                  </a:ext>
                  <a:ext uri="{FF2B5EF4-FFF2-40B4-BE49-F238E27FC236}">
                    <a16:creationId xmlns:a16="http://schemas.microsoft.com/office/drawing/2014/main" id="{00000000-0008-0000-1200-00000E9D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58</xdr:row>
          <xdr:rowOff>9528</xdr:rowOff>
        </xdr:from>
        <xdr:to>
          <xdr:col>16</xdr:col>
          <xdr:colOff>76181</xdr:colOff>
          <xdr:row>58</xdr:row>
          <xdr:rowOff>185261</xdr:rowOff>
        </xdr:to>
        <xdr:grpSp>
          <xdr:nvGrpSpPr>
            <xdr:cNvPr id="411" name="Gruppieren 410">
              <a:extLst>
                <a:ext uri="{FF2B5EF4-FFF2-40B4-BE49-F238E27FC236}">
                  <a16:creationId xmlns:a16="http://schemas.microsoft.com/office/drawing/2014/main" id="{00000000-0008-0000-1200-00009B010000}"/>
                </a:ext>
              </a:extLst>
            </xdr:cNvPr>
            <xdr:cNvGrpSpPr/>
          </xdr:nvGrpSpPr>
          <xdr:grpSpPr>
            <a:xfrm>
              <a:off x="4417682" y="20827368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207" name="Group Box 271" hidden="1">
                <a:extLst>
                  <a:ext uri="{63B3BB69-23CF-44E3-9099-C40C66FF867C}">
                    <a14:compatExt spid="_x0000_s40207"/>
                  </a:ext>
                  <a:ext uri="{FF2B5EF4-FFF2-40B4-BE49-F238E27FC236}">
                    <a16:creationId xmlns:a16="http://schemas.microsoft.com/office/drawing/2014/main" id="{00000000-0008-0000-1200-00000F9D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08" name="Option Button 272" hidden="1">
                <a:extLst>
                  <a:ext uri="{63B3BB69-23CF-44E3-9099-C40C66FF867C}">
                    <a14:compatExt spid="_x0000_s40208"/>
                  </a:ext>
                  <a:ext uri="{FF2B5EF4-FFF2-40B4-BE49-F238E27FC236}">
                    <a16:creationId xmlns:a16="http://schemas.microsoft.com/office/drawing/2014/main" id="{00000000-0008-0000-1200-0000109D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09" name="Option Button 273" hidden="1">
                <a:extLst>
                  <a:ext uri="{63B3BB69-23CF-44E3-9099-C40C66FF867C}">
                    <a14:compatExt spid="_x0000_s40209"/>
                  </a:ext>
                  <a:ext uri="{FF2B5EF4-FFF2-40B4-BE49-F238E27FC236}">
                    <a16:creationId xmlns:a16="http://schemas.microsoft.com/office/drawing/2014/main" id="{00000000-0008-0000-1200-0000119D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10" name="Option Button 274" hidden="1">
                <a:extLst>
                  <a:ext uri="{63B3BB69-23CF-44E3-9099-C40C66FF867C}">
                    <a14:compatExt spid="_x0000_s40210"/>
                  </a:ext>
                  <a:ext uri="{FF2B5EF4-FFF2-40B4-BE49-F238E27FC236}">
                    <a16:creationId xmlns:a16="http://schemas.microsoft.com/office/drawing/2014/main" id="{00000000-0008-0000-1200-0000129D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11" name="Option Button 275" hidden="1">
                <a:extLst>
                  <a:ext uri="{63B3BB69-23CF-44E3-9099-C40C66FF867C}">
                    <a14:compatExt spid="_x0000_s40211"/>
                  </a:ext>
                  <a:ext uri="{FF2B5EF4-FFF2-40B4-BE49-F238E27FC236}">
                    <a16:creationId xmlns:a16="http://schemas.microsoft.com/office/drawing/2014/main" id="{00000000-0008-0000-1200-0000139D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12" name="Option Button 276" hidden="1">
                <a:extLst>
                  <a:ext uri="{63B3BB69-23CF-44E3-9099-C40C66FF867C}">
                    <a14:compatExt spid="_x0000_s40212"/>
                  </a:ext>
                  <a:ext uri="{FF2B5EF4-FFF2-40B4-BE49-F238E27FC236}">
                    <a16:creationId xmlns:a16="http://schemas.microsoft.com/office/drawing/2014/main" id="{00000000-0008-0000-1200-0000149D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59</xdr:row>
          <xdr:rowOff>28578</xdr:rowOff>
        </xdr:from>
        <xdr:to>
          <xdr:col>16</xdr:col>
          <xdr:colOff>76181</xdr:colOff>
          <xdr:row>59</xdr:row>
          <xdr:rowOff>204311</xdr:rowOff>
        </xdr:to>
        <xdr:grpSp>
          <xdr:nvGrpSpPr>
            <xdr:cNvPr id="418" name="Gruppieren 417">
              <a:extLst>
                <a:ext uri="{FF2B5EF4-FFF2-40B4-BE49-F238E27FC236}">
                  <a16:creationId xmlns:a16="http://schemas.microsoft.com/office/drawing/2014/main" id="{00000000-0008-0000-1200-0000A2010000}"/>
                </a:ext>
              </a:extLst>
            </xdr:cNvPr>
            <xdr:cNvGrpSpPr/>
          </xdr:nvGrpSpPr>
          <xdr:grpSpPr>
            <a:xfrm>
              <a:off x="4417682" y="21242658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213" name="Group Box 277" hidden="1">
                <a:extLst>
                  <a:ext uri="{63B3BB69-23CF-44E3-9099-C40C66FF867C}">
                    <a14:compatExt spid="_x0000_s40213"/>
                  </a:ext>
                  <a:ext uri="{FF2B5EF4-FFF2-40B4-BE49-F238E27FC236}">
                    <a16:creationId xmlns:a16="http://schemas.microsoft.com/office/drawing/2014/main" id="{00000000-0008-0000-1200-0000159D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14" name="Option Button 278" hidden="1">
                <a:extLst>
                  <a:ext uri="{63B3BB69-23CF-44E3-9099-C40C66FF867C}">
                    <a14:compatExt spid="_x0000_s40214"/>
                  </a:ext>
                  <a:ext uri="{FF2B5EF4-FFF2-40B4-BE49-F238E27FC236}">
                    <a16:creationId xmlns:a16="http://schemas.microsoft.com/office/drawing/2014/main" id="{00000000-0008-0000-1200-0000169D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15" name="Option Button 279" hidden="1">
                <a:extLst>
                  <a:ext uri="{63B3BB69-23CF-44E3-9099-C40C66FF867C}">
                    <a14:compatExt spid="_x0000_s40215"/>
                  </a:ext>
                  <a:ext uri="{FF2B5EF4-FFF2-40B4-BE49-F238E27FC236}">
                    <a16:creationId xmlns:a16="http://schemas.microsoft.com/office/drawing/2014/main" id="{00000000-0008-0000-1200-0000179D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16" name="Option Button 280" hidden="1">
                <a:extLst>
                  <a:ext uri="{63B3BB69-23CF-44E3-9099-C40C66FF867C}">
                    <a14:compatExt spid="_x0000_s40216"/>
                  </a:ext>
                  <a:ext uri="{FF2B5EF4-FFF2-40B4-BE49-F238E27FC236}">
                    <a16:creationId xmlns:a16="http://schemas.microsoft.com/office/drawing/2014/main" id="{00000000-0008-0000-1200-0000189D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17" name="Option Button 281" hidden="1">
                <a:extLst>
                  <a:ext uri="{63B3BB69-23CF-44E3-9099-C40C66FF867C}">
                    <a14:compatExt spid="_x0000_s40217"/>
                  </a:ext>
                  <a:ext uri="{FF2B5EF4-FFF2-40B4-BE49-F238E27FC236}">
                    <a16:creationId xmlns:a16="http://schemas.microsoft.com/office/drawing/2014/main" id="{00000000-0008-0000-1200-0000199D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18" name="Option Button 282" hidden="1">
                <a:extLst>
                  <a:ext uri="{63B3BB69-23CF-44E3-9099-C40C66FF867C}">
                    <a14:compatExt spid="_x0000_s40218"/>
                  </a:ext>
                  <a:ext uri="{FF2B5EF4-FFF2-40B4-BE49-F238E27FC236}">
                    <a16:creationId xmlns:a16="http://schemas.microsoft.com/office/drawing/2014/main" id="{00000000-0008-0000-1200-00001A9D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60</xdr:row>
          <xdr:rowOff>28578</xdr:rowOff>
        </xdr:from>
        <xdr:to>
          <xdr:col>16</xdr:col>
          <xdr:colOff>76181</xdr:colOff>
          <xdr:row>60</xdr:row>
          <xdr:rowOff>204311</xdr:rowOff>
        </xdr:to>
        <xdr:grpSp>
          <xdr:nvGrpSpPr>
            <xdr:cNvPr id="425" name="Gruppieren 424">
              <a:extLst>
                <a:ext uri="{FF2B5EF4-FFF2-40B4-BE49-F238E27FC236}">
                  <a16:creationId xmlns:a16="http://schemas.microsoft.com/office/drawing/2014/main" id="{00000000-0008-0000-1200-0000A9010000}"/>
                </a:ext>
              </a:extLst>
            </xdr:cNvPr>
            <xdr:cNvGrpSpPr/>
          </xdr:nvGrpSpPr>
          <xdr:grpSpPr>
            <a:xfrm>
              <a:off x="4417682" y="21638898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219" name="Group Box 283" hidden="1">
                <a:extLst>
                  <a:ext uri="{63B3BB69-23CF-44E3-9099-C40C66FF867C}">
                    <a14:compatExt spid="_x0000_s40219"/>
                  </a:ext>
                  <a:ext uri="{FF2B5EF4-FFF2-40B4-BE49-F238E27FC236}">
                    <a16:creationId xmlns:a16="http://schemas.microsoft.com/office/drawing/2014/main" id="{00000000-0008-0000-1200-00001B9D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20" name="Option Button 284" hidden="1">
                <a:extLst>
                  <a:ext uri="{63B3BB69-23CF-44E3-9099-C40C66FF867C}">
                    <a14:compatExt spid="_x0000_s40220"/>
                  </a:ext>
                  <a:ext uri="{FF2B5EF4-FFF2-40B4-BE49-F238E27FC236}">
                    <a16:creationId xmlns:a16="http://schemas.microsoft.com/office/drawing/2014/main" id="{00000000-0008-0000-1200-00001C9D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21" name="Option Button 285" hidden="1">
                <a:extLst>
                  <a:ext uri="{63B3BB69-23CF-44E3-9099-C40C66FF867C}">
                    <a14:compatExt spid="_x0000_s40221"/>
                  </a:ext>
                  <a:ext uri="{FF2B5EF4-FFF2-40B4-BE49-F238E27FC236}">
                    <a16:creationId xmlns:a16="http://schemas.microsoft.com/office/drawing/2014/main" id="{00000000-0008-0000-1200-00001D9D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22" name="Option Button 286" hidden="1">
                <a:extLst>
                  <a:ext uri="{63B3BB69-23CF-44E3-9099-C40C66FF867C}">
                    <a14:compatExt spid="_x0000_s40222"/>
                  </a:ext>
                  <a:ext uri="{FF2B5EF4-FFF2-40B4-BE49-F238E27FC236}">
                    <a16:creationId xmlns:a16="http://schemas.microsoft.com/office/drawing/2014/main" id="{00000000-0008-0000-1200-00001E9D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23" name="Option Button 287" hidden="1">
                <a:extLst>
                  <a:ext uri="{63B3BB69-23CF-44E3-9099-C40C66FF867C}">
                    <a14:compatExt spid="_x0000_s40223"/>
                  </a:ext>
                  <a:ext uri="{FF2B5EF4-FFF2-40B4-BE49-F238E27FC236}">
                    <a16:creationId xmlns:a16="http://schemas.microsoft.com/office/drawing/2014/main" id="{00000000-0008-0000-1200-00001F9D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24" name="Option Button 288" hidden="1">
                <a:extLst>
                  <a:ext uri="{63B3BB69-23CF-44E3-9099-C40C66FF867C}">
                    <a14:compatExt spid="_x0000_s40224"/>
                  </a:ext>
                  <a:ext uri="{FF2B5EF4-FFF2-40B4-BE49-F238E27FC236}">
                    <a16:creationId xmlns:a16="http://schemas.microsoft.com/office/drawing/2014/main" id="{00000000-0008-0000-1200-0000209D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55</xdr:row>
      <xdr:rowOff>76199</xdr:rowOff>
    </xdr:from>
    <xdr:to>
      <xdr:col>21</xdr:col>
      <xdr:colOff>133349</xdr:colOff>
      <xdr:row>60</xdr:row>
      <xdr:rowOff>228599</xdr:rowOff>
    </xdr:to>
    <xdr:graphicFrame macro="">
      <xdr:nvGraphicFramePr>
        <xdr:cNvPr id="432" name="Diagramm 431">
          <a:extLst>
            <a:ext uri="{FF2B5EF4-FFF2-40B4-BE49-F238E27FC236}">
              <a16:creationId xmlns:a16="http://schemas.microsoft.com/office/drawing/2014/main" id="{00000000-0008-0000-1200-0000B0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63</xdr:row>
          <xdr:rowOff>9591</xdr:rowOff>
        </xdr:from>
        <xdr:to>
          <xdr:col>16</xdr:col>
          <xdr:colOff>76187</xdr:colOff>
          <xdr:row>63</xdr:row>
          <xdr:rowOff>203596</xdr:rowOff>
        </xdr:to>
        <xdr:grpSp>
          <xdr:nvGrpSpPr>
            <xdr:cNvPr id="433" name="Gruppieren 432">
              <a:extLst>
                <a:ext uri="{FF2B5EF4-FFF2-40B4-BE49-F238E27FC236}">
                  <a16:creationId xmlns:a16="http://schemas.microsoft.com/office/drawing/2014/main" id="{00000000-0008-0000-1200-0000B1010000}"/>
                </a:ext>
              </a:extLst>
            </xdr:cNvPr>
            <xdr:cNvGrpSpPr/>
          </xdr:nvGrpSpPr>
          <xdr:grpSpPr>
            <a:xfrm>
              <a:off x="4417684" y="22610511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225" name="Group Box 289" hidden="1">
                <a:extLst>
                  <a:ext uri="{63B3BB69-23CF-44E3-9099-C40C66FF867C}">
                    <a14:compatExt spid="_x0000_s40225"/>
                  </a:ext>
                  <a:ext uri="{FF2B5EF4-FFF2-40B4-BE49-F238E27FC236}">
                    <a16:creationId xmlns:a16="http://schemas.microsoft.com/office/drawing/2014/main" id="{00000000-0008-0000-1200-0000219D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26" name="Option Button 290" hidden="1">
                <a:extLst>
                  <a:ext uri="{63B3BB69-23CF-44E3-9099-C40C66FF867C}">
                    <a14:compatExt spid="_x0000_s40226"/>
                  </a:ext>
                  <a:ext uri="{FF2B5EF4-FFF2-40B4-BE49-F238E27FC236}">
                    <a16:creationId xmlns:a16="http://schemas.microsoft.com/office/drawing/2014/main" id="{00000000-0008-0000-1200-0000229D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27" name="Option Button 291" hidden="1">
                <a:extLst>
                  <a:ext uri="{63B3BB69-23CF-44E3-9099-C40C66FF867C}">
                    <a14:compatExt spid="_x0000_s40227"/>
                  </a:ext>
                  <a:ext uri="{FF2B5EF4-FFF2-40B4-BE49-F238E27FC236}">
                    <a16:creationId xmlns:a16="http://schemas.microsoft.com/office/drawing/2014/main" id="{00000000-0008-0000-1200-0000239D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28" name="Option Button 292" hidden="1">
                <a:extLst>
                  <a:ext uri="{63B3BB69-23CF-44E3-9099-C40C66FF867C}">
                    <a14:compatExt spid="_x0000_s40228"/>
                  </a:ext>
                  <a:ext uri="{FF2B5EF4-FFF2-40B4-BE49-F238E27FC236}">
                    <a16:creationId xmlns:a16="http://schemas.microsoft.com/office/drawing/2014/main" id="{00000000-0008-0000-1200-0000249D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29" name="Option Button 293" hidden="1">
                <a:extLst>
                  <a:ext uri="{63B3BB69-23CF-44E3-9099-C40C66FF867C}">
                    <a14:compatExt spid="_x0000_s40229"/>
                  </a:ext>
                  <a:ext uri="{FF2B5EF4-FFF2-40B4-BE49-F238E27FC236}">
                    <a16:creationId xmlns:a16="http://schemas.microsoft.com/office/drawing/2014/main" id="{00000000-0008-0000-1200-0000259D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30" name="Option Button 294" hidden="1">
                <a:extLst>
                  <a:ext uri="{63B3BB69-23CF-44E3-9099-C40C66FF867C}">
                    <a14:compatExt spid="_x0000_s40230"/>
                  </a:ext>
                  <a:ext uri="{FF2B5EF4-FFF2-40B4-BE49-F238E27FC236}">
                    <a16:creationId xmlns:a16="http://schemas.microsoft.com/office/drawing/2014/main" id="{00000000-0008-0000-1200-0000269D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64</xdr:row>
          <xdr:rowOff>19116</xdr:rowOff>
        </xdr:from>
        <xdr:to>
          <xdr:col>16</xdr:col>
          <xdr:colOff>76187</xdr:colOff>
          <xdr:row>64</xdr:row>
          <xdr:rowOff>213121</xdr:rowOff>
        </xdr:to>
        <xdr:grpSp>
          <xdr:nvGrpSpPr>
            <xdr:cNvPr id="440" name="Gruppieren 439">
              <a:extLst>
                <a:ext uri="{FF2B5EF4-FFF2-40B4-BE49-F238E27FC236}">
                  <a16:creationId xmlns:a16="http://schemas.microsoft.com/office/drawing/2014/main" id="{00000000-0008-0000-1200-0000B8010000}"/>
                </a:ext>
              </a:extLst>
            </xdr:cNvPr>
            <xdr:cNvGrpSpPr/>
          </xdr:nvGrpSpPr>
          <xdr:grpSpPr>
            <a:xfrm>
              <a:off x="4417684" y="23016276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231" name="Group Box 295" hidden="1">
                <a:extLst>
                  <a:ext uri="{63B3BB69-23CF-44E3-9099-C40C66FF867C}">
                    <a14:compatExt spid="_x0000_s40231"/>
                  </a:ext>
                  <a:ext uri="{FF2B5EF4-FFF2-40B4-BE49-F238E27FC236}">
                    <a16:creationId xmlns:a16="http://schemas.microsoft.com/office/drawing/2014/main" id="{00000000-0008-0000-1200-0000279D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32" name="Option Button 296" hidden="1">
                <a:extLst>
                  <a:ext uri="{63B3BB69-23CF-44E3-9099-C40C66FF867C}">
                    <a14:compatExt spid="_x0000_s40232"/>
                  </a:ext>
                  <a:ext uri="{FF2B5EF4-FFF2-40B4-BE49-F238E27FC236}">
                    <a16:creationId xmlns:a16="http://schemas.microsoft.com/office/drawing/2014/main" id="{00000000-0008-0000-1200-0000289D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33" name="Option Button 297" hidden="1">
                <a:extLst>
                  <a:ext uri="{63B3BB69-23CF-44E3-9099-C40C66FF867C}">
                    <a14:compatExt spid="_x0000_s40233"/>
                  </a:ext>
                  <a:ext uri="{FF2B5EF4-FFF2-40B4-BE49-F238E27FC236}">
                    <a16:creationId xmlns:a16="http://schemas.microsoft.com/office/drawing/2014/main" id="{00000000-0008-0000-1200-0000299D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34" name="Option Button 298" hidden="1">
                <a:extLst>
                  <a:ext uri="{63B3BB69-23CF-44E3-9099-C40C66FF867C}">
                    <a14:compatExt spid="_x0000_s40234"/>
                  </a:ext>
                  <a:ext uri="{FF2B5EF4-FFF2-40B4-BE49-F238E27FC236}">
                    <a16:creationId xmlns:a16="http://schemas.microsoft.com/office/drawing/2014/main" id="{00000000-0008-0000-1200-00002A9D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35" name="Option Button 299" hidden="1">
                <a:extLst>
                  <a:ext uri="{63B3BB69-23CF-44E3-9099-C40C66FF867C}">
                    <a14:compatExt spid="_x0000_s40235"/>
                  </a:ext>
                  <a:ext uri="{FF2B5EF4-FFF2-40B4-BE49-F238E27FC236}">
                    <a16:creationId xmlns:a16="http://schemas.microsoft.com/office/drawing/2014/main" id="{00000000-0008-0000-1200-00002B9D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36" name="Option Button 300" hidden="1">
                <a:extLst>
                  <a:ext uri="{63B3BB69-23CF-44E3-9099-C40C66FF867C}">
                    <a14:compatExt spid="_x0000_s40236"/>
                  </a:ext>
                  <a:ext uri="{FF2B5EF4-FFF2-40B4-BE49-F238E27FC236}">
                    <a16:creationId xmlns:a16="http://schemas.microsoft.com/office/drawing/2014/main" id="{00000000-0008-0000-1200-00002C9D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65</xdr:row>
          <xdr:rowOff>9591</xdr:rowOff>
        </xdr:from>
        <xdr:to>
          <xdr:col>16</xdr:col>
          <xdr:colOff>76187</xdr:colOff>
          <xdr:row>65</xdr:row>
          <xdr:rowOff>203596</xdr:rowOff>
        </xdr:to>
        <xdr:grpSp>
          <xdr:nvGrpSpPr>
            <xdr:cNvPr id="447" name="Gruppieren 446">
              <a:extLst>
                <a:ext uri="{FF2B5EF4-FFF2-40B4-BE49-F238E27FC236}">
                  <a16:creationId xmlns:a16="http://schemas.microsoft.com/office/drawing/2014/main" id="{00000000-0008-0000-1200-0000BF010000}"/>
                </a:ext>
              </a:extLst>
            </xdr:cNvPr>
            <xdr:cNvGrpSpPr/>
          </xdr:nvGrpSpPr>
          <xdr:grpSpPr>
            <a:xfrm>
              <a:off x="4417684" y="23402991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237" name="Group Box 301" hidden="1">
                <a:extLst>
                  <a:ext uri="{63B3BB69-23CF-44E3-9099-C40C66FF867C}">
                    <a14:compatExt spid="_x0000_s40237"/>
                  </a:ext>
                  <a:ext uri="{FF2B5EF4-FFF2-40B4-BE49-F238E27FC236}">
                    <a16:creationId xmlns:a16="http://schemas.microsoft.com/office/drawing/2014/main" id="{00000000-0008-0000-1200-00002D9D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38" name="Option Button 302" hidden="1">
                <a:extLst>
                  <a:ext uri="{63B3BB69-23CF-44E3-9099-C40C66FF867C}">
                    <a14:compatExt spid="_x0000_s40238"/>
                  </a:ext>
                  <a:ext uri="{FF2B5EF4-FFF2-40B4-BE49-F238E27FC236}">
                    <a16:creationId xmlns:a16="http://schemas.microsoft.com/office/drawing/2014/main" id="{00000000-0008-0000-1200-00002E9D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39" name="Option Button 303" hidden="1">
                <a:extLst>
                  <a:ext uri="{63B3BB69-23CF-44E3-9099-C40C66FF867C}">
                    <a14:compatExt spid="_x0000_s40239"/>
                  </a:ext>
                  <a:ext uri="{FF2B5EF4-FFF2-40B4-BE49-F238E27FC236}">
                    <a16:creationId xmlns:a16="http://schemas.microsoft.com/office/drawing/2014/main" id="{00000000-0008-0000-1200-00002F9D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40" name="Option Button 304" hidden="1">
                <a:extLst>
                  <a:ext uri="{63B3BB69-23CF-44E3-9099-C40C66FF867C}">
                    <a14:compatExt spid="_x0000_s40240"/>
                  </a:ext>
                  <a:ext uri="{FF2B5EF4-FFF2-40B4-BE49-F238E27FC236}">
                    <a16:creationId xmlns:a16="http://schemas.microsoft.com/office/drawing/2014/main" id="{00000000-0008-0000-1200-0000309D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41" name="Option Button 305" hidden="1">
                <a:extLst>
                  <a:ext uri="{63B3BB69-23CF-44E3-9099-C40C66FF867C}">
                    <a14:compatExt spid="_x0000_s40241"/>
                  </a:ext>
                  <a:ext uri="{FF2B5EF4-FFF2-40B4-BE49-F238E27FC236}">
                    <a16:creationId xmlns:a16="http://schemas.microsoft.com/office/drawing/2014/main" id="{00000000-0008-0000-1200-0000319D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42" name="Option Button 306" hidden="1">
                <a:extLst>
                  <a:ext uri="{63B3BB69-23CF-44E3-9099-C40C66FF867C}">
                    <a14:compatExt spid="_x0000_s40242"/>
                  </a:ext>
                  <a:ext uri="{FF2B5EF4-FFF2-40B4-BE49-F238E27FC236}">
                    <a16:creationId xmlns:a16="http://schemas.microsoft.com/office/drawing/2014/main" id="{00000000-0008-0000-1200-0000329D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66</xdr:row>
          <xdr:rowOff>9591</xdr:rowOff>
        </xdr:from>
        <xdr:to>
          <xdr:col>16</xdr:col>
          <xdr:colOff>76187</xdr:colOff>
          <xdr:row>66</xdr:row>
          <xdr:rowOff>203596</xdr:rowOff>
        </xdr:to>
        <xdr:grpSp>
          <xdr:nvGrpSpPr>
            <xdr:cNvPr id="454" name="Gruppieren 453">
              <a:extLst>
                <a:ext uri="{FF2B5EF4-FFF2-40B4-BE49-F238E27FC236}">
                  <a16:creationId xmlns:a16="http://schemas.microsoft.com/office/drawing/2014/main" id="{00000000-0008-0000-1200-0000C6010000}"/>
                </a:ext>
              </a:extLst>
            </xdr:cNvPr>
            <xdr:cNvGrpSpPr/>
          </xdr:nvGrpSpPr>
          <xdr:grpSpPr>
            <a:xfrm>
              <a:off x="4417684" y="23799231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243" name="Group Box 307" hidden="1">
                <a:extLst>
                  <a:ext uri="{63B3BB69-23CF-44E3-9099-C40C66FF867C}">
                    <a14:compatExt spid="_x0000_s40243"/>
                  </a:ext>
                  <a:ext uri="{FF2B5EF4-FFF2-40B4-BE49-F238E27FC236}">
                    <a16:creationId xmlns:a16="http://schemas.microsoft.com/office/drawing/2014/main" id="{00000000-0008-0000-1200-0000339D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44" name="Option Button 308" hidden="1">
                <a:extLst>
                  <a:ext uri="{63B3BB69-23CF-44E3-9099-C40C66FF867C}">
                    <a14:compatExt spid="_x0000_s40244"/>
                  </a:ext>
                  <a:ext uri="{FF2B5EF4-FFF2-40B4-BE49-F238E27FC236}">
                    <a16:creationId xmlns:a16="http://schemas.microsoft.com/office/drawing/2014/main" id="{00000000-0008-0000-1200-0000349D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45" name="Option Button 309" hidden="1">
                <a:extLst>
                  <a:ext uri="{63B3BB69-23CF-44E3-9099-C40C66FF867C}">
                    <a14:compatExt spid="_x0000_s40245"/>
                  </a:ext>
                  <a:ext uri="{FF2B5EF4-FFF2-40B4-BE49-F238E27FC236}">
                    <a16:creationId xmlns:a16="http://schemas.microsoft.com/office/drawing/2014/main" id="{00000000-0008-0000-1200-0000359D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46" name="Option Button 310" hidden="1">
                <a:extLst>
                  <a:ext uri="{63B3BB69-23CF-44E3-9099-C40C66FF867C}">
                    <a14:compatExt spid="_x0000_s40246"/>
                  </a:ext>
                  <a:ext uri="{FF2B5EF4-FFF2-40B4-BE49-F238E27FC236}">
                    <a16:creationId xmlns:a16="http://schemas.microsoft.com/office/drawing/2014/main" id="{00000000-0008-0000-1200-0000369D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47" name="Option Button 311" hidden="1">
                <a:extLst>
                  <a:ext uri="{63B3BB69-23CF-44E3-9099-C40C66FF867C}">
                    <a14:compatExt spid="_x0000_s40247"/>
                  </a:ext>
                  <a:ext uri="{FF2B5EF4-FFF2-40B4-BE49-F238E27FC236}">
                    <a16:creationId xmlns:a16="http://schemas.microsoft.com/office/drawing/2014/main" id="{00000000-0008-0000-1200-0000379D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48" name="Option Button 312" hidden="1">
                <a:extLst>
                  <a:ext uri="{63B3BB69-23CF-44E3-9099-C40C66FF867C}">
                    <a14:compatExt spid="_x0000_s40248"/>
                  </a:ext>
                  <a:ext uri="{FF2B5EF4-FFF2-40B4-BE49-F238E27FC236}">
                    <a16:creationId xmlns:a16="http://schemas.microsoft.com/office/drawing/2014/main" id="{00000000-0008-0000-1200-0000389D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66664</xdr:colOff>
          <xdr:row>67</xdr:row>
          <xdr:rowOff>9591</xdr:rowOff>
        </xdr:from>
        <xdr:to>
          <xdr:col>16</xdr:col>
          <xdr:colOff>76187</xdr:colOff>
          <xdr:row>67</xdr:row>
          <xdr:rowOff>203596</xdr:rowOff>
        </xdr:to>
        <xdr:grpSp>
          <xdr:nvGrpSpPr>
            <xdr:cNvPr id="461" name="Gruppieren 460">
              <a:extLst>
                <a:ext uri="{FF2B5EF4-FFF2-40B4-BE49-F238E27FC236}">
                  <a16:creationId xmlns:a16="http://schemas.microsoft.com/office/drawing/2014/main" id="{00000000-0008-0000-1200-0000CD010000}"/>
                </a:ext>
              </a:extLst>
            </xdr:cNvPr>
            <xdr:cNvGrpSpPr/>
          </xdr:nvGrpSpPr>
          <xdr:grpSpPr>
            <a:xfrm>
              <a:off x="4417684" y="24195471"/>
              <a:ext cx="2295523" cy="194005"/>
              <a:chOff x="3581259" y="2104692"/>
              <a:chExt cx="2247895" cy="276226"/>
            </a:xfrm>
          </xdr:grpSpPr>
          <xdr:sp macro="" textlink="">
            <xdr:nvSpPr>
              <xdr:cNvPr id="40249" name="Group Box 313" hidden="1">
                <a:extLst>
                  <a:ext uri="{63B3BB69-23CF-44E3-9099-C40C66FF867C}">
                    <a14:compatExt spid="_x0000_s40249"/>
                  </a:ext>
                  <a:ext uri="{FF2B5EF4-FFF2-40B4-BE49-F238E27FC236}">
                    <a16:creationId xmlns:a16="http://schemas.microsoft.com/office/drawing/2014/main" id="{00000000-0008-0000-1200-0000399D0000}"/>
                  </a:ext>
                </a:extLst>
              </xdr:cNvPr>
              <xdr:cNvSpPr/>
            </xdr:nvSpPr>
            <xdr:spPr bwMode="auto">
              <a:xfrm>
                <a:off x="3581259" y="2104692"/>
                <a:ext cx="2247895" cy="27622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50" name="Option Button 314" hidden="1">
                <a:extLst>
                  <a:ext uri="{63B3BB69-23CF-44E3-9099-C40C66FF867C}">
                    <a14:compatExt spid="_x0000_s40250"/>
                  </a:ext>
                  <a:ext uri="{FF2B5EF4-FFF2-40B4-BE49-F238E27FC236}">
                    <a16:creationId xmlns:a16="http://schemas.microsoft.com/office/drawing/2014/main" id="{00000000-0008-0000-1200-00003A9D0000}"/>
                  </a:ext>
                </a:extLst>
              </xdr:cNvPr>
              <xdr:cNvSpPr/>
            </xdr:nvSpPr>
            <xdr:spPr bwMode="auto">
              <a:xfrm>
                <a:off x="370522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51" name="Option Button 315" hidden="1">
                <a:extLst>
                  <a:ext uri="{63B3BB69-23CF-44E3-9099-C40C66FF867C}">
                    <a14:compatExt spid="_x0000_s40251"/>
                  </a:ext>
                  <a:ext uri="{FF2B5EF4-FFF2-40B4-BE49-F238E27FC236}">
                    <a16:creationId xmlns:a16="http://schemas.microsoft.com/office/drawing/2014/main" id="{00000000-0008-0000-1200-00003B9D0000}"/>
                  </a:ext>
                </a:extLst>
              </xdr:cNvPr>
              <xdr:cNvSpPr/>
            </xdr:nvSpPr>
            <xdr:spPr bwMode="auto">
              <a:xfrm>
                <a:off x="4143376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52" name="Option Button 316" hidden="1">
                <a:extLst>
                  <a:ext uri="{63B3BB69-23CF-44E3-9099-C40C66FF867C}">
                    <a14:compatExt spid="_x0000_s40252"/>
                  </a:ext>
                  <a:ext uri="{FF2B5EF4-FFF2-40B4-BE49-F238E27FC236}">
                    <a16:creationId xmlns:a16="http://schemas.microsoft.com/office/drawing/2014/main" id="{00000000-0008-0000-1200-00003C9D0000}"/>
                  </a:ext>
                </a:extLst>
              </xdr:cNvPr>
              <xdr:cNvSpPr/>
            </xdr:nvSpPr>
            <xdr:spPr bwMode="auto">
              <a:xfrm>
                <a:off x="458152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53" name="Option Button 317" hidden="1">
                <a:extLst>
                  <a:ext uri="{63B3BB69-23CF-44E3-9099-C40C66FF867C}">
                    <a14:compatExt spid="_x0000_s40253"/>
                  </a:ext>
                  <a:ext uri="{FF2B5EF4-FFF2-40B4-BE49-F238E27FC236}">
                    <a16:creationId xmlns:a16="http://schemas.microsoft.com/office/drawing/2014/main" id="{00000000-0008-0000-1200-00003D9D0000}"/>
                  </a:ext>
                </a:extLst>
              </xdr:cNvPr>
              <xdr:cNvSpPr/>
            </xdr:nvSpPr>
            <xdr:spPr bwMode="auto">
              <a:xfrm>
                <a:off x="5019675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54" name="Option Button 318" hidden="1">
                <a:extLst>
                  <a:ext uri="{63B3BB69-23CF-44E3-9099-C40C66FF867C}">
                    <a14:compatExt spid="_x0000_s40254"/>
                  </a:ext>
                  <a:ext uri="{FF2B5EF4-FFF2-40B4-BE49-F238E27FC236}">
                    <a16:creationId xmlns:a16="http://schemas.microsoft.com/office/drawing/2014/main" id="{00000000-0008-0000-1200-00003E9D0000}"/>
                  </a:ext>
                </a:extLst>
              </xdr:cNvPr>
              <xdr:cNvSpPr/>
            </xdr:nvSpPr>
            <xdr:spPr bwMode="auto">
              <a:xfrm>
                <a:off x="5457824" y="2152657"/>
                <a:ext cx="216000" cy="17999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62</xdr:row>
      <xdr:rowOff>66674</xdr:rowOff>
    </xdr:from>
    <xdr:to>
      <xdr:col>21</xdr:col>
      <xdr:colOff>133349</xdr:colOff>
      <xdr:row>67</xdr:row>
      <xdr:rowOff>219074</xdr:rowOff>
    </xdr:to>
    <xdr:graphicFrame macro="">
      <xdr:nvGraphicFramePr>
        <xdr:cNvPr id="468" name="Diagramm 467">
          <a:extLst>
            <a:ext uri="{FF2B5EF4-FFF2-40B4-BE49-F238E27FC236}">
              <a16:creationId xmlns:a16="http://schemas.microsoft.com/office/drawing/2014/main" id="{00000000-0008-0000-1200-0000D4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70</xdr:row>
          <xdr:rowOff>28578</xdr:rowOff>
        </xdr:from>
        <xdr:to>
          <xdr:col>16</xdr:col>
          <xdr:colOff>76181</xdr:colOff>
          <xdr:row>70</xdr:row>
          <xdr:rowOff>204311</xdr:rowOff>
        </xdr:to>
        <xdr:grpSp>
          <xdr:nvGrpSpPr>
            <xdr:cNvPr id="469" name="Gruppieren 468">
              <a:extLst>
                <a:ext uri="{FF2B5EF4-FFF2-40B4-BE49-F238E27FC236}">
                  <a16:creationId xmlns:a16="http://schemas.microsoft.com/office/drawing/2014/main" id="{00000000-0008-0000-1200-0000D5010000}"/>
                </a:ext>
              </a:extLst>
            </xdr:cNvPr>
            <xdr:cNvGrpSpPr/>
          </xdr:nvGrpSpPr>
          <xdr:grpSpPr>
            <a:xfrm>
              <a:off x="4417682" y="25205058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255" name="Group Box 319" hidden="1">
                <a:extLst>
                  <a:ext uri="{63B3BB69-23CF-44E3-9099-C40C66FF867C}">
                    <a14:compatExt spid="_x0000_s40255"/>
                  </a:ext>
                  <a:ext uri="{FF2B5EF4-FFF2-40B4-BE49-F238E27FC236}">
                    <a16:creationId xmlns:a16="http://schemas.microsoft.com/office/drawing/2014/main" id="{00000000-0008-0000-1200-00003F9D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56" name="Option Button 320" hidden="1">
                <a:extLst>
                  <a:ext uri="{63B3BB69-23CF-44E3-9099-C40C66FF867C}">
                    <a14:compatExt spid="_x0000_s40256"/>
                  </a:ext>
                  <a:ext uri="{FF2B5EF4-FFF2-40B4-BE49-F238E27FC236}">
                    <a16:creationId xmlns:a16="http://schemas.microsoft.com/office/drawing/2014/main" id="{00000000-0008-0000-1200-0000409D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57" name="Option Button 321" hidden="1">
                <a:extLst>
                  <a:ext uri="{63B3BB69-23CF-44E3-9099-C40C66FF867C}">
                    <a14:compatExt spid="_x0000_s40257"/>
                  </a:ext>
                  <a:ext uri="{FF2B5EF4-FFF2-40B4-BE49-F238E27FC236}">
                    <a16:creationId xmlns:a16="http://schemas.microsoft.com/office/drawing/2014/main" id="{00000000-0008-0000-1200-0000419D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58" name="Option Button 322" hidden="1">
                <a:extLst>
                  <a:ext uri="{63B3BB69-23CF-44E3-9099-C40C66FF867C}">
                    <a14:compatExt spid="_x0000_s40258"/>
                  </a:ext>
                  <a:ext uri="{FF2B5EF4-FFF2-40B4-BE49-F238E27FC236}">
                    <a16:creationId xmlns:a16="http://schemas.microsoft.com/office/drawing/2014/main" id="{00000000-0008-0000-1200-0000429D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59" name="Option Button 323" hidden="1">
                <a:extLst>
                  <a:ext uri="{63B3BB69-23CF-44E3-9099-C40C66FF867C}">
                    <a14:compatExt spid="_x0000_s40259"/>
                  </a:ext>
                  <a:ext uri="{FF2B5EF4-FFF2-40B4-BE49-F238E27FC236}">
                    <a16:creationId xmlns:a16="http://schemas.microsoft.com/office/drawing/2014/main" id="{00000000-0008-0000-1200-0000439D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60" name="Option Button 324" hidden="1">
                <a:extLst>
                  <a:ext uri="{63B3BB69-23CF-44E3-9099-C40C66FF867C}">
                    <a14:compatExt spid="_x0000_s40260"/>
                  </a:ext>
                  <a:ext uri="{FF2B5EF4-FFF2-40B4-BE49-F238E27FC236}">
                    <a16:creationId xmlns:a16="http://schemas.microsoft.com/office/drawing/2014/main" id="{00000000-0008-0000-1200-0000449D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71</xdr:row>
          <xdr:rowOff>9528</xdr:rowOff>
        </xdr:from>
        <xdr:to>
          <xdr:col>16</xdr:col>
          <xdr:colOff>76181</xdr:colOff>
          <xdr:row>71</xdr:row>
          <xdr:rowOff>185261</xdr:rowOff>
        </xdr:to>
        <xdr:grpSp>
          <xdr:nvGrpSpPr>
            <xdr:cNvPr id="476" name="Gruppieren 475">
              <a:extLst>
                <a:ext uri="{FF2B5EF4-FFF2-40B4-BE49-F238E27FC236}">
                  <a16:creationId xmlns:a16="http://schemas.microsoft.com/office/drawing/2014/main" id="{00000000-0008-0000-1200-0000DC010000}"/>
                </a:ext>
              </a:extLst>
            </xdr:cNvPr>
            <xdr:cNvGrpSpPr/>
          </xdr:nvGrpSpPr>
          <xdr:grpSpPr>
            <a:xfrm>
              <a:off x="4417682" y="25582248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261" name="Group Box 325" hidden="1">
                <a:extLst>
                  <a:ext uri="{63B3BB69-23CF-44E3-9099-C40C66FF867C}">
                    <a14:compatExt spid="_x0000_s40261"/>
                  </a:ext>
                  <a:ext uri="{FF2B5EF4-FFF2-40B4-BE49-F238E27FC236}">
                    <a16:creationId xmlns:a16="http://schemas.microsoft.com/office/drawing/2014/main" id="{00000000-0008-0000-1200-0000459D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62" name="Option Button 326" hidden="1">
                <a:extLst>
                  <a:ext uri="{63B3BB69-23CF-44E3-9099-C40C66FF867C}">
                    <a14:compatExt spid="_x0000_s40262"/>
                  </a:ext>
                  <a:ext uri="{FF2B5EF4-FFF2-40B4-BE49-F238E27FC236}">
                    <a16:creationId xmlns:a16="http://schemas.microsoft.com/office/drawing/2014/main" id="{00000000-0008-0000-1200-0000469D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63" name="Option Button 327" hidden="1">
                <a:extLst>
                  <a:ext uri="{63B3BB69-23CF-44E3-9099-C40C66FF867C}">
                    <a14:compatExt spid="_x0000_s40263"/>
                  </a:ext>
                  <a:ext uri="{FF2B5EF4-FFF2-40B4-BE49-F238E27FC236}">
                    <a16:creationId xmlns:a16="http://schemas.microsoft.com/office/drawing/2014/main" id="{00000000-0008-0000-1200-0000479D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64" name="Option Button 328" hidden="1">
                <a:extLst>
                  <a:ext uri="{63B3BB69-23CF-44E3-9099-C40C66FF867C}">
                    <a14:compatExt spid="_x0000_s40264"/>
                  </a:ext>
                  <a:ext uri="{FF2B5EF4-FFF2-40B4-BE49-F238E27FC236}">
                    <a16:creationId xmlns:a16="http://schemas.microsoft.com/office/drawing/2014/main" id="{00000000-0008-0000-1200-0000489D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65" name="Option Button 329" hidden="1">
                <a:extLst>
                  <a:ext uri="{63B3BB69-23CF-44E3-9099-C40C66FF867C}">
                    <a14:compatExt spid="_x0000_s40265"/>
                  </a:ext>
                  <a:ext uri="{FF2B5EF4-FFF2-40B4-BE49-F238E27FC236}">
                    <a16:creationId xmlns:a16="http://schemas.microsoft.com/office/drawing/2014/main" id="{00000000-0008-0000-1200-0000499D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66" name="Option Button 330" hidden="1">
                <a:extLst>
                  <a:ext uri="{63B3BB69-23CF-44E3-9099-C40C66FF867C}">
                    <a14:compatExt spid="_x0000_s40266"/>
                  </a:ext>
                  <a:ext uri="{FF2B5EF4-FFF2-40B4-BE49-F238E27FC236}">
                    <a16:creationId xmlns:a16="http://schemas.microsoft.com/office/drawing/2014/main" id="{00000000-0008-0000-1200-00004A9D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72</xdr:row>
          <xdr:rowOff>19053</xdr:rowOff>
        </xdr:from>
        <xdr:to>
          <xdr:col>16</xdr:col>
          <xdr:colOff>76181</xdr:colOff>
          <xdr:row>72</xdr:row>
          <xdr:rowOff>194786</xdr:rowOff>
        </xdr:to>
        <xdr:grpSp>
          <xdr:nvGrpSpPr>
            <xdr:cNvPr id="483" name="Gruppieren 482">
              <a:extLst>
                <a:ext uri="{FF2B5EF4-FFF2-40B4-BE49-F238E27FC236}">
                  <a16:creationId xmlns:a16="http://schemas.microsoft.com/office/drawing/2014/main" id="{00000000-0008-0000-1200-0000E3010000}"/>
                </a:ext>
              </a:extLst>
            </xdr:cNvPr>
            <xdr:cNvGrpSpPr/>
          </xdr:nvGrpSpPr>
          <xdr:grpSpPr>
            <a:xfrm>
              <a:off x="4417682" y="25988013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267" name="Group Box 331" hidden="1">
                <a:extLst>
                  <a:ext uri="{63B3BB69-23CF-44E3-9099-C40C66FF867C}">
                    <a14:compatExt spid="_x0000_s40267"/>
                  </a:ext>
                  <a:ext uri="{FF2B5EF4-FFF2-40B4-BE49-F238E27FC236}">
                    <a16:creationId xmlns:a16="http://schemas.microsoft.com/office/drawing/2014/main" id="{00000000-0008-0000-1200-00004B9D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68" name="Option Button 332" hidden="1">
                <a:extLst>
                  <a:ext uri="{63B3BB69-23CF-44E3-9099-C40C66FF867C}">
                    <a14:compatExt spid="_x0000_s40268"/>
                  </a:ext>
                  <a:ext uri="{FF2B5EF4-FFF2-40B4-BE49-F238E27FC236}">
                    <a16:creationId xmlns:a16="http://schemas.microsoft.com/office/drawing/2014/main" id="{00000000-0008-0000-1200-00004C9D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69" name="Option Button 333" hidden="1">
                <a:extLst>
                  <a:ext uri="{63B3BB69-23CF-44E3-9099-C40C66FF867C}">
                    <a14:compatExt spid="_x0000_s40269"/>
                  </a:ext>
                  <a:ext uri="{FF2B5EF4-FFF2-40B4-BE49-F238E27FC236}">
                    <a16:creationId xmlns:a16="http://schemas.microsoft.com/office/drawing/2014/main" id="{00000000-0008-0000-1200-00004D9D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70" name="Option Button 334" hidden="1">
                <a:extLst>
                  <a:ext uri="{63B3BB69-23CF-44E3-9099-C40C66FF867C}">
                    <a14:compatExt spid="_x0000_s40270"/>
                  </a:ext>
                  <a:ext uri="{FF2B5EF4-FFF2-40B4-BE49-F238E27FC236}">
                    <a16:creationId xmlns:a16="http://schemas.microsoft.com/office/drawing/2014/main" id="{00000000-0008-0000-1200-00004E9D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71" name="Option Button 335" hidden="1">
                <a:extLst>
                  <a:ext uri="{63B3BB69-23CF-44E3-9099-C40C66FF867C}">
                    <a14:compatExt spid="_x0000_s40271"/>
                  </a:ext>
                  <a:ext uri="{FF2B5EF4-FFF2-40B4-BE49-F238E27FC236}">
                    <a16:creationId xmlns:a16="http://schemas.microsoft.com/office/drawing/2014/main" id="{00000000-0008-0000-1200-00004F9D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72" name="Option Button 336" hidden="1">
                <a:extLst>
                  <a:ext uri="{63B3BB69-23CF-44E3-9099-C40C66FF867C}">
                    <a14:compatExt spid="_x0000_s40272"/>
                  </a:ext>
                  <a:ext uri="{FF2B5EF4-FFF2-40B4-BE49-F238E27FC236}">
                    <a16:creationId xmlns:a16="http://schemas.microsoft.com/office/drawing/2014/main" id="{00000000-0008-0000-1200-0000509D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73</xdr:row>
          <xdr:rowOff>19053</xdr:rowOff>
        </xdr:from>
        <xdr:to>
          <xdr:col>16</xdr:col>
          <xdr:colOff>76181</xdr:colOff>
          <xdr:row>73</xdr:row>
          <xdr:rowOff>194786</xdr:rowOff>
        </xdr:to>
        <xdr:grpSp>
          <xdr:nvGrpSpPr>
            <xdr:cNvPr id="490" name="Gruppieren 489">
              <a:extLst>
                <a:ext uri="{FF2B5EF4-FFF2-40B4-BE49-F238E27FC236}">
                  <a16:creationId xmlns:a16="http://schemas.microsoft.com/office/drawing/2014/main" id="{00000000-0008-0000-1200-0000EA010000}"/>
                </a:ext>
              </a:extLst>
            </xdr:cNvPr>
            <xdr:cNvGrpSpPr/>
          </xdr:nvGrpSpPr>
          <xdr:grpSpPr>
            <a:xfrm>
              <a:off x="4417682" y="26384253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273" name="Group Box 337" hidden="1">
                <a:extLst>
                  <a:ext uri="{63B3BB69-23CF-44E3-9099-C40C66FF867C}">
                    <a14:compatExt spid="_x0000_s40273"/>
                  </a:ext>
                  <a:ext uri="{FF2B5EF4-FFF2-40B4-BE49-F238E27FC236}">
                    <a16:creationId xmlns:a16="http://schemas.microsoft.com/office/drawing/2014/main" id="{00000000-0008-0000-1200-0000519D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74" name="Option Button 338" hidden="1">
                <a:extLst>
                  <a:ext uri="{63B3BB69-23CF-44E3-9099-C40C66FF867C}">
                    <a14:compatExt spid="_x0000_s40274"/>
                  </a:ext>
                  <a:ext uri="{FF2B5EF4-FFF2-40B4-BE49-F238E27FC236}">
                    <a16:creationId xmlns:a16="http://schemas.microsoft.com/office/drawing/2014/main" id="{00000000-0008-0000-1200-0000529D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75" name="Option Button 339" hidden="1">
                <a:extLst>
                  <a:ext uri="{63B3BB69-23CF-44E3-9099-C40C66FF867C}">
                    <a14:compatExt spid="_x0000_s40275"/>
                  </a:ext>
                  <a:ext uri="{FF2B5EF4-FFF2-40B4-BE49-F238E27FC236}">
                    <a16:creationId xmlns:a16="http://schemas.microsoft.com/office/drawing/2014/main" id="{00000000-0008-0000-1200-0000539D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76" name="Option Button 340" hidden="1">
                <a:extLst>
                  <a:ext uri="{63B3BB69-23CF-44E3-9099-C40C66FF867C}">
                    <a14:compatExt spid="_x0000_s40276"/>
                  </a:ext>
                  <a:ext uri="{FF2B5EF4-FFF2-40B4-BE49-F238E27FC236}">
                    <a16:creationId xmlns:a16="http://schemas.microsoft.com/office/drawing/2014/main" id="{00000000-0008-0000-1200-0000549D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77" name="Option Button 341" hidden="1">
                <a:extLst>
                  <a:ext uri="{63B3BB69-23CF-44E3-9099-C40C66FF867C}">
                    <a14:compatExt spid="_x0000_s40277"/>
                  </a:ext>
                  <a:ext uri="{FF2B5EF4-FFF2-40B4-BE49-F238E27FC236}">
                    <a16:creationId xmlns:a16="http://schemas.microsoft.com/office/drawing/2014/main" id="{00000000-0008-0000-1200-0000559D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78" name="Option Button 342" hidden="1">
                <a:extLst>
                  <a:ext uri="{63B3BB69-23CF-44E3-9099-C40C66FF867C}">
                    <a14:compatExt spid="_x0000_s40278"/>
                  </a:ext>
                  <a:ext uri="{FF2B5EF4-FFF2-40B4-BE49-F238E27FC236}">
                    <a16:creationId xmlns:a16="http://schemas.microsoft.com/office/drawing/2014/main" id="{00000000-0008-0000-1200-0000569D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74</xdr:row>
          <xdr:rowOff>28578</xdr:rowOff>
        </xdr:from>
        <xdr:to>
          <xdr:col>16</xdr:col>
          <xdr:colOff>76181</xdr:colOff>
          <xdr:row>74</xdr:row>
          <xdr:rowOff>204311</xdr:rowOff>
        </xdr:to>
        <xdr:grpSp>
          <xdr:nvGrpSpPr>
            <xdr:cNvPr id="497" name="Gruppieren 496">
              <a:extLst>
                <a:ext uri="{FF2B5EF4-FFF2-40B4-BE49-F238E27FC236}">
                  <a16:creationId xmlns:a16="http://schemas.microsoft.com/office/drawing/2014/main" id="{00000000-0008-0000-1200-0000F1010000}"/>
                </a:ext>
              </a:extLst>
            </xdr:cNvPr>
            <xdr:cNvGrpSpPr/>
          </xdr:nvGrpSpPr>
          <xdr:grpSpPr>
            <a:xfrm>
              <a:off x="4417682" y="26790018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279" name="Group Box 343" hidden="1">
                <a:extLst>
                  <a:ext uri="{63B3BB69-23CF-44E3-9099-C40C66FF867C}">
                    <a14:compatExt spid="_x0000_s40279"/>
                  </a:ext>
                  <a:ext uri="{FF2B5EF4-FFF2-40B4-BE49-F238E27FC236}">
                    <a16:creationId xmlns:a16="http://schemas.microsoft.com/office/drawing/2014/main" id="{00000000-0008-0000-1200-0000579D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80" name="Option Button 344" hidden="1">
                <a:extLst>
                  <a:ext uri="{63B3BB69-23CF-44E3-9099-C40C66FF867C}">
                    <a14:compatExt spid="_x0000_s40280"/>
                  </a:ext>
                  <a:ext uri="{FF2B5EF4-FFF2-40B4-BE49-F238E27FC236}">
                    <a16:creationId xmlns:a16="http://schemas.microsoft.com/office/drawing/2014/main" id="{00000000-0008-0000-1200-0000589D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81" name="Option Button 345" hidden="1">
                <a:extLst>
                  <a:ext uri="{63B3BB69-23CF-44E3-9099-C40C66FF867C}">
                    <a14:compatExt spid="_x0000_s40281"/>
                  </a:ext>
                  <a:ext uri="{FF2B5EF4-FFF2-40B4-BE49-F238E27FC236}">
                    <a16:creationId xmlns:a16="http://schemas.microsoft.com/office/drawing/2014/main" id="{00000000-0008-0000-1200-0000599D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82" name="Option Button 346" hidden="1">
                <a:extLst>
                  <a:ext uri="{63B3BB69-23CF-44E3-9099-C40C66FF867C}">
                    <a14:compatExt spid="_x0000_s40282"/>
                  </a:ext>
                  <a:ext uri="{FF2B5EF4-FFF2-40B4-BE49-F238E27FC236}">
                    <a16:creationId xmlns:a16="http://schemas.microsoft.com/office/drawing/2014/main" id="{00000000-0008-0000-1200-00005A9D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83" name="Option Button 347" hidden="1">
                <a:extLst>
                  <a:ext uri="{63B3BB69-23CF-44E3-9099-C40C66FF867C}">
                    <a14:compatExt spid="_x0000_s40283"/>
                  </a:ext>
                  <a:ext uri="{FF2B5EF4-FFF2-40B4-BE49-F238E27FC236}">
                    <a16:creationId xmlns:a16="http://schemas.microsoft.com/office/drawing/2014/main" id="{00000000-0008-0000-1200-00005B9D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84" name="Option Button 348" hidden="1">
                <a:extLst>
                  <a:ext uri="{63B3BB69-23CF-44E3-9099-C40C66FF867C}">
                    <a14:compatExt spid="_x0000_s40284"/>
                  </a:ext>
                  <a:ext uri="{FF2B5EF4-FFF2-40B4-BE49-F238E27FC236}">
                    <a16:creationId xmlns:a16="http://schemas.microsoft.com/office/drawing/2014/main" id="{00000000-0008-0000-1200-00005C9D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66662</xdr:colOff>
          <xdr:row>75</xdr:row>
          <xdr:rowOff>19053</xdr:rowOff>
        </xdr:from>
        <xdr:to>
          <xdr:col>16</xdr:col>
          <xdr:colOff>76181</xdr:colOff>
          <xdr:row>75</xdr:row>
          <xdr:rowOff>194786</xdr:rowOff>
        </xdr:to>
        <xdr:grpSp>
          <xdr:nvGrpSpPr>
            <xdr:cNvPr id="504" name="Gruppieren 503">
              <a:extLst>
                <a:ext uri="{FF2B5EF4-FFF2-40B4-BE49-F238E27FC236}">
                  <a16:creationId xmlns:a16="http://schemas.microsoft.com/office/drawing/2014/main" id="{00000000-0008-0000-1200-0000F8010000}"/>
                </a:ext>
              </a:extLst>
            </xdr:cNvPr>
            <xdr:cNvGrpSpPr/>
          </xdr:nvGrpSpPr>
          <xdr:grpSpPr>
            <a:xfrm>
              <a:off x="4417682" y="27176733"/>
              <a:ext cx="2295519" cy="175733"/>
              <a:chOff x="3581395" y="2105465"/>
              <a:chExt cx="2247893" cy="276224"/>
            </a:xfrm>
          </xdr:grpSpPr>
          <xdr:sp macro="" textlink="">
            <xdr:nvSpPr>
              <xdr:cNvPr id="40285" name="Group Box 349" hidden="1">
                <a:extLst>
                  <a:ext uri="{63B3BB69-23CF-44E3-9099-C40C66FF867C}">
                    <a14:compatExt spid="_x0000_s40285"/>
                  </a:ext>
                  <a:ext uri="{FF2B5EF4-FFF2-40B4-BE49-F238E27FC236}">
                    <a16:creationId xmlns:a16="http://schemas.microsoft.com/office/drawing/2014/main" id="{00000000-0008-0000-1200-00005D9D0000}"/>
                  </a:ext>
                </a:extLst>
              </xdr:cNvPr>
              <xdr:cNvSpPr/>
            </xdr:nvSpPr>
            <xdr:spPr bwMode="auto">
              <a:xfrm>
                <a:off x="3581395" y="2105465"/>
                <a:ext cx="2247893" cy="27622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40286" name="Option Button 350" hidden="1">
                <a:extLst>
                  <a:ext uri="{63B3BB69-23CF-44E3-9099-C40C66FF867C}">
                    <a14:compatExt spid="_x0000_s40286"/>
                  </a:ext>
                  <a:ext uri="{FF2B5EF4-FFF2-40B4-BE49-F238E27FC236}">
                    <a16:creationId xmlns:a16="http://schemas.microsoft.com/office/drawing/2014/main" id="{00000000-0008-0000-1200-00005E9D0000}"/>
                  </a:ext>
                </a:extLst>
              </xdr:cNvPr>
              <xdr:cNvSpPr/>
            </xdr:nvSpPr>
            <xdr:spPr bwMode="auto">
              <a:xfrm>
                <a:off x="370522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87" name="Option Button 351" hidden="1">
                <a:extLst>
                  <a:ext uri="{63B3BB69-23CF-44E3-9099-C40C66FF867C}">
                    <a14:compatExt spid="_x0000_s40287"/>
                  </a:ext>
                  <a:ext uri="{FF2B5EF4-FFF2-40B4-BE49-F238E27FC236}">
                    <a16:creationId xmlns:a16="http://schemas.microsoft.com/office/drawing/2014/main" id="{00000000-0008-0000-1200-00005F9D0000}"/>
                  </a:ext>
                </a:extLst>
              </xdr:cNvPr>
              <xdr:cNvSpPr/>
            </xdr:nvSpPr>
            <xdr:spPr bwMode="auto">
              <a:xfrm>
                <a:off x="414337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88" name="Option Button 352" hidden="1">
                <a:extLst>
                  <a:ext uri="{63B3BB69-23CF-44E3-9099-C40C66FF867C}">
                    <a14:compatExt spid="_x0000_s40288"/>
                  </a:ext>
                  <a:ext uri="{FF2B5EF4-FFF2-40B4-BE49-F238E27FC236}">
                    <a16:creationId xmlns:a16="http://schemas.microsoft.com/office/drawing/2014/main" id="{00000000-0008-0000-1200-0000609D0000}"/>
                  </a:ext>
                </a:extLst>
              </xdr:cNvPr>
              <xdr:cNvSpPr/>
            </xdr:nvSpPr>
            <xdr:spPr bwMode="auto">
              <a:xfrm>
                <a:off x="45815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89" name="Option Button 353" hidden="1">
                <a:extLst>
                  <a:ext uri="{63B3BB69-23CF-44E3-9099-C40C66FF867C}">
                    <a14:compatExt spid="_x0000_s40289"/>
                  </a:ext>
                  <a:ext uri="{FF2B5EF4-FFF2-40B4-BE49-F238E27FC236}">
                    <a16:creationId xmlns:a16="http://schemas.microsoft.com/office/drawing/2014/main" id="{00000000-0008-0000-1200-0000619D0000}"/>
                  </a:ext>
                </a:extLst>
              </xdr:cNvPr>
              <xdr:cNvSpPr/>
            </xdr:nvSpPr>
            <xdr:spPr bwMode="auto">
              <a:xfrm>
                <a:off x="5019675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0290" name="Option Button 354" hidden="1">
                <a:extLst>
                  <a:ext uri="{63B3BB69-23CF-44E3-9099-C40C66FF867C}">
                    <a14:compatExt spid="_x0000_s40290"/>
                  </a:ext>
                  <a:ext uri="{FF2B5EF4-FFF2-40B4-BE49-F238E27FC236}">
                    <a16:creationId xmlns:a16="http://schemas.microsoft.com/office/drawing/2014/main" id="{00000000-0008-0000-1200-0000629D0000}"/>
                  </a:ext>
                </a:extLst>
              </xdr:cNvPr>
              <xdr:cNvSpPr/>
            </xdr:nvSpPr>
            <xdr:spPr bwMode="auto">
              <a:xfrm>
                <a:off x="5457826" y="2152644"/>
                <a:ext cx="215999" cy="1800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20</xdr:col>
      <xdr:colOff>57150</xdr:colOff>
      <xdr:row>68</xdr:row>
      <xdr:rowOff>66674</xdr:rowOff>
    </xdr:from>
    <xdr:to>
      <xdr:col>21</xdr:col>
      <xdr:colOff>133349</xdr:colOff>
      <xdr:row>73</xdr:row>
      <xdr:rowOff>219074</xdr:rowOff>
    </xdr:to>
    <xdr:graphicFrame macro="">
      <xdr:nvGraphicFramePr>
        <xdr:cNvPr id="511" name="Diagramm 510">
          <a:extLst>
            <a:ext uri="{FF2B5EF4-FFF2-40B4-BE49-F238E27FC236}">
              <a16:creationId xmlns:a16="http://schemas.microsoft.com/office/drawing/2014/main" id="{00000000-0008-0000-1200-0000FF0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19050</xdr:colOff>
      <xdr:row>1</xdr:row>
      <xdr:rowOff>123825</xdr:rowOff>
    </xdr:from>
    <xdr:to>
      <xdr:col>4</xdr:col>
      <xdr:colOff>2419350</xdr:colOff>
      <xdr:row>6</xdr:row>
      <xdr:rowOff>57150</xdr:rowOff>
    </xdr:to>
    <xdr:graphicFrame macro="">
      <xdr:nvGraphicFramePr>
        <xdr:cNvPr id="512" name="Diagramm 511">
          <a:extLst>
            <a:ext uri="{FF2B5EF4-FFF2-40B4-BE49-F238E27FC236}">
              <a16:creationId xmlns:a16="http://schemas.microsoft.com/office/drawing/2014/main" id="{00000000-0008-0000-1200-00000002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1737360</xdr:colOff>
          <xdr:row>1</xdr:row>
          <xdr:rowOff>60960</xdr:rowOff>
        </xdr:from>
        <xdr:to>
          <xdr:col>21</xdr:col>
          <xdr:colOff>0</xdr:colOff>
          <xdr:row>1</xdr:row>
          <xdr:rowOff>228600</xdr:rowOff>
        </xdr:to>
        <xdr:sp macro="" textlink="">
          <xdr:nvSpPr>
            <xdr:cNvPr id="40291" name="Drop Down 355" hidden="1">
              <a:extLst>
                <a:ext uri="{63B3BB69-23CF-44E3-9099-C40C66FF867C}">
                  <a14:compatExt spid="_x0000_s40291"/>
                </a:ext>
                <a:ext uri="{FF2B5EF4-FFF2-40B4-BE49-F238E27FC236}">
                  <a16:creationId xmlns:a16="http://schemas.microsoft.com/office/drawing/2014/main" id="{00000000-0008-0000-1200-0000639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419100</xdr:colOff>
          <xdr:row>0</xdr:row>
          <xdr:rowOff>7620</xdr:rowOff>
        </xdr:from>
        <xdr:to>
          <xdr:col>21</xdr:col>
          <xdr:colOff>3810</xdr:colOff>
          <xdr:row>0</xdr:row>
          <xdr:rowOff>541020</xdr:rowOff>
        </xdr:to>
        <xdr:pic>
          <xdr:nvPicPr>
            <xdr:cNvPr id="514" name="Grafik 45">
              <a:extLst>
                <a:ext uri="{FF2B5EF4-FFF2-40B4-BE49-F238E27FC236}">
                  <a16:creationId xmlns:a16="http://schemas.microsoft.com/office/drawing/2014/main" id="{00000000-0008-0000-1200-00000202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40298"/>
                </a:ext>
              </a:extLst>
            </xdr:cNvPicPr>
          </xdr:nvPicPr>
          <xdr:blipFill>
            <a:blip xmlns:r="http://schemas.openxmlformats.org/officeDocument/2006/relationships" r:embed="rId26"/>
            <a:srcRect/>
            <a:stretch>
              <a:fillRect/>
            </a:stretch>
          </xdr:blipFill>
          <xdr:spPr bwMode="auto">
            <a:xfrm>
              <a:off x="7589520" y="762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114300</xdr:rowOff>
    </xdr:from>
    <xdr:to>
      <xdr:col>1</xdr:col>
      <xdr:colOff>150</xdr:colOff>
      <xdr:row>0</xdr:row>
      <xdr:rowOff>439765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pSpPr/>
      </xdr:nvGrpSpPr>
      <xdr:grpSpPr>
        <a:xfrm>
          <a:off x="76200" y="114300"/>
          <a:ext cx="335430" cy="325465"/>
          <a:chOff x="12729063" y="1298331"/>
          <a:chExt cx="324000" cy="323267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1300-00000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3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0</xdr:col>
      <xdr:colOff>76200</xdr:colOff>
      <xdr:row>85</xdr:row>
      <xdr:rowOff>28575</xdr:rowOff>
    </xdr:from>
    <xdr:to>
      <xdr:col>1</xdr:col>
      <xdr:colOff>150</xdr:colOff>
      <xdr:row>86</xdr:row>
      <xdr:rowOff>154056</xdr:rowOff>
    </xdr:to>
    <xdr:grpSp>
      <xdr:nvGrpSpPr>
        <xdr:cNvPr id="5" name="Gruppieren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GrpSpPr/>
      </xdr:nvGrpSpPr>
      <xdr:grpSpPr>
        <a:xfrm>
          <a:off x="76200" y="16929735"/>
          <a:ext cx="335430" cy="323601"/>
          <a:chOff x="66675" y="4972050"/>
          <a:chExt cx="324000" cy="325465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" name="Pfeil nach oben 6">
            <a:extLst>
              <a:ext uri="{FF2B5EF4-FFF2-40B4-BE49-F238E27FC236}">
                <a16:creationId xmlns:a16="http://schemas.microsoft.com/office/drawing/2014/main" id="{00000000-0008-0000-1300-00000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22</xdr:col>
      <xdr:colOff>133350</xdr:colOff>
      <xdr:row>2</xdr:row>
      <xdr:rowOff>47625</xdr:rowOff>
    </xdr:from>
    <xdr:to>
      <xdr:col>23</xdr:col>
      <xdr:colOff>1350</xdr:colOff>
      <xdr:row>2</xdr:row>
      <xdr:rowOff>220425</xdr:rowOff>
    </xdr:to>
    <xdr:grpSp>
      <xdr:nvGrpSpPr>
        <xdr:cNvPr id="8" name="Gruppieren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GrpSpPr/>
      </xdr:nvGrpSpPr>
      <xdr:grpSpPr>
        <a:xfrm>
          <a:off x="14222730" y="619125"/>
          <a:ext cx="180420" cy="172800"/>
          <a:chOff x="8105775" y="571500"/>
          <a:chExt cx="172800" cy="172800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1300-000009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Textfeld 9">
            <a:extLst>
              <a:ext uri="{FF2B5EF4-FFF2-40B4-BE49-F238E27FC236}">
                <a16:creationId xmlns:a16="http://schemas.microsoft.com/office/drawing/2014/main" id="{00000000-0008-0000-1300-00000A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>
    <xdr:from>
      <xdr:col>0</xdr:col>
      <xdr:colOff>76200</xdr:colOff>
      <xdr:row>6</xdr:row>
      <xdr:rowOff>47624</xdr:rowOff>
    </xdr:from>
    <xdr:to>
      <xdr:col>0</xdr:col>
      <xdr:colOff>256200</xdr:colOff>
      <xdr:row>7</xdr:row>
      <xdr:rowOff>27599</xdr:rowOff>
    </xdr:to>
    <xdr:grpSp>
      <xdr:nvGrpSpPr>
        <xdr:cNvPr id="11" name="Gruppieren 1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GrpSpPr>
          <a:grpSpLocks/>
        </xdr:cNvGrpSpPr>
      </xdr:nvGrpSpPr>
      <xdr:grpSpPr>
        <a:xfrm>
          <a:off x="76200" y="1297304"/>
          <a:ext cx="180000" cy="178095"/>
          <a:chOff x="12020550" y="217170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1300-00000C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rechts 12">
            <a:extLst>
              <a:ext uri="{FF2B5EF4-FFF2-40B4-BE49-F238E27FC236}">
                <a16:creationId xmlns:a16="http://schemas.microsoft.com/office/drawing/2014/main" id="{00000000-0008-0000-1300-00000D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2133600</xdr:colOff>
          <xdr:row>0</xdr:row>
          <xdr:rowOff>7620</xdr:rowOff>
        </xdr:from>
        <xdr:to>
          <xdr:col>22</xdr:col>
          <xdr:colOff>300990</xdr:colOff>
          <xdr:row>0</xdr:row>
          <xdr:rowOff>541020</xdr:rowOff>
        </xdr:to>
        <xdr:pic>
          <xdr:nvPicPr>
            <xdr:cNvPr id="14" name="Grafik 45">
              <a:extLst>
                <a:ext uri="{FF2B5EF4-FFF2-40B4-BE49-F238E27FC236}">
                  <a16:creationId xmlns:a16="http://schemas.microsoft.com/office/drawing/2014/main" id="{00000000-0008-0000-1300-00000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37222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12131040" y="762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580362</xdr:colOff>
      <xdr:row>28</xdr:row>
      <xdr:rowOff>39189</xdr:rowOff>
    </xdr:from>
    <xdr:to>
      <xdr:col>5</xdr:col>
      <xdr:colOff>469812</xdr:colOff>
      <xdr:row>43</xdr:row>
      <xdr:rowOff>61689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/>
      </xdr:nvSpPr>
      <xdr:spPr>
        <a:xfrm>
          <a:off x="1351887" y="10230939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580362</xdr:colOff>
      <xdr:row>43</xdr:row>
      <xdr:rowOff>111896</xdr:rowOff>
    </xdr:from>
    <xdr:to>
      <xdr:col>5</xdr:col>
      <xdr:colOff>469812</xdr:colOff>
      <xdr:row>58</xdr:row>
      <xdr:rowOff>134396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1351887" y="13161146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6</xdr:col>
      <xdr:colOff>50171</xdr:colOff>
      <xdr:row>28</xdr:row>
      <xdr:rowOff>39189</xdr:rowOff>
    </xdr:from>
    <xdr:to>
      <xdr:col>8</xdr:col>
      <xdr:colOff>215846</xdr:colOff>
      <xdr:row>43</xdr:row>
      <xdr:rowOff>61689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SpPr>
          <a:spLocks noChangeAspect="1"/>
        </xdr:cNvSpPr>
      </xdr:nvSpPr>
      <xdr:spPr>
        <a:xfrm>
          <a:off x="4936496" y="10230939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6</xdr:col>
      <xdr:colOff>50171</xdr:colOff>
      <xdr:row>43</xdr:row>
      <xdr:rowOff>111896</xdr:rowOff>
    </xdr:from>
    <xdr:to>
      <xdr:col>8</xdr:col>
      <xdr:colOff>215846</xdr:colOff>
      <xdr:row>58</xdr:row>
      <xdr:rowOff>134396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>
          <a:spLocks noChangeAspect="1"/>
        </xdr:cNvSpPr>
      </xdr:nvSpPr>
      <xdr:spPr>
        <a:xfrm>
          <a:off x="4936496" y="13161146"/>
          <a:ext cx="3528000" cy="2880000"/>
        </a:xfrm>
        <a:prstGeom prst="rect">
          <a:avLst/>
        </a:prstGeom>
        <a:ln w="3175">
          <a:prstDash val="sysDash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1</xdr:col>
      <xdr:colOff>53219</xdr:colOff>
      <xdr:row>28</xdr:row>
      <xdr:rowOff>28574</xdr:rowOff>
    </xdr:from>
    <xdr:to>
      <xdr:col>2</xdr:col>
      <xdr:colOff>91205</xdr:colOff>
      <xdr:row>59</xdr:row>
      <xdr:rowOff>28577</xdr:rowOff>
    </xdr:to>
    <xdr:sp macro="" textlink="' '!A158">
      <xdr:nvSpPr>
        <xdr:cNvPr id="7" name="Textfeld 6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SpPr txBox="1"/>
      </xdr:nvSpPr>
      <xdr:spPr>
        <a:xfrm rot="16200000">
          <a:off x="-2261415" y="13001683"/>
          <a:ext cx="5905503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53CA034A-7C8E-4868-AB5B-23C6BEE105E6}" type="TxLink">
            <a:rPr lang="en-US" sz="1600" b="1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Avantages</a:t>
          </a:fld>
          <a:endParaRPr lang="de-CH" sz="16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485775</xdr:colOff>
      <xdr:row>61</xdr:row>
      <xdr:rowOff>10244</xdr:rowOff>
    </xdr:from>
    <xdr:to>
      <xdr:col>8</xdr:col>
      <xdr:colOff>247650</xdr:colOff>
      <xdr:row>62</xdr:row>
      <xdr:rowOff>152110</xdr:rowOff>
    </xdr:to>
    <xdr:sp macro="" textlink="' '!A162">
      <xdr:nvSpPr>
        <xdr:cNvPr id="8" name="Textfeld 7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SpPr txBox="1"/>
      </xdr:nvSpPr>
      <xdr:spPr>
        <a:xfrm>
          <a:off x="1257300" y="16488494"/>
          <a:ext cx="7239000" cy="3323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CE5E82FB-66A0-48DD-BDE6-CB64C1A2D82E}" type="TxLink">
            <a:rPr lang="en-US" sz="1600" b="1">
              <a:solidFill>
                <a:schemeClr val="tx1"/>
              </a:solidFill>
              <a:latin typeface="+mn-lt"/>
              <a:ea typeface="+mn-ea"/>
              <a:cs typeface="+mn-cs"/>
            </a:rPr>
            <a:pPr marL="0" indent="0" algn="ctr"/>
            <a:t>Coûts</a:t>
          </a:fld>
          <a:endParaRPr lang="de-CH" sz="16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280386</xdr:colOff>
      <xdr:row>28</xdr:row>
      <xdr:rowOff>28574</xdr:rowOff>
    </xdr:from>
    <xdr:to>
      <xdr:col>2</xdr:col>
      <xdr:colOff>287082</xdr:colOff>
      <xdr:row>33</xdr:row>
      <xdr:rowOff>171449</xdr:rowOff>
    </xdr:to>
    <xdr:sp macro="" textlink="' '!A159">
      <xdr:nvSpPr>
        <xdr:cNvPr id="9" name="Textfeld 8"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SpPr txBox="1"/>
      </xdr:nvSpPr>
      <xdr:spPr>
        <a:xfrm rot="16200000">
          <a:off x="355171" y="10612264"/>
          <a:ext cx="109537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C901478D-4F9A-4980-824E-05883A774475}" type="TxLink">
            <a:rPr lang="en-US" sz="1400" b="0" i="0" u="none" strike="noStrike">
              <a:solidFill>
                <a:srgbClr val="000000"/>
              </a:solidFill>
              <a:latin typeface="Calibri"/>
            </a:rPr>
            <a:pPr algn="ctr"/>
            <a:t>grands</a:t>
          </a:fld>
          <a:endParaRPr lang="de-CH" sz="1400" b="0"/>
        </a:p>
      </xdr:txBody>
    </xdr:sp>
    <xdr:clientData/>
  </xdr:twoCellAnchor>
  <xdr:twoCellAnchor editAs="oneCell">
    <xdr:from>
      <xdr:col>1</xdr:col>
      <xdr:colOff>280385</xdr:colOff>
      <xdr:row>53</xdr:row>
      <xdr:rowOff>95250</xdr:rowOff>
    </xdr:from>
    <xdr:to>
      <xdr:col>2</xdr:col>
      <xdr:colOff>287081</xdr:colOff>
      <xdr:row>59</xdr:row>
      <xdr:rowOff>28575</xdr:rowOff>
    </xdr:to>
    <xdr:sp macro="" textlink="' '!A160">
      <xdr:nvSpPr>
        <xdr:cNvPr id="10" name="Textfeld 9">
          <a:extLst>
            <a:ext uri="{FF2B5EF4-FFF2-40B4-BE49-F238E27FC236}">
              <a16:creationId xmlns:a16="http://schemas.microsoft.com/office/drawing/2014/main" id="{00000000-0008-0000-1400-00000A000000}"/>
            </a:ext>
          </a:extLst>
        </xdr:cNvPr>
        <xdr:cNvSpPr txBox="1"/>
      </xdr:nvSpPr>
      <xdr:spPr>
        <a:xfrm rot="16200000">
          <a:off x="364695" y="15431915"/>
          <a:ext cx="10763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E5AC0A7D-BC79-40BA-B6F2-70801F83E428}" type="TxLink">
            <a:rPr lang="en-US" sz="1400" b="0" i="0" u="none" strike="noStrike">
              <a:solidFill>
                <a:srgbClr val="000000"/>
              </a:solidFill>
              <a:latin typeface="Calibri"/>
            </a:rPr>
            <a:pPr algn="ctr"/>
            <a:t>petits</a:t>
          </a:fld>
          <a:endParaRPr lang="de-CH" sz="1400" b="0"/>
        </a:p>
      </xdr:txBody>
    </xdr:sp>
    <xdr:clientData/>
  </xdr:twoCellAnchor>
  <xdr:twoCellAnchor editAs="oneCell">
    <xdr:from>
      <xdr:col>7</xdr:col>
      <xdr:colOff>981075</xdr:colOff>
      <xdr:row>60</xdr:row>
      <xdr:rowOff>64726</xdr:rowOff>
    </xdr:from>
    <xdr:to>
      <xdr:col>8</xdr:col>
      <xdr:colOff>257176</xdr:colOff>
      <xdr:row>62</xdr:row>
      <xdr:rowOff>2842</xdr:rowOff>
    </xdr:to>
    <xdr:sp macro="" textlink="' '!A159">
      <xdr:nvSpPr>
        <xdr:cNvPr id="11" name="Textfeld 10">
          <a:extLst>
            <a:ext uri="{FF2B5EF4-FFF2-40B4-BE49-F238E27FC236}">
              <a16:creationId xmlns:a16="http://schemas.microsoft.com/office/drawing/2014/main" id="{00000000-0008-0000-1400-00000B000000}"/>
            </a:ext>
          </a:extLst>
        </xdr:cNvPr>
        <xdr:cNvSpPr txBox="1"/>
      </xdr:nvSpPr>
      <xdr:spPr>
        <a:xfrm>
          <a:off x="7162800" y="16352476"/>
          <a:ext cx="1343026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8F6BF3A6-D9B9-40A6-92B6-8D257A1C3669}" type="TxLink">
            <a:rPr lang="en-US" sz="1400" b="0" i="0" u="none" strike="noStrike">
              <a:solidFill>
                <a:srgbClr val="000000"/>
              </a:solidFill>
              <a:latin typeface="Calibri"/>
            </a:rPr>
            <a:pPr algn="ctr"/>
            <a:t>grands</a:t>
          </a:fld>
          <a:endParaRPr lang="de-CH" sz="1400" b="0"/>
        </a:p>
      </xdr:txBody>
    </xdr:sp>
    <xdr:clientData/>
  </xdr:twoCellAnchor>
  <xdr:twoCellAnchor editAs="oneCell">
    <xdr:from>
      <xdr:col>2</xdr:col>
      <xdr:colOff>457200</xdr:colOff>
      <xdr:row>60</xdr:row>
      <xdr:rowOff>55201</xdr:rowOff>
    </xdr:from>
    <xdr:to>
      <xdr:col>2</xdr:col>
      <xdr:colOff>1800225</xdr:colOff>
      <xdr:row>61</xdr:row>
      <xdr:rowOff>176197</xdr:rowOff>
    </xdr:to>
    <xdr:sp macro="" textlink="' '!A160">
      <xdr:nvSpPr>
        <xdr:cNvPr id="12" name="Textfeld 11">
          <a:extLst>
            <a:ext uri="{FF2B5EF4-FFF2-40B4-BE49-F238E27FC236}">
              <a16:creationId xmlns:a16="http://schemas.microsoft.com/office/drawing/2014/main" id="{00000000-0008-0000-1400-00000C000000}"/>
            </a:ext>
          </a:extLst>
        </xdr:cNvPr>
        <xdr:cNvSpPr txBox="1"/>
      </xdr:nvSpPr>
      <xdr:spPr>
        <a:xfrm>
          <a:off x="1228725" y="16342951"/>
          <a:ext cx="13430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B5FA48B7-3587-4BED-B02E-833F099543A9}" type="TxLink">
            <a:rPr lang="en-US" sz="1400" b="0" i="0" u="none" strike="noStrike">
              <a:solidFill>
                <a:srgbClr val="000000"/>
              </a:solidFill>
              <a:latin typeface="Calibri"/>
            </a:rPr>
            <a:pPr algn="ctr"/>
            <a:t>petits</a:t>
          </a:fld>
          <a:endParaRPr lang="de-CH" sz="1400" b="0"/>
        </a:p>
      </xdr:txBody>
    </xdr:sp>
    <xdr:clientData/>
  </xdr:twoCellAnchor>
  <xdr:twoCellAnchor editAs="oneCell">
    <xdr:from>
      <xdr:col>8</xdr:col>
      <xdr:colOff>314325</xdr:colOff>
      <xdr:row>1</xdr:row>
      <xdr:rowOff>57149</xdr:rowOff>
    </xdr:from>
    <xdr:to>
      <xdr:col>8</xdr:col>
      <xdr:colOff>494325</xdr:colOff>
      <xdr:row>2</xdr:row>
      <xdr:rowOff>61889</xdr:rowOff>
    </xdr:to>
    <xdr:grpSp>
      <xdr:nvGrpSpPr>
        <xdr:cNvPr id="25" name="Gruppieren 2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400-000019000000}"/>
            </a:ext>
          </a:extLst>
        </xdr:cNvPr>
        <xdr:cNvGrpSpPr>
          <a:grpSpLocks noChangeAspect="1"/>
        </xdr:cNvGrpSpPr>
      </xdr:nvGrpSpPr>
      <xdr:grpSpPr>
        <a:xfrm>
          <a:off x="8795385" y="621029"/>
          <a:ext cx="180000" cy="180000"/>
          <a:chOff x="8105775" y="571500"/>
          <a:chExt cx="172800" cy="172800"/>
        </a:xfrm>
      </xdr:grpSpPr>
      <xdr:sp macro="" textlink="">
        <xdr:nvSpPr>
          <xdr:cNvPr id="26" name="Rechteck 25">
            <a:extLst>
              <a:ext uri="{FF2B5EF4-FFF2-40B4-BE49-F238E27FC236}">
                <a16:creationId xmlns:a16="http://schemas.microsoft.com/office/drawing/2014/main" id="{00000000-0008-0000-1400-00001A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7" name="Textfeld 26">
            <a:extLst>
              <a:ext uri="{FF2B5EF4-FFF2-40B4-BE49-F238E27FC236}">
                <a16:creationId xmlns:a16="http://schemas.microsoft.com/office/drawing/2014/main" id="{00000000-0008-0000-1400-00001B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3</xdr:row>
      <xdr:rowOff>0</xdr:rowOff>
    </xdr:from>
    <xdr:to>
      <xdr:col>0</xdr:col>
      <xdr:colOff>381150</xdr:colOff>
      <xdr:row>3</xdr:row>
      <xdr:rowOff>325465</xdr:rowOff>
    </xdr:to>
    <xdr:grpSp>
      <xdr:nvGrpSpPr>
        <xdr:cNvPr id="31" name="Gruppieren 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400-00001F000000}"/>
            </a:ext>
          </a:extLst>
        </xdr:cNvPr>
        <xdr:cNvGrpSpPr/>
      </xdr:nvGrpSpPr>
      <xdr:grpSpPr>
        <a:xfrm>
          <a:off x="57150" y="922020"/>
          <a:ext cx="324000" cy="325465"/>
          <a:chOff x="12382500" y="2152650"/>
          <a:chExt cx="324000" cy="325465"/>
        </a:xfrm>
      </xdr:grpSpPr>
      <xdr:sp macro="" textlink="">
        <xdr:nvSpPr>
          <xdr:cNvPr id="32" name="Rechteck 31">
            <a:extLst>
              <a:ext uri="{FF2B5EF4-FFF2-40B4-BE49-F238E27FC236}">
                <a16:creationId xmlns:a16="http://schemas.microsoft.com/office/drawing/2014/main" id="{00000000-0008-0000-1400-000020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3" name="Grafik 32">
            <a:extLst>
              <a:ext uri="{FF2B5EF4-FFF2-40B4-BE49-F238E27FC236}">
                <a16:creationId xmlns:a16="http://schemas.microsoft.com/office/drawing/2014/main" id="{00000000-0008-0000-1400-00002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57150</xdr:colOff>
      <xdr:row>61</xdr:row>
      <xdr:rowOff>47625</xdr:rowOff>
    </xdr:from>
    <xdr:to>
      <xdr:col>0</xdr:col>
      <xdr:colOff>381150</xdr:colOff>
      <xdr:row>62</xdr:row>
      <xdr:rowOff>182590</xdr:rowOff>
    </xdr:to>
    <xdr:grpSp>
      <xdr:nvGrpSpPr>
        <xdr:cNvPr id="34" name="Gruppieren 3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400-000022000000}"/>
            </a:ext>
          </a:extLst>
        </xdr:cNvPr>
        <xdr:cNvGrpSpPr/>
      </xdr:nvGrpSpPr>
      <xdr:grpSpPr>
        <a:xfrm>
          <a:off x="57150" y="16179165"/>
          <a:ext cx="324000" cy="317845"/>
          <a:chOff x="66675" y="4972050"/>
          <a:chExt cx="324000" cy="325465"/>
        </a:xfrm>
      </xdr:grpSpPr>
      <xdr:sp macro="" textlink="">
        <xdr:nvSpPr>
          <xdr:cNvPr id="35" name="Rechteck 34">
            <a:extLst>
              <a:ext uri="{FF2B5EF4-FFF2-40B4-BE49-F238E27FC236}">
                <a16:creationId xmlns:a16="http://schemas.microsoft.com/office/drawing/2014/main" id="{00000000-0008-0000-1400-000023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6" name="Pfeil nach oben 35">
            <a:extLst>
              <a:ext uri="{FF2B5EF4-FFF2-40B4-BE49-F238E27FC236}">
                <a16:creationId xmlns:a16="http://schemas.microsoft.com/office/drawing/2014/main" id="{00000000-0008-0000-1400-000024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38" name="Gruppieren 3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400-000026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39" name="Rechteck 38">
            <a:extLst>
              <a:ext uri="{FF2B5EF4-FFF2-40B4-BE49-F238E27FC236}">
                <a16:creationId xmlns:a16="http://schemas.microsoft.com/office/drawing/2014/main" id="{00000000-0008-0000-1400-00002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0" name="Pfeil nach links 39">
            <a:extLst>
              <a:ext uri="{FF2B5EF4-FFF2-40B4-BE49-F238E27FC236}">
                <a16:creationId xmlns:a16="http://schemas.microsoft.com/office/drawing/2014/main" id="{00000000-0008-0000-1400-00002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85725</xdr:colOff>
      <xdr:row>27</xdr:row>
      <xdr:rowOff>57149</xdr:rowOff>
    </xdr:from>
    <xdr:to>
      <xdr:col>9</xdr:col>
      <xdr:colOff>85725</xdr:colOff>
      <xdr:row>60</xdr:row>
      <xdr:rowOff>171450</xdr:rowOff>
    </xdr:to>
    <xdr:graphicFrame macro="">
      <xdr:nvGraphicFramePr>
        <xdr:cNvPr id="37" name="Diagramm 36">
          <a:extLst>
            <a:ext uri="{FF2B5EF4-FFF2-40B4-BE49-F238E27FC236}">
              <a16:creationId xmlns:a16="http://schemas.microsoft.com/office/drawing/2014/main" id="{00000000-0008-0000-14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373380</xdr:colOff>
          <xdr:row>0</xdr:row>
          <xdr:rowOff>0</xdr:rowOff>
        </xdr:from>
        <xdr:to>
          <xdr:col>8</xdr:col>
          <xdr:colOff>506730</xdr:colOff>
          <xdr:row>0</xdr:row>
          <xdr:rowOff>533400</xdr:rowOff>
        </xdr:to>
        <xdr:pic>
          <xdr:nvPicPr>
            <xdr:cNvPr id="28" name="Grafik 45">
              <a:extLst>
                <a:ext uri="{FF2B5EF4-FFF2-40B4-BE49-F238E27FC236}">
                  <a16:creationId xmlns:a16="http://schemas.microsoft.com/office/drawing/2014/main" id="{00000000-0008-0000-1400-00001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38246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6728460" y="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342900</xdr:colOff>
      <xdr:row>2</xdr:row>
      <xdr:rowOff>47625</xdr:rowOff>
    </xdr:from>
    <xdr:to>
      <xdr:col>15</xdr:col>
      <xdr:colOff>515700</xdr:colOff>
      <xdr:row>2</xdr:row>
      <xdr:rowOff>220425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pSpPr/>
      </xdr:nvGrpSpPr>
      <xdr:grpSpPr>
        <a:xfrm>
          <a:off x="10919460" y="626745"/>
          <a:ext cx="172800" cy="172800"/>
          <a:chOff x="8105775" y="571500"/>
          <a:chExt cx="172800" cy="172800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1500-00000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Textfeld 3">
            <a:extLst>
              <a:ext uri="{FF2B5EF4-FFF2-40B4-BE49-F238E27FC236}">
                <a16:creationId xmlns:a16="http://schemas.microsoft.com/office/drawing/2014/main" id="{00000000-0008-0000-1500-00000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23</xdr:row>
      <xdr:rowOff>209550</xdr:rowOff>
    </xdr:from>
    <xdr:to>
      <xdr:col>0</xdr:col>
      <xdr:colOff>381150</xdr:colOff>
      <xdr:row>25</xdr:row>
      <xdr:rowOff>58765</xdr:rowOff>
    </xdr:to>
    <xdr:grpSp>
      <xdr:nvGrpSpPr>
        <xdr:cNvPr id="8" name="Gruppieren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GrpSpPr/>
      </xdr:nvGrpSpPr>
      <xdr:grpSpPr>
        <a:xfrm>
          <a:off x="57150" y="7898130"/>
          <a:ext cx="324000" cy="314035"/>
          <a:chOff x="66675" y="497205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1500-000009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Pfeil nach oben 9">
            <a:extLst>
              <a:ext uri="{FF2B5EF4-FFF2-40B4-BE49-F238E27FC236}">
                <a16:creationId xmlns:a16="http://schemas.microsoft.com/office/drawing/2014/main" id="{00000000-0008-0000-1500-00000A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>
    <xdr:from>
      <xdr:col>1</xdr:col>
      <xdr:colOff>282565</xdr:colOff>
      <xdr:row>14</xdr:row>
      <xdr:rowOff>3041</xdr:rowOff>
    </xdr:from>
    <xdr:to>
      <xdr:col>3</xdr:col>
      <xdr:colOff>3014</xdr:colOff>
      <xdr:row>15</xdr:row>
      <xdr:rowOff>1702</xdr:rowOff>
    </xdr:to>
    <xdr:grpSp>
      <xdr:nvGrpSpPr>
        <xdr:cNvPr id="11" name="Gruppieren 10">
          <a:extLst>
            <a:ext uri="{FF2B5EF4-FFF2-40B4-BE49-F238E27FC236}">
              <a16:creationId xmlns:a16="http://schemas.microsoft.com/office/drawing/2014/main" id="{00000000-0008-0000-1500-00000B000000}"/>
            </a:ext>
          </a:extLst>
        </xdr:cNvPr>
        <xdr:cNvGrpSpPr/>
      </xdr:nvGrpSpPr>
      <xdr:grpSpPr>
        <a:xfrm>
          <a:off x="762625" y="4994141"/>
          <a:ext cx="2029309" cy="897821"/>
          <a:chOff x="751488" y="5007329"/>
          <a:chExt cx="1962488" cy="907200"/>
        </a:xfrm>
      </xdr:grpSpPr>
      <xdr:grpSp>
        <xdr:nvGrpSpPr>
          <xdr:cNvPr id="12" name="Gruppieren 11">
            <a:extLst>
              <a:ext uri="{FF2B5EF4-FFF2-40B4-BE49-F238E27FC236}">
                <a16:creationId xmlns:a16="http://schemas.microsoft.com/office/drawing/2014/main" id="{00000000-0008-0000-1500-00000C000000}"/>
              </a:ext>
            </a:extLst>
          </xdr:cNvPr>
          <xdr:cNvGrpSpPr/>
        </xdr:nvGrpSpPr>
        <xdr:grpSpPr>
          <a:xfrm>
            <a:off x="751488" y="5007329"/>
            <a:ext cx="1962488" cy="907200"/>
            <a:chOff x="11053912" y="2677754"/>
            <a:chExt cx="1960174" cy="915987"/>
          </a:xfrm>
        </xdr:grpSpPr>
        <xdr:sp macro="" textlink="">
          <xdr:nvSpPr>
            <xdr:cNvPr id="15" name="Rechteck 14">
              <a:extLst>
                <a:ext uri="{FF2B5EF4-FFF2-40B4-BE49-F238E27FC236}">
                  <a16:creationId xmlns:a16="http://schemas.microsoft.com/office/drawing/2014/main" id="{00000000-0008-0000-1500-00000F000000}"/>
                </a:ext>
              </a:extLst>
            </xdr:cNvPr>
            <xdr:cNvSpPr/>
          </xdr:nvSpPr>
          <xdr:spPr>
            <a:xfrm>
              <a:off x="11053912" y="2677754"/>
              <a:ext cx="1960174" cy="915987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 w="9525">
              <a:solidFill>
                <a:schemeClr val="bg1"/>
              </a:solidFill>
            </a:ln>
          </xdr:spPr>
          <xdr:style>
            <a:lnRef idx="2">
              <a:schemeClr val="accent5"/>
            </a:lnRef>
            <a:fillRef idx="1">
              <a:schemeClr val="lt1"/>
            </a:fillRef>
            <a:effectRef idx="0">
              <a:schemeClr val="accent5"/>
            </a:effectRef>
            <a:fontRef idx="minor">
              <a:schemeClr val="dk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lang="de-CH" sz="1100" baseline="0">
                <a:ln>
                  <a:noFill/>
                </a:ln>
                <a:solidFill>
                  <a:schemeClr val="tx2"/>
                </a:solidFill>
              </a:endParaRPr>
            </a:p>
          </xdr:txBody>
        </xdr:sp>
        <xdr:cxnSp macro="">
          <xdr:nvCxnSpPr>
            <xdr:cNvPr id="16" name="Gerader Verbinder 15">
              <a:extLst>
                <a:ext uri="{FF2B5EF4-FFF2-40B4-BE49-F238E27FC236}">
                  <a16:creationId xmlns:a16="http://schemas.microsoft.com/office/drawing/2014/main" id="{00000000-0008-0000-1500-000010000000}"/>
                </a:ext>
              </a:extLst>
            </xdr:cNvPr>
            <xdr:cNvCxnSpPr/>
          </xdr:nvCxnSpPr>
          <xdr:spPr>
            <a:xfrm>
              <a:off x="11060606" y="2688679"/>
              <a:ext cx="1948539" cy="900742"/>
            </a:xfrm>
            <a:prstGeom prst="line">
              <a:avLst/>
            </a:prstGeom>
            <a:noFill/>
            <a:ln w="9525">
              <a:solidFill>
                <a:schemeClr val="bg1"/>
              </a:solidFill>
            </a:ln>
          </xdr:spPr>
          <xdr:style>
            <a:lnRef idx="2">
              <a:schemeClr val="accent5"/>
            </a:lnRef>
            <a:fillRef idx="1">
              <a:schemeClr val="lt1"/>
            </a:fillRef>
            <a:effectRef idx="0">
              <a:schemeClr val="accent5"/>
            </a:effectRef>
            <a:fontRef idx="minor">
              <a:schemeClr val="dk1"/>
            </a:fontRef>
          </xdr:style>
        </xdr:cxnSp>
      </xdr:grpSp>
      <xdr:sp macro="" textlink="' '!A337">
        <xdr:nvSpPr>
          <xdr:cNvPr id="13" name="Textfeld 12">
            <a:extLst>
              <a:ext uri="{FF2B5EF4-FFF2-40B4-BE49-F238E27FC236}">
                <a16:creationId xmlns:a16="http://schemas.microsoft.com/office/drawing/2014/main" id="{00000000-0008-0000-1500-00000D000000}"/>
              </a:ext>
            </a:extLst>
          </xdr:cNvPr>
          <xdr:cNvSpPr txBox="1"/>
        </xdr:nvSpPr>
        <xdr:spPr>
          <a:xfrm>
            <a:off x="1572269" y="5028279"/>
            <a:ext cx="1063386" cy="1950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t">
            <a:spAutoFit/>
          </a:bodyPr>
          <a:lstStyle/>
          <a:p>
            <a:pPr algn="r"/>
            <a:fld id="{61AE7559-FDA7-42C2-AE55-57E2C9EDFEE1}" type="TxLink">
              <a:rPr lang="en-US" sz="1200" b="0" i="0" u="none" strike="noStrike">
                <a:solidFill>
                  <a:schemeClr val="tx2"/>
                </a:solidFill>
                <a:latin typeface="Calibri"/>
              </a:rPr>
              <a:pPr algn="r"/>
              <a:t>Idée</a:t>
            </a:fld>
            <a:endParaRPr lang="de-CH" sz="1200">
              <a:solidFill>
                <a:schemeClr val="tx2"/>
              </a:solidFill>
            </a:endParaRPr>
          </a:p>
        </xdr:txBody>
      </xdr:sp>
      <xdr:sp macro="" textlink="' '!A338">
        <xdr:nvSpPr>
          <xdr:cNvPr id="14" name="Textfeld 13">
            <a:extLst>
              <a:ext uri="{FF2B5EF4-FFF2-40B4-BE49-F238E27FC236}">
                <a16:creationId xmlns:a16="http://schemas.microsoft.com/office/drawing/2014/main" id="{00000000-0008-0000-1500-00000E000000}"/>
              </a:ext>
            </a:extLst>
          </xdr:cNvPr>
          <xdr:cNvSpPr txBox="1"/>
        </xdr:nvSpPr>
        <xdr:spPr>
          <a:xfrm rot="16200000">
            <a:off x="547898" y="5413958"/>
            <a:ext cx="664310" cy="18787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0" tIns="0" rIns="0" bIns="0" rtlCol="0" anchor="t">
            <a:spAutoFit/>
          </a:bodyPr>
          <a:lstStyle/>
          <a:p>
            <a:pPr marL="0" indent="0"/>
            <a:fld id="{663C0B5F-E8D2-488D-B21E-8C87C23B763C}" type="TxLink">
              <a:rPr lang="en-US" sz="1200" b="0" i="0" u="none" strike="noStrike">
                <a:solidFill>
                  <a:schemeClr val="tx2"/>
                </a:solidFill>
                <a:latin typeface="Calibri"/>
                <a:ea typeface="+mn-ea"/>
                <a:cs typeface="+mn-cs"/>
              </a:rPr>
              <a:pPr marL="0" indent="0"/>
              <a:t>Critère</a:t>
            </a:fld>
            <a:endParaRPr lang="de-CH" sz="1200" b="0" i="0" u="none" strike="noStrike">
              <a:solidFill>
                <a:schemeClr val="tx2"/>
              </a:solidFill>
              <a:latin typeface="Calibri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0</xdr:col>
      <xdr:colOff>466723</xdr:colOff>
      <xdr:row>2</xdr:row>
      <xdr:rowOff>275272</xdr:rowOff>
    </xdr:from>
    <xdr:to>
      <xdr:col>15</xdr:col>
      <xdr:colOff>243840</xdr:colOff>
      <xdr:row>13</xdr:row>
      <xdr:rowOff>1840230</xdr:rowOff>
    </xdr:to>
    <xdr:grpSp>
      <xdr:nvGrpSpPr>
        <xdr:cNvPr id="17" name="Gruppieren 16">
          <a:extLst>
            <a:ext uri="{FF2B5EF4-FFF2-40B4-BE49-F238E27FC236}">
              <a16:creationId xmlns:a16="http://schemas.microsoft.com/office/drawing/2014/main" id="{00000000-0008-0000-1500-000011000000}"/>
            </a:ext>
          </a:extLst>
        </xdr:cNvPr>
        <xdr:cNvGrpSpPr/>
      </xdr:nvGrpSpPr>
      <xdr:grpSpPr>
        <a:xfrm>
          <a:off x="466723" y="854392"/>
          <a:ext cx="10353677" cy="3904298"/>
          <a:chOff x="466723" y="823912"/>
          <a:chExt cx="10353677" cy="3967163"/>
        </a:xfrm>
      </xdr:grpSpPr>
      <xdr:graphicFrame macro="">
        <xdr:nvGraphicFramePr>
          <xdr:cNvPr id="18" name="Diagramm 17">
            <a:extLst>
              <a:ext uri="{FF2B5EF4-FFF2-40B4-BE49-F238E27FC236}">
                <a16:creationId xmlns:a16="http://schemas.microsoft.com/office/drawing/2014/main" id="{00000000-0008-0000-1500-000012000000}"/>
              </a:ext>
            </a:extLst>
          </xdr:cNvPr>
          <xdr:cNvGraphicFramePr/>
        </xdr:nvGraphicFramePr>
        <xdr:xfrm>
          <a:off x="466723" y="823912"/>
          <a:ext cx="10353677" cy="39671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pSp>
        <xdr:nvGrpSpPr>
          <xdr:cNvPr id="19" name="Gruppieren 18">
            <a:extLst>
              <a:ext uri="{FF2B5EF4-FFF2-40B4-BE49-F238E27FC236}">
                <a16:creationId xmlns:a16="http://schemas.microsoft.com/office/drawing/2014/main" id="{00000000-0008-0000-1500-000013000000}"/>
              </a:ext>
            </a:extLst>
          </xdr:cNvPr>
          <xdr:cNvGrpSpPr/>
        </xdr:nvGrpSpPr>
        <xdr:grpSpPr>
          <a:xfrm>
            <a:off x="1323975" y="901781"/>
            <a:ext cx="8839200" cy="286394"/>
            <a:chOff x="1323975" y="901781"/>
            <a:chExt cx="8839200" cy="286394"/>
          </a:xfrm>
        </xdr:grpSpPr>
        <xdr:sp macro="" textlink="$F$25">
          <xdr:nvSpPr>
            <xdr:cNvPr id="20" name="Textfeld 19">
              <a:extLst>
                <a:ext uri="{FF2B5EF4-FFF2-40B4-BE49-F238E27FC236}">
                  <a16:creationId xmlns:a16="http://schemas.microsoft.com/office/drawing/2014/main" id="{00000000-0008-0000-1500-000014000000}"/>
                </a:ext>
              </a:extLst>
            </xdr:cNvPr>
            <xdr:cNvSpPr txBox="1"/>
          </xdr:nvSpPr>
          <xdr:spPr>
            <a:xfrm>
              <a:off x="1323975" y="901781"/>
              <a:ext cx="628650" cy="2863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algn="ctr"/>
              <a:fld id="{F08284F0-04C6-4EE2-9FFF-084B3B4D60CE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</a:rPr>
                <a:pPr algn="ctr"/>
                <a:t>311</a:t>
              </a:fld>
              <a:endParaRPr lang="de-CH" sz="1100" b="1">
                <a:solidFill>
                  <a:schemeClr val="accent2"/>
                </a:solidFill>
              </a:endParaRPr>
            </a:p>
          </xdr:txBody>
        </xdr:sp>
        <xdr:sp macro="" textlink="$H$25">
          <xdr:nvSpPr>
            <xdr:cNvPr id="21" name="Textfeld 20">
              <a:extLst>
                <a:ext uri="{FF2B5EF4-FFF2-40B4-BE49-F238E27FC236}">
                  <a16:creationId xmlns:a16="http://schemas.microsoft.com/office/drawing/2014/main" id="{00000000-0008-0000-1500-000015000000}"/>
                </a:ext>
              </a:extLst>
            </xdr:cNvPr>
            <xdr:cNvSpPr txBox="1"/>
          </xdr:nvSpPr>
          <xdr:spPr>
            <a:xfrm>
              <a:off x="2962275" y="901781"/>
              <a:ext cx="628650" cy="2863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algn="ctr"/>
              <a:fld id="{53C13BB0-3821-41B6-A9E8-DD7C64B272CF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</a:rPr>
                <a:pPr algn="ctr"/>
                <a:t>246</a:t>
              </a:fld>
              <a:endParaRPr lang="de-CH" sz="1100" b="1">
                <a:solidFill>
                  <a:schemeClr val="accent2"/>
                </a:solidFill>
              </a:endParaRPr>
            </a:p>
          </xdr:txBody>
        </xdr:sp>
        <xdr:sp macro="" textlink="$J$25">
          <xdr:nvSpPr>
            <xdr:cNvPr id="22" name="Textfeld 21">
              <a:extLst>
                <a:ext uri="{FF2B5EF4-FFF2-40B4-BE49-F238E27FC236}">
                  <a16:creationId xmlns:a16="http://schemas.microsoft.com/office/drawing/2014/main" id="{00000000-0008-0000-1500-000016000000}"/>
                </a:ext>
              </a:extLst>
            </xdr:cNvPr>
            <xdr:cNvSpPr txBox="1"/>
          </xdr:nvSpPr>
          <xdr:spPr>
            <a:xfrm>
              <a:off x="4600575" y="901781"/>
              <a:ext cx="628650" cy="2863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algn="ctr"/>
              <a:fld id="{7BD00C7D-AD7B-467C-A294-29CFF9C252B7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</a:rPr>
                <a:pPr algn="ctr"/>
                <a:t>224</a:t>
              </a:fld>
              <a:endParaRPr lang="de-CH" sz="1100" b="1">
                <a:solidFill>
                  <a:schemeClr val="accent2"/>
                </a:solidFill>
              </a:endParaRPr>
            </a:p>
          </xdr:txBody>
        </xdr:sp>
        <xdr:sp macro="" textlink="$L$25">
          <xdr:nvSpPr>
            <xdr:cNvPr id="23" name="Textfeld 22">
              <a:extLst>
                <a:ext uri="{FF2B5EF4-FFF2-40B4-BE49-F238E27FC236}">
                  <a16:creationId xmlns:a16="http://schemas.microsoft.com/office/drawing/2014/main" id="{00000000-0008-0000-1500-000017000000}"/>
                </a:ext>
              </a:extLst>
            </xdr:cNvPr>
            <xdr:cNvSpPr txBox="1"/>
          </xdr:nvSpPr>
          <xdr:spPr>
            <a:xfrm>
              <a:off x="6257925" y="901781"/>
              <a:ext cx="628650" cy="2863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marL="0" indent="0" algn="ctr"/>
              <a:fld id="{B186039F-A0E7-4824-A67B-BD5C2D25AC41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  <a:ea typeface="+mn-ea"/>
                  <a:cs typeface="+mn-cs"/>
                </a:rPr>
                <a:pPr marL="0" indent="0" algn="ctr"/>
                <a:t>201</a:t>
              </a:fld>
              <a:endParaRPr lang="de-CH" sz="1200" b="1" i="0" u="none" strike="noStrike">
                <a:solidFill>
                  <a:schemeClr val="accent2"/>
                </a:solidFill>
                <a:latin typeface="Calibri"/>
                <a:ea typeface="+mn-ea"/>
                <a:cs typeface="+mn-cs"/>
              </a:endParaRPr>
            </a:p>
          </xdr:txBody>
        </xdr:sp>
        <xdr:sp macro="" textlink="$N$25">
          <xdr:nvSpPr>
            <xdr:cNvPr id="24" name="Textfeld 23">
              <a:extLst>
                <a:ext uri="{FF2B5EF4-FFF2-40B4-BE49-F238E27FC236}">
                  <a16:creationId xmlns:a16="http://schemas.microsoft.com/office/drawing/2014/main" id="{00000000-0008-0000-1500-000018000000}"/>
                </a:ext>
              </a:extLst>
            </xdr:cNvPr>
            <xdr:cNvSpPr txBox="1"/>
          </xdr:nvSpPr>
          <xdr:spPr>
            <a:xfrm>
              <a:off x="7896225" y="901781"/>
              <a:ext cx="628650" cy="2863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marL="0" indent="0" algn="ctr"/>
              <a:fld id="{E3C91891-0B99-42D4-8F7C-C64D413C62F3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  <a:ea typeface="+mn-ea"/>
                  <a:cs typeface="+mn-cs"/>
                </a:rPr>
                <a:pPr marL="0" indent="0" algn="ctr"/>
                <a:t>174</a:t>
              </a:fld>
              <a:endParaRPr lang="de-CH" sz="1200" b="1" i="0" u="none" strike="noStrike">
                <a:solidFill>
                  <a:schemeClr val="accent2"/>
                </a:solidFill>
                <a:latin typeface="Calibri"/>
                <a:ea typeface="+mn-ea"/>
                <a:cs typeface="+mn-cs"/>
              </a:endParaRPr>
            </a:p>
          </xdr:txBody>
        </xdr:sp>
        <xdr:sp macro="" textlink="$P$25">
          <xdr:nvSpPr>
            <xdr:cNvPr id="25" name="Textfeld 24">
              <a:extLst>
                <a:ext uri="{FF2B5EF4-FFF2-40B4-BE49-F238E27FC236}">
                  <a16:creationId xmlns:a16="http://schemas.microsoft.com/office/drawing/2014/main" id="{00000000-0008-0000-1500-000019000000}"/>
                </a:ext>
              </a:extLst>
            </xdr:cNvPr>
            <xdr:cNvSpPr txBox="1"/>
          </xdr:nvSpPr>
          <xdr:spPr>
            <a:xfrm>
              <a:off x="9534525" y="901781"/>
              <a:ext cx="628650" cy="2863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marL="0" indent="0" algn="ctr"/>
              <a:fld id="{90422D15-6717-43D4-9F6A-15A313FFBFE2}" type="TxLink">
                <a:rPr lang="en-US" sz="1200" b="1" i="0" u="none" strike="noStrike">
                  <a:solidFill>
                    <a:schemeClr val="accent2"/>
                  </a:solidFill>
                  <a:latin typeface="Calibri"/>
                  <a:ea typeface="+mn-ea"/>
                  <a:cs typeface="+mn-cs"/>
                </a:rPr>
                <a:pPr marL="0" indent="0" algn="ctr"/>
                <a:t>231</a:t>
              </a:fld>
              <a:endParaRPr lang="de-CH" sz="1200" b="1" i="0" u="none" strike="noStrike">
                <a:solidFill>
                  <a:schemeClr val="accent2"/>
                </a:solidFill>
                <a:latin typeface="Calibri"/>
                <a:ea typeface="+mn-ea"/>
                <a:cs typeface="+mn-cs"/>
              </a:endParaRPr>
            </a:p>
          </xdr:txBody>
        </xdr:sp>
      </xdr:grpSp>
    </xdr:grpSp>
    <xdr:clientData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26" name="Gruppieren 2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500-00001A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27" name="Rechteck 26">
            <a:extLst>
              <a:ext uri="{FF2B5EF4-FFF2-40B4-BE49-F238E27FC236}">
                <a16:creationId xmlns:a16="http://schemas.microsoft.com/office/drawing/2014/main" id="{00000000-0008-0000-1500-00001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8" name="Pfeil nach links 27">
            <a:extLst>
              <a:ext uri="{FF2B5EF4-FFF2-40B4-BE49-F238E27FC236}">
                <a16:creationId xmlns:a16="http://schemas.microsoft.com/office/drawing/2014/main" id="{00000000-0008-0000-1500-00001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350520</xdr:colOff>
          <xdr:row>0</xdr:row>
          <xdr:rowOff>0</xdr:rowOff>
        </xdr:from>
        <xdr:to>
          <xdr:col>16</xdr:col>
          <xdr:colOff>1905</xdr:colOff>
          <xdr:row>0</xdr:row>
          <xdr:rowOff>533400</xdr:rowOff>
        </xdr:to>
        <xdr:pic>
          <xdr:nvPicPr>
            <xdr:cNvPr id="29" name="Grafik 45">
              <a:extLst>
                <a:ext uri="{FF2B5EF4-FFF2-40B4-BE49-F238E27FC236}">
                  <a16:creationId xmlns:a16="http://schemas.microsoft.com/office/drawing/2014/main" id="{00000000-0008-0000-1500-00001D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39270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862060" y="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792480</xdr:colOff>
      <xdr:row>1</xdr:row>
      <xdr:rowOff>57150</xdr:rowOff>
    </xdr:from>
    <xdr:to>
      <xdr:col>10</xdr:col>
      <xdr:colOff>965280</xdr:colOff>
      <xdr:row>1</xdr:row>
      <xdr:rowOff>229950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/>
      </xdr:nvGrpSpPr>
      <xdr:grpSpPr>
        <a:xfrm>
          <a:off x="10309860" y="621030"/>
          <a:ext cx="172800" cy="172800"/>
          <a:chOff x="8105775" y="571500"/>
          <a:chExt cx="172800" cy="172800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Textfeld 3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11" name="Gruppieren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600-00000B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1600-00000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links 12">
            <a:extLst>
              <a:ext uri="{FF2B5EF4-FFF2-40B4-BE49-F238E27FC236}">
                <a16:creationId xmlns:a16="http://schemas.microsoft.com/office/drawing/2014/main" id="{00000000-0008-0000-1600-00000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0</xdr:row>
          <xdr:rowOff>7620</xdr:rowOff>
        </xdr:from>
        <xdr:to>
          <xdr:col>10</xdr:col>
          <xdr:colOff>979170</xdr:colOff>
          <xdr:row>0</xdr:row>
          <xdr:rowOff>541020</xdr:rowOff>
        </xdr:to>
        <xdr:pic>
          <xdr:nvPicPr>
            <xdr:cNvPr id="8" name="Grafik 45">
              <a:extLst>
                <a:ext uri="{FF2B5EF4-FFF2-40B4-BE49-F238E27FC236}">
                  <a16:creationId xmlns:a16="http://schemas.microsoft.com/office/drawing/2014/main" id="{00000000-0008-0000-1600-00000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40294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8237220" y="762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460375</xdr:colOff>
      <xdr:row>24</xdr:row>
      <xdr:rowOff>161925</xdr:rowOff>
    </xdr:from>
    <xdr:to>
      <xdr:col>7</xdr:col>
      <xdr:colOff>447675</xdr:colOff>
      <xdr:row>47</xdr:row>
      <xdr:rowOff>171450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316230</xdr:colOff>
      <xdr:row>1</xdr:row>
      <xdr:rowOff>57150</xdr:rowOff>
    </xdr:from>
    <xdr:to>
      <xdr:col>7</xdr:col>
      <xdr:colOff>489030</xdr:colOff>
      <xdr:row>2</xdr:row>
      <xdr:rowOff>48975</xdr:rowOff>
    </xdr:to>
    <xdr:grpSp>
      <xdr:nvGrpSpPr>
        <xdr:cNvPr id="3" name="Gruppier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GrpSpPr/>
      </xdr:nvGrpSpPr>
      <xdr:grpSpPr>
        <a:xfrm>
          <a:off x="8271510" y="621030"/>
          <a:ext cx="172800" cy="167085"/>
          <a:chOff x="8105775" y="571500"/>
          <a:chExt cx="172800" cy="172800"/>
        </a:xfrm>
      </xdr:grpSpPr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1700-000004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" name="Textfeld 4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6" name="Gruppieren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1700-00000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" name="Pfeil nach links 7">
            <a:extLst>
              <a:ext uri="{FF2B5EF4-FFF2-40B4-BE49-F238E27FC236}">
                <a16:creationId xmlns:a16="http://schemas.microsoft.com/office/drawing/2014/main" id="{00000000-0008-0000-1700-00000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76200</xdr:colOff>
      <xdr:row>3</xdr:row>
      <xdr:rowOff>0</xdr:rowOff>
    </xdr:from>
    <xdr:to>
      <xdr:col>0</xdr:col>
      <xdr:colOff>400200</xdr:colOff>
      <xdr:row>3</xdr:row>
      <xdr:rowOff>325465</xdr:rowOff>
    </xdr:to>
    <xdr:grpSp>
      <xdr:nvGrpSpPr>
        <xdr:cNvPr id="9" name="Gruppieren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700-000009000000}"/>
            </a:ext>
          </a:extLst>
        </xdr:cNvPr>
        <xdr:cNvGrpSpPr/>
      </xdr:nvGrpSpPr>
      <xdr:grpSpPr>
        <a:xfrm>
          <a:off x="76200" y="868680"/>
          <a:ext cx="324000" cy="325465"/>
          <a:chOff x="12382500" y="2152650"/>
          <a:chExt cx="324000" cy="325465"/>
        </a:xfrm>
      </xdr:grpSpPr>
      <xdr:sp macro="" textlink="">
        <xdr:nvSpPr>
          <xdr:cNvPr id="10" name="Rechteck 9">
            <a:extLst>
              <a:ext uri="{FF2B5EF4-FFF2-40B4-BE49-F238E27FC236}">
                <a16:creationId xmlns:a16="http://schemas.microsoft.com/office/drawing/2014/main" id="{00000000-0008-0000-1700-00000A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1" name="Grafik 10">
            <a:extLst>
              <a:ext uri="{FF2B5EF4-FFF2-40B4-BE49-F238E27FC236}">
                <a16:creationId xmlns:a16="http://schemas.microsoft.com/office/drawing/2014/main" id="{00000000-0008-0000-17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76200</xdr:colOff>
      <xdr:row>70</xdr:row>
      <xdr:rowOff>180975</xdr:rowOff>
    </xdr:from>
    <xdr:to>
      <xdr:col>0</xdr:col>
      <xdr:colOff>400200</xdr:colOff>
      <xdr:row>72</xdr:row>
      <xdr:rowOff>125440</xdr:rowOff>
    </xdr:to>
    <xdr:grpSp>
      <xdr:nvGrpSpPr>
        <xdr:cNvPr id="12" name="Gruppieren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700-00000C000000}"/>
            </a:ext>
          </a:extLst>
        </xdr:cNvPr>
        <xdr:cNvGrpSpPr/>
      </xdr:nvGrpSpPr>
      <xdr:grpSpPr>
        <a:xfrm>
          <a:off x="76200" y="15641955"/>
          <a:ext cx="324000" cy="310225"/>
          <a:chOff x="66675" y="4972050"/>
          <a:chExt cx="324000" cy="325465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1700-00000D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" name="Pfeil nach oben 13">
            <a:extLst>
              <a:ext uri="{FF2B5EF4-FFF2-40B4-BE49-F238E27FC236}">
                <a16:creationId xmlns:a16="http://schemas.microsoft.com/office/drawing/2014/main" id="{00000000-0008-0000-1700-00000E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>
    <xdr:from>
      <xdr:col>0</xdr:col>
      <xdr:colOff>447674</xdr:colOff>
      <xdr:row>49</xdr:row>
      <xdr:rowOff>133355</xdr:rowOff>
    </xdr:from>
    <xdr:to>
      <xdr:col>7</xdr:col>
      <xdr:colOff>457199</xdr:colOff>
      <xdr:row>72</xdr:row>
      <xdr:rowOff>142874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00000000-0008-0000-17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609600</xdr:colOff>
          <xdr:row>0</xdr:row>
          <xdr:rowOff>7620</xdr:rowOff>
        </xdr:from>
        <xdr:to>
          <xdr:col>8</xdr:col>
          <xdr:colOff>3810</xdr:colOff>
          <xdr:row>0</xdr:row>
          <xdr:rowOff>541020</xdr:rowOff>
        </xdr:to>
        <xdr:pic>
          <xdr:nvPicPr>
            <xdr:cNvPr id="16" name="Grafik 45">
              <a:extLst>
                <a:ext uri="{FF2B5EF4-FFF2-40B4-BE49-F238E27FC236}">
                  <a16:creationId xmlns:a16="http://schemas.microsoft.com/office/drawing/2014/main" id="{00000000-0008-0000-1700-00001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41318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6210300" y="7620"/>
              <a:ext cx="225933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485775</xdr:rowOff>
    </xdr:from>
    <xdr:to>
      <xdr:col>10</xdr:col>
      <xdr:colOff>247650</xdr:colOff>
      <xdr:row>23</xdr:row>
      <xdr:rowOff>102870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276225</xdr:colOff>
      <xdr:row>1</xdr:row>
      <xdr:rowOff>57150</xdr:rowOff>
    </xdr:from>
    <xdr:to>
      <xdr:col>6</xdr:col>
      <xdr:colOff>449025</xdr:colOff>
      <xdr:row>1</xdr:row>
      <xdr:rowOff>229950</xdr:rowOff>
    </xdr:to>
    <xdr:grpSp>
      <xdr:nvGrpSpPr>
        <xdr:cNvPr id="3" name="Gruppier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GrpSpPr/>
      </xdr:nvGrpSpPr>
      <xdr:grpSpPr>
        <a:xfrm>
          <a:off x="6875145" y="621030"/>
          <a:ext cx="172800" cy="172800"/>
          <a:chOff x="8105775" y="571500"/>
          <a:chExt cx="172800" cy="172800"/>
        </a:xfrm>
      </xdr:grpSpPr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1800-000004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" name="Textfeld 4">
            <a:extLst>
              <a:ext uri="{FF2B5EF4-FFF2-40B4-BE49-F238E27FC236}">
                <a16:creationId xmlns:a16="http://schemas.microsoft.com/office/drawing/2014/main" id="{00000000-0008-0000-1800-00000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9" name="Gruppieren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10" name="Rechteck 9">
            <a:extLst>
              <a:ext uri="{FF2B5EF4-FFF2-40B4-BE49-F238E27FC236}">
                <a16:creationId xmlns:a16="http://schemas.microsoft.com/office/drawing/2014/main" id="{00000000-0008-0000-1800-00000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" name="Pfeil nach links 10">
            <a:extLst>
              <a:ext uri="{FF2B5EF4-FFF2-40B4-BE49-F238E27FC236}">
                <a16:creationId xmlns:a16="http://schemas.microsoft.com/office/drawing/2014/main" id="{00000000-0008-0000-1800-00000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971550</xdr:colOff>
          <xdr:row>0</xdr:row>
          <xdr:rowOff>9525</xdr:rowOff>
        </xdr:from>
        <xdr:to>
          <xdr:col>7</xdr:col>
          <xdr:colOff>32385</xdr:colOff>
          <xdr:row>0</xdr:row>
          <xdr:rowOff>542925</xdr:rowOff>
        </xdr:to>
        <xdr:pic>
          <xdr:nvPicPr>
            <xdr:cNvPr id="12" name="Grafik 45">
              <a:extLst>
                <a:ext uri="{FF2B5EF4-FFF2-40B4-BE49-F238E27FC236}">
                  <a16:creationId xmlns:a16="http://schemas.microsoft.com/office/drawing/2014/main" id="{00000000-0008-0000-1800-00000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31750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4743450" y="9525"/>
              <a:ext cx="217551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84</xdr:row>
      <xdr:rowOff>285750</xdr:rowOff>
    </xdr:from>
    <xdr:to>
      <xdr:col>0</xdr:col>
      <xdr:colOff>381150</xdr:colOff>
      <xdr:row>86</xdr:row>
      <xdr:rowOff>1656</xdr:rowOff>
    </xdr:to>
    <xdr:grpSp>
      <xdr:nvGrpSpPr>
        <xdr:cNvPr id="5" name="Gruppieren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GrpSpPr/>
      </xdr:nvGrpSpPr>
      <xdr:grpSpPr>
        <a:xfrm>
          <a:off x="57150" y="24243030"/>
          <a:ext cx="324000" cy="325506"/>
          <a:chOff x="66675" y="4972050"/>
          <a:chExt cx="324000" cy="325465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" name="Pfeil nach oben 6">
            <a:extLst>
              <a:ext uri="{FF2B5EF4-FFF2-40B4-BE49-F238E27FC236}">
                <a16:creationId xmlns:a16="http://schemas.microsoft.com/office/drawing/2014/main" id="{00000000-0008-0000-1900-000007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13</xdr:col>
      <xdr:colOff>133350</xdr:colOff>
      <xdr:row>2</xdr:row>
      <xdr:rowOff>47625</xdr:rowOff>
    </xdr:from>
    <xdr:to>
      <xdr:col>14</xdr:col>
      <xdr:colOff>1350</xdr:colOff>
      <xdr:row>2</xdr:row>
      <xdr:rowOff>220425</xdr:rowOff>
    </xdr:to>
    <xdr:grpSp>
      <xdr:nvGrpSpPr>
        <xdr:cNvPr id="8" name="Gruppieren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GrpSpPr/>
      </xdr:nvGrpSpPr>
      <xdr:grpSpPr>
        <a:xfrm>
          <a:off x="11083290" y="619125"/>
          <a:ext cx="180420" cy="172800"/>
          <a:chOff x="8105775" y="571500"/>
          <a:chExt cx="172800" cy="172800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1900-000009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Textfeld 9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>
    <xdr:from>
      <xdr:col>0</xdr:col>
      <xdr:colOff>76199</xdr:colOff>
      <xdr:row>6</xdr:row>
      <xdr:rowOff>47624</xdr:rowOff>
    </xdr:from>
    <xdr:to>
      <xdr:col>0</xdr:col>
      <xdr:colOff>256199</xdr:colOff>
      <xdr:row>7</xdr:row>
      <xdr:rowOff>27599</xdr:rowOff>
    </xdr:to>
    <xdr:grpSp>
      <xdr:nvGrpSpPr>
        <xdr:cNvPr id="11" name="Gruppieren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900-00000B000000}"/>
            </a:ext>
          </a:extLst>
        </xdr:cNvPr>
        <xdr:cNvGrpSpPr>
          <a:grpSpLocks noChangeAspect="1"/>
        </xdr:cNvGrpSpPr>
      </xdr:nvGrpSpPr>
      <xdr:grpSpPr>
        <a:xfrm>
          <a:off x="76199" y="1297304"/>
          <a:ext cx="180000" cy="178095"/>
          <a:chOff x="12020550" y="217170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1900-00000C000000}"/>
              </a:ext>
            </a:extLst>
          </xdr:cNvPr>
          <xdr:cNvSpPr>
            <a:spLocks noChangeAspect="1"/>
          </xdr:cNvSpPr>
        </xdr:nvSpPr>
        <xdr:spPr>
          <a:xfrm>
            <a:off x="12020550" y="21717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rechts 12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/>
        </xdr:nvSpPr>
        <xdr:spPr>
          <a:xfrm>
            <a:off x="12115800" y="2247900"/>
            <a:ext cx="162000" cy="180000"/>
          </a:xfrm>
          <a:prstGeom prst="righ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 editAs="oneCell">
    <xdr:from>
      <xdr:col>0</xdr:col>
      <xdr:colOff>76200</xdr:colOff>
      <xdr:row>0</xdr:row>
      <xdr:rowOff>104775</xdr:rowOff>
    </xdr:from>
    <xdr:to>
      <xdr:col>1</xdr:col>
      <xdr:colOff>150</xdr:colOff>
      <xdr:row>0</xdr:row>
      <xdr:rowOff>430240</xdr:rowOff>
    </xdr:to>
    <xdr:grpSp>
      <xdr:nvGrpSpPr>
        <xdr:cNvPr id="14" name="Gruppieren 1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900-00000E000000}"/>
            </a:ext>
          </a:extLst>
        </xdr:cNvPr>
        <xdr:cNvGrpSpPr/>
      </xdr:nvGrpSpPr>
      <xdr:grpSpPr>
        <a:xfrm>
          <a:off x="76200" y="104775"/>
          <a:ext cx="335430" cy="325465"/>
          <a:chOff x="9191625" y="3009900"/>
          <a:chExt cx="324000" cy="325465"/>
        </a:xfrm>
      </xdr:grpSpPr>
      <xdr:sp macro="" textlink="">
        <xdr:nvSpPr>
          <xdr:cNvPr id="15" name="Rechteck 14">
            <a:extLst>
              <a:ext uri="{FF2B5EF4-FFF2-40B4-BE49-F238E27FC236}">
                <a16:creationId xmlns:a16="http://schemas.microsoft.com/office/drawing/2014/main" id="{00000000-0008-0000-1900-00000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" name="Pfeil nach links 15">
            <a:extLst>
              <a:ext uri="{FF2B5EF4-FFF2-40B4-BE49-F238E27FC236}">
                <a16:creationId xmlns:a16="http://schemas.microsoft.com/office/drawing/2014/main" id="{00000000-0008-0000-1900-00001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0</xdr:row>
          <xdr:rowOff>9525</xdr:rowOff>
        </xdr:from>
        <xdr:to>
          <xdr:col>14</xdr:col>
          <xdr:colOff>3810</xdr:colOff>
          <xdr:row>0</xdr:row>
          <xdr:rowOff>542925</xdr:rowOff>
        </xdr:to>
        <xdr:pic>
          <xdr:nvPicPr>
            <xdr:cNvPr id="17" name="Grafik 45">
              <a:extLst>
                <a:ext uri="{FF2B5EF4-FFF2-40B4-BE49-F238E27FC236}">
                  <a16:creationId xmlns:a16="http://schemas.microsoft.com/office/drawing/2014/main" id="{00000000-0008-0000-1900-000011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43365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772525" y="9525"/>
              <a:ext cx="217551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173404</xdr:colOff>
      <xdr:row>40</xdr:row>
      <xdr:rowOff>151982</xdr:rowOff>
    </xdr:from>
    <xdr:to>
      <xdr:col>5</xdr:col>
      <xdr:colOff>1892425</xdr:colOff>
      <xdr:row>49</xdr:row>
      <xdr:rowOff>129482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SpPr>
          <a:spLocks noChangeAspect="1"/>
        </xdr:cNvSpPr>
      </xdr:nvSpPr>
      <xdr:spPr>
        <a:xfrm>
          <a:off x="3659554" y="9962732"/>
          <a:ext cx="2481021" cy="16920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de-CH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361259</xdr:colOff>
      <xdr:row>40</xdr:row>
      <xdr:rowOff>151982</xdr:rowOff>
    </xdr:from>
    <xdr:to>
      <xdr:col>4</xdr:col>
      <xdr:colOff>127655</xdr:colOff>
      <xdr:row>49</xdr:row>
      <xdr:rowOff>129482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>
          <a:spLocks noChangeAspect="1"/>
        </xdr:cNvSpPr>
      </xdr:nvSpPr>
      <xdr:spPr>
        <a:xfrm>
          <a:off x="1132784" y="9962732"/>
          <a:ext cx="2481021" cy="1692000"/>
        </a:xfrm>
        <a:prstGeom prst="rect">
          <a:avLst/>
        </a:prstGeom>
        <a:solidFill>
          <a:srgbClr val="FFFFCC"/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de-CH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1935461</xdr:colOff>
      <xdr:row>40</xdr:row>
      <xdr:rowOff>151983</xdr:rowOff>
    </xdr:from>
    <xdr:to>
      <xdr:col>8</xdr:col>
      <xdr:colOff>1025582</xdr:colOff>
      <xdr:row>49</xdr:row>
      <xdr:rowOff>129483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SpPr>
          <a:spLocks noChangeAspect="1"/>
        </xdr:cNvSpPr>
      </xdr:nvSpPr>
      <xdr:spPr>
        <a:xfrm>
          <a:off x="6183611" y="10057983"/>
          <a:ext cx="2481021" cy="16920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de-CH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173404</xdr:colOff>
      <xdr:row>31</xdr:row>
      <xdr:rowOff>137903</xdr:rowOff>
    </xdr:from>
    <xdr:to>
      <xdr:col>5</xdr:col>
      <xdr:colOff>1892425</xdr:colOff>
      <xdr:row>40</xdr:row>
      <xdr:rowOff>115403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SpPr>
          <a:spLocks noChangeAspect="1"/>
        </xdr:cNvSpPr>
      </xdr:nvSpPr>
      <xdr:spPr>
        <a:xfrm>
          <a:off x="3659554" y="8234153"/>
          <a:ext cx="2481021" cy="1692000"/>
        </a:xfrm>
        <a:prstGeom prst="rect">
          <a:avLst/>
        </a:prstGeom>
        <a:solidFill>
          <a:srgbClr val="FFFFCC"/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de-CH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361259</xdr:colOff>
      <xdr:row>31</xdr:row>
      <xdr:rowOff>137903</xdr:rowOff>
    </xdr:from>
    <xdr:to>
      <xdr:col>4</xdr:col>
      <xdr:colOff>127655</xdr:colOff>
      <xdr:row>40</xdr:row>
      <xdr:rowOff>115403</xdr:rowOff>
    </xdr:to>
    <xdr:sp macro="" textlink="">
      <xdr:nvSpPr>
        <xdr:cNvPr id="6" name="Rechteck 5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SpPr>
          <a:spLocks noChangeAspect="1"/>
        </xdr:cNvSpPr>
      </xdr:nvSpPr>
      <xdr:spPr>
        <a:xfrm>
          <a:off x="1132784" y="8234153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1935461</xdr:colOff>
      <xdr:row>31</xdr:row>
      <xdr:rowOff>137904</xdr:rowOff>
    </xdr:from>
    <xdr:to>
      <xdr:col>8</xdr:col>
      <xdr:colOff>1025582</xdr:colOff>
      <xdr:row>40</xdr:row>
      <xdr:rowOff>115404</xdr:rowOff>
    </xdr:to>
    <xdr:sp macro="" textlink="">
      <xdr:nvSpPr>
        <xdr:cNvPr id="7" name="Rechteck 6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SpPr>
          <a:spLocks noChangeAspect="1"/>
        </xdr:cNvSpPr>
      </xdr:nvSpPr>
      <xdr:spPr>
        <a:xfrm>
          <a:off x="6183611" y="8329404"/>
          <a:ext cx="2481021" cy="16920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de-CH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163879</xdr:colOff>
      <xdr:row>22</xdr:row>
      <xdr:rowOff>114299</xdr:rowOff>
    </xdr:from>
    <xdr:to>
      <xdr:col>5</xdr:col>
      <xdr:colOff>1882900</xdr:colOff>
      <xdr:row>31</xdr:row>
      <xdr:rowOff>91799</xdr:rowOff>
    </xdr:to>
    <xdr:sp macro="" textlink="">
      <xdr:nvSpPr>
        <xdr:cNvPr id="8" name="Rechteck 7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SpPr>
          <a:spLocks noChangeAspect="1"/>
        </xdr:cNvSpPr>
      </xdr:nvSpPr>
      <xdr:spPr>
        <a:xfrm>
          <a:off x="3650029" y="6591299"/>
          <a:ext cx="2481021" cy="1692000"/>
        </a:xfrm>
        <a:prstGeom prst="rect">
          <a:avLst/>
        </a:prstGeom>
        <a:gradFill>
          <a:gsLst>
            <a:gs pos="0">
              <a:schemeClr val="accent2">
                <a:lumMod val="60000"/>
                <a:lumOff val="40000"/>
              </a:schemeClr>
            </a:gs>
            <a:gs pos="50000">
              <a:schemeClr val="accent2">
                <a:lumMod val="20000"/>
                <a:lumOff val="80000"/>
              </a:schemeClr>
            </a:gs>
            <a:gs pos="100000">
              <a:srgbClr val="FFFFCC"/>
            </a:gs>
          </a:gsLst>
          <a:lin ang="5400000" scaled="0"/>
        </a:gra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de-CH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361259</xdr:colOff>
      <xdr:row>22</xdr:row>
      <xdr:rowOff>114299</xdr:rowOff>
    </xdr:from>
    <xdr:to>
      <xdr:col>4</xdr:col>
      <xdr:colOff>127655</xdr:colOff>
      <xdr:row>31</xdr:row>
      <xdr:rowOff>91799</xdr:rowOff>
    </xdr:to>
    <xdr:sp macro="" textlink="">
      <xdr:nvSpPr>
        <xdr:cNvPr id="9" name="Rechteck 8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SpPr>
          <a:spLocks noChangeAspect="1"/>
        </xdr:cNvSpPr>
      </xdr:nvSpPr>
      <xdr:spPr>
        <a:xfrm>
          <a:off x="1132784" y="6496049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de-CH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1935461</xdr:colOff>
      <xdr:row>22</xdr:row>
      <xdr:rowOff>114300</xdr:rowOff>
    </xdr:from>
    <xdr:to>
      <xdr:col>8</xdr:col>
      <xdr:colOff>1025582</xdr:colOff>
      <xdr:row>31</xdr:row>
      <xdr:rowOff>91800</xdr:rowOff>
    </xdr:to>
    <xdr:sp macro="" textlink="">
      <xdr:nvSpPr>
        <xdr:cNvPr id="10" name="Rechteck 9">
          <a:extLst>
            <a:ext uri="{FF2B5EF4-FFF2-40B4-BE49-F238E27FC236}">
              <a16:creationId xmlns:a16="http://schemas.microsoft.com/office/drawing/2014/main" id="{00000000-0008-0000-1A00-00000A000000}"/>
            </a:ext>
          </a:extLst>
        </xdr:cNvPr>
        <xdr:cNvSpPr>
          <a:spLocks noChangeAspect="1"/>
        </xdr:cNvSpPr>
      </xdr:nvSpPr>
      <xdr:spPr>
        <a:xfrm>
          <a:off x="6183611" y="6591300"/>
          <a:ext cx="2481021" cy="1692000"/>
        </a:xfrm>
        <a:prstGeom prst="rect">
          <a:avLst/>
        </a:prstGeom>
        <a:gradFill>
          <a:gsLst>
            <a:gs pos="0">
              <a:schemeClr val="accent2">
                <a:lumMod val="60000"/>
                <a:lumOff val="40000"/>
              </a:schemeClr>
            </a:gs>
            <a:gs pos="50000">
              <a:schemeClr val="accent2">
                <a:lumMod val="20000"/>
                <a:lumOff val="80000"/>
              </a:schemeClr>
            </a:gs>
            <a:gs pos="100000">
              <a:schemeClr val="accent3">
                <a:lumMod val="40000"/>
                <a:lumOff val="60000"/>
              </a:schemeClr>
            </a:gs>
          </a:gsLst>
          <a:lin ang="5400000" scaled="0"/>
        </a:gra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de-CH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224265</xdr:colOff>
      <xdr:row>22</xdr:row>
      <xdr:rowOff>133350</xdr:rowOff>
    </xdr:from>
    <xdr:to>
      <xdr:col>1</xdr:col>
      <xdr:colOff>100326</xdr:colOff>
      <xdr:row>50</xdr:row>
      <xdr:rowOff>19052</xdr:rowOff>
    </xdr:to>
    <xdr:sp macro="" textlink="' '!A419">
      <xdr:nvSpPr>
        <xdr:cNvPr id="11" name="Textfeld 10">
          <a:extLst>
            <a:ext uri="{FF2B5EF4-FFF2-40B4-BE49-F238E27FC236}">
              <a16:creationId xmlns:a16="http://schemas.microsoft.com/office/drawing/2014/main" id="{00000000-0008-0000-1A00-00000B000000}"/>
            </a:ext>
          </a:extLst>
        </xdr:cNvPr>
        <xdr:cNvSpPr txBox="1"/>
      </xdr:nvSpPr>
      <xdr:spPr>
        <a:xfrm rot="16200000">
          <a:off x="-2214193" y="8867833"/>
          <a:ext cx="5219702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96C23EC8-15B6-4976-9DD3-0E25CF93B680}" type="TxLink">
            <a:rPr lang="en-US" sz="1600" b="1" i="0" u="none" strike="noStrike">
              <a:solidFill>
                <a:schemeClr val="tx2"/>
              </a:solidFill>
              <a:latin typeface="Calibri"/>
              <a:ea typeface="+mn-ea"/>
              <a:cs typeface="+mn-cs"/>
            </a:rPr>
            <a:pPr marL="0" indent="0" algn="ctr"/>
            <a:t>Risque</a:t>
          </a:fld>
          <a:endParaRPr lang="de-CH" sz="1600" b="1" i="0" u="none" strike="noStrike">
            <a:solidFill>
              <a:schemeClr val="tx2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314325</xdr:colOff>
      <xdr:row>53</xdr:row>
      <xdr:rowOff>7284</xdr:rowOff>
    </xdr:from>
    <xdr:to>
      <xdr:col>8</xdr:col>
      <xdr:colOff>1038225</xdr:colOff>
      <xdr:row>54</xdr:row>
      <xdr:rowOff>159570</xdr:rowOff>
    </xdr:to>
    <xdr:sp macro="" textlink="' '!A420">
      <xdr:nvSpPr>
        <xdr:cNvPr id="12" name="Textfeld 11">
          <a:extLst>
            <a:ext uri="{FF2B5EF4-FFF2-40B4-BE49-F238E27FC236}">
              <a16:creationId xmlns:a16="http://schemas.microsoft.com/office/drawing/2014/main" id="{00000000-0008-0000-1A00-00000C000000}"/>
            </a:ext>
          </a:extLst>
        </xdr:cNvPr>
        <xdr:cNvSpPr txBox="1"/>
      </xdr:nvSpPr>
      <xdr:spPr>
        <a:xfrm>
          <a:off x="1085850" y="12208809"/>
          <a:ext cx="759142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indent="0" algn="ctr"/>
          <a:fld id="{FFC6470E-E27C-4863-B666-E99A36501FE0}" type="TxLink">
            <a:rPr lang="en-US" sz="1600" b="1" i="0" u="none" strike="noStrike">
              <a:solidFill>
                <a:schemeClr val="tx2"/>
              </a:solidFill>
              <a:latin typeface="Calibri"/>
              <a:ea typeface="+mn-ea"/>
              <a:cs typeface="+mn-cs"/>
            </a:rPr>
            <a:pPr marL="0" indent="0" algn="ctr"/>
            <a:t>Rentabilité</a:t>
          </a:fld>
          <a:endParaRPr lang="de-CH" sz="1600" b="1" i="0" u="none" strike="noStrike">
            <a:solidFill>
              <a:schemeClr val="tx2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94500</xdr:colOff>
      <xdr:row>22</xdr:row>
      <xdr:rowOff>133349</xdr:rowOff>
    </xdr:from>
    <xdr:to>
      <xdr:col>2</xdr:col>
      <xdr:colOff>101196</xdr:colOff>
      <xdr:row>27</xdr:row>
      <xdr:rowOff>142874</xdr:rowOff>
    </xdr:to>
    <xdr:sp macro="" textlink="' '!A110">
      <xdr:nvSpPr>
        <xdr:cNvPr id="13" name="Textfeld 12">
          <a:extLst>
            <a:ext uri="{FF2B5EF4-FFF2-40B4-BE49-F238E27FC236}">
              <a16:creationId xmlns:a16="http://schemas.microsoft.com/office/drawing/2014/main" id="{00000000-0008-0000-1A00-00000D000000}"/>
            </a:ext>
          </a:extLst>
        </xdr:cNvPr>
        <xdr:cNvSpPr txBox="1"/>
      </xdr:nvSpPr>
      <xdr:spPr>
        <a:xfrm rot="16200000">
          <a:off x="235960" y="6754639"/>
          <a:ext cx="9620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E793A3AD-497F-400B-87B6-F8005DB08AB7}" type="TxLink">
            <a:rPr lang="de-CH" sz="1400" b="0" i="0" u="none" strike="noStrike">
              <a:solidFill>
                <a:srgbClr val="000000"/>
              </a:solidFill>
              <a:latin typeface="Calibri"/>
            </a:rPr>
            <a:pPr algn="ctr"/>
            <a:t>élevée</a:t>
          </a:fld>
          <a:endParaRPr lang="de-CH" sz="1400" b="0"/>
        </a:p>
      </xdr:txBody>
    </xdr:sp>
    <xdr:clientData/>
  </xdr:twoCellAnchor>
  <xdr:twoCellAnchor editAs="oneCell">
    <xdr:from>
      <xdr:col>1</xdr:col>
      <xdr:colOff>94504</xdr:colOff>
      <xdr:row>45</xdr:row>
      <xdr:rowOff>28575</xdr:rowOff>
    </xdr:from>
    <xdr:to>
      <xdr:col>2</xdr:col>
      <xdr:colOff>101200</xdr:colOff>
      <xdr:row>50</xdr:row>
      <xdr:rowOff>28575</xdr:rowOff>
    </xdr:to>
    <xdr:sp macro="" textlink="' '!A112">
      <xdr:nvSpPr>
        <xdr:cNvPr id="14" name="Textfeld 13">
          <a:extLst>
            <a:ext uri="{FF2B5EF4-FFF2-40B4-BE49-F238E27FC236}">
              <a16:creationId xmlns:a16="http://schemas.microsoft.com/office/drawing/2014/main" id="{00000000-0008-0000-1A00-00000E000000}"/>
            </a:ext>
          </a:extLst>
        </xdr:cNvPr>
        <xdr:cNvSpPr txBox="1"/>
      </xdr:nvSpPr>
      <xdr:spPr>
        <a:xfrm rot="16200000">
          <a:off x="240727" y="11026602"/>
          <a:ext cx="9525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9A6B5979-172E-4330-88C7-F9077EE8AE73}" type="TxLink">
            <a:rPr lang="de-CH" sz="1400" b="0" i="0" u="none" strike="noStrike">
              <a:solidFill>
                <a:srgbClr val="000000"/>
              </a:solidFill>
              <a:latin typeface="Calibri"/>
            </a:rPr>
            <a:pPr algn="ctr"/>
            <a:t>faible</a:t>
          </a:fld>
          <a:endParaRPr lang="de-CH" sz="1400" b="0"/>
        </a:p>
      </xdr:txBody>
    </xdr:sp>
    <xdr:clientData/>
  </xdr:twoCellAnchor>
  <xdr:twoCellAnchor editAs="oneCell">
    <xdr:from>
      <xdr:col>7</xdr:col>
      <xdr:colOff>142875</xdr:colOff>
      <xdr:row>51</xdr:row>
      <xdr:rowOff>86294</xdr:rowOff>
    </xdr:from>
    <xdr:to>
      <xdr:col>8</xdr:col>
      <xdr:colOff>1076325</xdr:colOff>
      <xdr:row>53</xdr:row>
      <xdr:rowOff>16790</xdr:rowOff>
    </xdr:to>
    <xdr:sp macro="" textlink="' '!A110">
      <xdr:nvSpPr>
        <xdr:cNvPr id="15" name="Textfeld 14">
          <a:extLst>
            <a:ext uri="{FF2B5EF4-FFF2-40B4-BE49-F238E27FC236}">
              <a16:creationId xmlns:a16="http://schemas.microsoft.com/office/drawing/2014/main" id="{00000000-0008-0000-1A00-00000F000000}"/>
            </a:ext>
          </a:extLst>
        </xdr:cNvPr>
        <xdr:cNvSpPr txBox="1"/>
      </xdr:nvSpPr>
      <xdr:spPr>
        <a:xfrm>
          <a:off x="7315200" y="11906819"/>
          <a:ext cx="140017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A6C8FDB9-875E-491B-8B4D-DB081B59F70E}" type="TxLink">
            <a:rPr lang="de-CH" sz="1400" b="0" i="0" u="none" strike="noStrike">
              <a:solidFill>
                <a:srgbClr val="000000"/>
              </a:solidFill>
              <a:latin typeface="Calibri"/>
            </a:rPr>
            <a:pPr algn="ctr"/>
            <a:t>élevée</a:t>
          </a:fld>
          <a:endParaRPr lang="de-CH" sz="1400" b="0"/>
        </a:p>
      </xdr:txBody>
    </xdr:sp>
    <xdr:clientData/>
  </xdr:twoCellAnchor>
  <xdr:twoCellAnchor editAs="oneCell">
    <xdr:from>
      <xdr:col>2</xdr:col>
      <xdr:colOff>295275</xdr:colOff>
      <xdr:row>51</xdr:row>
      <xdr:rowOff>78011</xdr:rowOff>
    </xdr:from>
    <xdr:to>
      <xdr:col>2</xdr:col>
      <xdr:colOff>1666875</xdr:colOff>
      <xdr:row>53</xdr:row>
      <xdr:rowOff>8507</xdr:rowOff>
    </xdr:to>
    <xdr:sp macro="" textlink="' '!A112">
      <xdr:nvSpPr>
        <xdr:cNvPr id="16" name="Textfeld 15">
          <a:extLst>
            <a:ext uri="{FF2B5EF4-FFF2-40B4-BE49-F238E27FC236}">
              <a16:creationId xmlns:a16="http://schemas.microsoft.com/office/drawing/2014/main" id="{00000000-0008-0000-1A00-000010000000}"/>
            </a:ext>
          </a:extLst>
        </xdr:cNvPr>
        <xdr:cNvSpPr txBox="1"/>
      </xdr:nvSpPr>
      <xdr:spPr>
        <a:xfrm>
          <a:off x="1066800" y="11898536"/>
          <a:ext cx="13716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83A8F04D-2197-4039-8C46-B0008972DD21}" type="TxLink">
            <a:rPr lang="de-CH" sz="1400" b="0" i="0" u="none" strike="noStrike">
              <a:solidFill>
                <a:srgbClr val="000000"/>
              </a:solidFill>
              <a:latin typeface="Calibri"/>
            </a:rPr>
            <a:pPr algn="ctr"/>
            <a:t>faible</a:t>
          </a:fld>
          <a:endParaRPr lang="de-CH" sz="1400" b="0"/>
        </a:p>
      </xdr:txBody>
    </xdr:sp>
    <xdr:clientData/>
  </xdr:twoCellAnchor>
  <xdr:twoCellAnchor editAs="oneCell">
    <xdr:from>
      <xdr:col>4</xdr:col>
      <xdr:colOff>342900</xdr:colOff>
      <xdr:row>51</xdr:row>
      <xdr:rowOff>86294</xdr:rowOff>
    </xdr:from>
    <xdr:to>
      <xdr:col>5</xdr:col>
      <xdr:colOff>1695450</xdr:colOff>
      <xdr:row>53</xdr:row>
      <xdr:rowOff>16790</xdr:rowOff>
    </xdr:to>
    <xdr:sp macro="" textlink="' '!A111">
      <xdr:nvSpPr>
        <xdr:cNvPr id="17" name="Textfeld 16">
          <a:extLst>
            <a:ext uri="{FF2B5EF4-FFF2-40B4-BE49-F238E27FC236}">
              <a16:creationId xmlns:a16="http://schemas.microsoft.com/office/drawing/2014/main" id="{00000000-0008-0000-1A00-000011000000}"/>
            </a:ext>
          </a:extLst>
        </xdr:cNvPr>
        <xdr:cNvSpPr txBox="1"/>
      </xdr:nvSpPr>
      <xdr:spPr>
        <a:xfrm>
          <a:off x="3829050" y="11906819"/>
          <a:ext cx="211455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A0A47CA1-CBB4-485B-A1D9-78BE76C65FD1}" type="TxLink">
            <a:rPr lang="de-CH" sz="1400" b="0" i="0" u="none" strike="noStrike">
              <a:solidFill>
                <a:srgbClr val="000000"/>
              </a:solidFill>
              <a:latin typeface="Calibri"/>
            </a:rPr>
            <a:pPr algn="ctr"/>
            <a:t>moyenne</a:t>
          </a:fld>
          <a:endParaRPr lang="de-CH" sz="1400" b="0"/>
        </a:p>
      </xdr:txBody>
    </xdr:sp>
    <xdr:clientData/>
  </xdr:twoCellAnchor>
  <xdr:twoCellAnchor editAs="oneCell">
    <xdr:from>
      <xdr:col>1</xdr:col>
      <xdr:colOff>94505</xdr:colOff>
      <xdr:row>32</xdr:row>
      <xdr:rowOff>114300</xdr:rowOff>
    </xdr:from>
    <xdr:to>
      <xdr:col>2</xdr:col>
      <xdr:colOff>101201</xdr:colOff>
      <xdr:row>40</xdr:row>
      <xdr:rowOff>28578</xdr:rowOff>
    </xdr:to>
    <xdr:sp macro="" textlink="' '!A111">
      <xdr:nvSpPr>
        <xdr:cNvPr id="18" name="Textfeld 17">
          <a:extLst>
            <a:ext uri="{FF2B5EF4-FFF2-40B4-BE49-F238E27FC236}">
              <a16:creationId xmlns:a16="http://schemas.microsoft.com/office/drawing/2014/main" id="{00000000-0008-0000-1A00-000012000000}"/>
            </a:ext>
          </a:extLst>
        </xdr:cNvPr>
        <xdr:cNvSpPr txBox="1"/>
      </xdr:nvSpPr>
      <xdr:spPr>
        <a:xfrm rot="16200000">
          <a:off x="-2161" y="8878716"/>
          <a:ext cx="143827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7FE7408E-BD4E-4A7B-8428-C749697BCCA7}" type="TxLink">
            <a:rPr lang="de-CH" sz="1400" b="0" i="0" u="none" strike="noStrike">
              <a:solidFill>
                <a:srgbClr val="000000"/>
              </a:solidFill>
              <a:latin typeface="Calibri"/>
            </a:rPr>
            <a:pPr algn="ctr"/>
            <a:t>moyenne</a:t>
          </a:fld>
          <a:endParaRPr lang="de-CH" sz="1400" b="0"/>
        </a:p>
      </xdr:txBody>
    </xdr:sp>
    <xdr:clientData/>
  </xdr:twoCellAnchor>
  <xdr:twoCellAnchor editAs="oneCell">
    <xdr:from>
      <xdr:col>34</xdr:col>
      <xdr:colOff>597748</xdr:colOff>
      <xdr:row>15</xdr:row>
      <xdr:rowOff>287826</xdr:rowOff>
    </xdr:from>
    <xdr:to>
      <xdr:col>37</xdr:col>
      <xdr:colOff>784518</xdr:colOff>
      <xdr:row>23</xdr:row>
      <xdr:rowOff>8997</xdr:rowOff>
    </xdr:to>
    <xdr:grpSp>
      <xdr:nvGrpSpPr>
        <xdr:cNvPr id="19" name="Gruppieren 18">
          <a:extLst>
            <a:ext uri="{FF2B5EF4-FFF2-40B4-BE49-F238E27FC236}">
              <a16:creationId xmlns:a16="http://schemas.microsoft.com/office/drawing/2014/main" id="{00000000-0008-0000-1A00-000013000000}"/>
            </a:ext>
          </a:extLst>
        </xdr:cNvPr>
        <xdr:cNvGrpSpPr/>
      </xdr:nvGrpSpPr>
      <xdr:grpSpPr>
        <a:xfrm rot="16200000">
          <a:off x="26391837" y="4295557"/>
          <a:ext cx="1641411" cy="2769950"/>
          <a:chOff x="5281924" y="3738354"/>
          <a:chExt cx="2025886" cy="999921"/>
        </a:xfrm>
      </xdr:grpSpPr>
      <xdr:sp macro="" textlink="">
        <xdr:nvSpPr>
          <xdr:cNvPr id="20" name="Rechteck 19">
            <a:extLst>
              <a:ext uri="{FF2B5EF4-FFF2-40B4-BE49-F238E27FC236}">
                <a16:creationId xmlns:a16="http://schemas.microsoft.com/office/drawing/2014/main" id="{00000000-0008-0000-1A00-000014000000}"/>
              </a:ext>
            </a:extLst>
          </xdr:cNvPr>
          <xdr:cNvSpPr>
            <a:spLocks noChangeAspect="1"/>
          </xdr:cNvSpPr>
        </xdr:nvSpPr>
        <xdr:spPr>
          <a:xfrm>
            <a:off x="5419727" y="3738354"/>
            <a:ext cx="250562" cy="252000"/>
          </a:xfrm>
          <a:prstGeom prst="rect">
            <a:avLst/>
          </a:prstGeom>
          <a:solidFill>
            <a:schemeClr val="accent2">
              <a:lumMod val="20000"/>
              <a:lumOff val="8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21" name="Rechteck 20">
            <a:extLst>
              <a:ext uri="{FF2B5EF4-FFF2-40B4-BE49-F238E27FC236}">
                <a16:creationId xmlns:a16="http://schemas.microsoft.com/office/drawing/2014/main" id="{00000000-0008-0000-1A00-000015000000}"/>
              </a:ext>
            </a:extLst>
          </xdr:cNvPr>
          <xdr:cNvSpPr>
            <a:spLocks noChangeAspect="1"/>
          </xdr:cNvSpPr>
        </xdr:nvSpPr>
        <xdr:spPr>
          <a:xfrm>
            <a:off x="5420199" y="4486275"/>
            <a:ext cx="250562" cy="252000"/>
          </a:xfrm>
          <a:prstGeom prst="rect">
            <a:avLst/>
          </a:prstGeom>
          <a:solidFill>
            <a:schemeClr val="accent2">
              <a:lumMod val="60000"/>
              <a:lumOff val="4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22" name="Rechteck 21">
            <a:extLst>
              <a:ext uri="{FF2B5EF4-FFF2-40B4-BE49-F238E27FC236}">
                <a16:creationId xmlns:a16="http://schemas.microsoft.com/office/drawing/2014/main" id="{00000000-0008-0000-1A00-000016000000}"/>
              </a:ext>
            </a:extLst>
          </xdr:cNvPr>
          <xdr:cNvSpPr>
            <a:spLocks noChangeAspect="1"/>
          </xdr:cNvSpPr>
        </xdr:nvSpPr>
        <xdr:spPr>
          <a:xfrm>
            <a:off x="5419727" y="4105275"/>
            <a:ext cx="250562" cy="252000"/>
          </a:xfrm>
          <a:prstGeom prst="rect">
            <a:avLst/>
          </a:prstGeom>
          <a:solidFill>
            <a:schemeClr val="accent2">
              <a:lumMod val="40000"/>
              <a:lumOff val="6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' '!A114">
        <xdr:nvSpPr>
          <xdr:cNvPr id="23" name="Textfeld 22">
            <a:extLst>
              <a:ext uri="{FF2B5EF4-FFF2-40B4-BE49-F238E27FC236}">
                <a16:creationId xmlns:a16="http://schemas.microsoft.com/office/drawing/2014/main" id="{00000000-0008-0000-1A00-000017000000}"/>
              </a:ext>
            </a:extLst>
          </xdr:cNvPr>
          <xdr:cNvSpPr txBox="1"/>
        </xdr:nvSpPr>
        <xdr:spPr>
          <a:xfrm>
            <a:off x="5281924" y="3832241"/>
            <a:ext cx="2025886" cy="9550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2455219B-7CCB-479F-8EBB-53EB1B59C06C}" type="TxLink">
              <a:rPr lang="de-CH" sz="1100"/>
              <a:pPr/>
              <a:t>Aucune action nécessaire</a:t>
            </a:fld>
            <a:endParaRPr lang="de-CH" sz="1100"/>
          </a:p>
        </xdr:txBody>
      </xdr:sp>
      <xdr:sp macro="" textlink="' '!A115">
        <xdr:nvSpPr>
          <xdr:cNvPr id="24" name="Textfeld 23">
            <a:extLst>
              <a:ext uri="{FF2B5EF4-FFF2-40B4-BE49-F238E27FC236}">
                <a16:creationId xmlns:a16="http://schemas.microsoft.com/office/drawing/2014/main" id="{00000000-0008-0000-1A00-000018000000}"/>
              </a:ext>
            </a:extLst>
          </xdr:cNvPr>
          <xdr:cNvSpPr txBox="1"/>
        </xdr:nvSpPr>
        <xdr:spPr>
          <a:xfrm>
            <a:off x="5461481" y="4194202"/>
            <a:ext cx="1468429" cy="9550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38C86722-4BE2-4C64-8837-096B9A69CBF6}" type="TxLink">
              <a:rPr lang="de-CH" sz="1100"/>
              <a:pPr/>
              <a:t>Action nécessaire</a:t>
            </a:fld>
            <a:endParaRPr lang="de-CH" sz="1100"/>
          </a:p>
        </xdr:txBody>
      </xdr:sp>
      <xdr:sp macro="" textlink="' '!A116">
        <xdr:nvSpPr>
          <xdr:cNvPr id="25" name="Textfeld 24">
            <a:extLst>
              <a:ext uri="{FF2B5EF4-FFF2-40B4-BE49-F238E27FC236}">
                <a16:creationId xmlns:a16="http://schemas.microsoft.com/office/drawing/2014/main" id="{00000000-0008-0000-1A00-000019000000}"/>
              </a:ext>
            </a:extLst>
          </xdr:cNvPr>
          <xdr:cNvSpPr txBox="1"/>
        </xdr:nvSpPr>
        <xdr:spPr>
          <a:xfrm>
            <a:off x="5696980" y="4575202"/>
            <a:ext cx="1280472" cy="9550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0B08217B-D988-41BF-ACA6-265C229D1F55}" type="TxLink">
              <a:rPr lang="de-CH" sz="1100"/>
              <a:pPr/>
              <a:t>Action urgente</a:t>
            </a:fld>
            <a:endParaRPr lang="de-CH" sz="1100"/>
          </a:p>
        </xdr:txBody>
      </xdr:sp>
    </xdr:grpSp>
    <xdr:clientData/>
  </xdr:twoCellAnchor>
  <xdr:twoCellAnchor editAs="oneCell">
    <xdr:from>
      <xdr:col>9</xdr:col>
      <xdr:colOff>295275</xdr:colOff>
      <xdr:row>1</xdr:row>
      <xdr:rowOff>57150</xdr:rowOff>
    </xdr:from>
    <xdr:to>
      <xdr:col>10</xdr:col>
      <xdr:colOff>1350</xdr:colOff>
      <xdr:row>1</xdr:row>
      <xdr:rowOff>229950</xdr:rowOff>
    </xdr:to>
    <xdr:grpSp>
      <xdr:nvGrpSpPr>
        <xdr:cNvPr id="26" name="Gruppieren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A00-00001A000000}"/>
            </a:ext>
          </a:extLst>
        </xdr:cNvPr>
        <xdr:cNvGrpSpPr/>
      </xdr:nvGrpSpPr>
      <xdr:grpSpPr>
        <a:xfrm>
          <a:off x="9926955" y="621030"/>
          <a:ext cx="186135" cy="172800"/>
          <a:chOff x="8105775" y="571500"/>
          <a:chExt cx="172800" cy="172800"/>
        </a:xfrm>
      </xdr:grpSpPr>
      <xdr:sp macro="" textlink="">
        <xdr:nvSpPr>
          <xdr:cNvPr id="27" name="Rechteck 26">
            <a:extLst>
              <a:ext uri="{FF2B5EF4-FFF2-40B4-BE49-F238E27FC236}">
                <a16:creationId xmlns:a16="http://schemas.microsoft.com/office/drawing/2014/main" id="{00000000-0008-0000-1A00-00001B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8" name="Textfeld 27">
            <a:extLst>
              <a:ext uri="{FF2B5EF4-FFF2-40B4-BE49-F238E27FC236}">
                <a16:creationId xmlns:a16="http://schemas.microsoft.com/office/drawing/2014/main" id="{00000000-0008-0000-1A00-00001C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53</xdr:row>
      <xdr:rowOff>66675</xdr:rowOff>
    </xdr:from>
    <xdr:to>
      <xdr:col>0</xdr:col>
      <xdr:colOff>381150</xdr:colOff>
      <xdr:row>56</xdr:row>
      <xdr:rowOff>1615</xdr:rowOff>
    </xdr:to>
    <xdr:grpSp>
      <xdr:nvGrpSpPr>
        <xdr:cNvPr id="29" name="Gruppieren 2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A00-00001D000000}"/>
            </a:ext>
          </a:extLst>
        </xdr:cNvPr>
        <xdr:cNvGrpSpPr/>
      </xdr:nvGrpSpPr>
      <xdr:grpSpPr>
        <a:xfrm>
          <a:off x="57150" y="12045315"/>
          <a:ext cx="324000" cy="308320"/>
          <a:chOff x="66675" y="4972050"/>
          <a:chExt cx="324000" cy="325465"/>
        </a:xfrm>
      </xdr:grpSpPr>
      <xdr:sp macro="" textlink="">
        <xdr:nvSpPr>
          <xdr:cNvPr id="30" name="Rechteck 29">
            <a:extLst>
              <a:ext uri="{FF2B5EF4-FFF2-40B4-BE49-F238E27FC236}">
                <a16:creationId xmlns:a16="http://schemas.microsoft.com/office/drawing/2014/main" id="{00000000-0008-0000-1A00-00001E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1" name="Pfeil nach oben 30">
            <a:extLst>
              <a:ext uri="{FF2B5EF4-FFF2-40B4-BE49-F238E27FC236}">
                <a16:creationId xmlns:a16="http://schemas.microsoft.com/office/drawing/2014/main" id="{00000000-0008-0000-1A00-00001F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3</xdr:row>
      <xdr:rowOff>0</xdr:rowOff>
    </xdr:from>
    <xdr:to>
      <xdr:col>0</xdr:col>
      <xdr:colOff>381150</xdr:colOff>
      <xdr:row>3</xdr:row>
      <xdr:rowOff>325465</xdr:rowOff>
    </xdr:to>
    <xdr:grpSp>
      <xdr:nvGrpSpPr>
        <xdr:cNvPr id="32" name="Gruppieren 3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A00-000020000000}"/>
            </a:ext>
          </a:extLst>
        </xdr:cNvPr>
        <xdr:cNvGrpSpPr/>
      </xdr:nvGrpSpPr>
      <xdr:grpSpPr>
        <a:xfrm>
          <a:off x="57150" y="937260"/>
          <a:ext cx="324000" cy="325465"/>
          <a:chOff x="12382500" y="2152650"/>
          <a:chExt cx="324000" cy="325465"/>
        </a:xfrm>
      </xdr:grpSpPr>
      <xdr:sp macro="" textlink="">
        <xdr:nvSpPr>
          <xdr:cNvPr id="33" name="Rechteck 32">
            <a:extLst>
              <a:ext uri="{FF2B5EF4-FFF2-40B4-BE49-F238E27FC236}">
                <a16:creationId xmlns:a16="http://schemas.microsoft.com/office/drawing/2014/main" id="{00000000-0008-0000-1A00-000021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4" name="Grafik 33">
            <a:extLst>
              <a:ext uri="{FF2B5EF4-FFF2-40B4-BE49-F238E27FC236}">
                <a16:creationId xmlns:a16="http://schemas.microsoft.com/office/drawing/2014/main" id="{00000000-0008-0000-1A00-00002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36" name="Gruppieren 3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A00-000024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37" name="Rechteck 36">
            <a:extLst>
              <a:ext uri="{FF2B5EF4-FFF2-40B4-BE49-F238E27FC236}">
                <a16:creationId xmlns:a16="http://schemas.microsoft.com/office/drawing/2014/main" id="{00000000-0008-0000-1A00-00002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8" name="Pfeil nach links 37">
            <a:extLst>
              <a:ext uri="{FF2B5EF4-FFF2-40B4-BE49-F238E27FC236}">
                <a16:creationId xmlns:a16="http://schemas.microsoft.com/office/drawing/2014/main" id="{00000000-0008-0000-1A00-00002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8</xdr:col>
      <xdr:colOff>1133475</xdr:colOff>
      <xdr:row>43</xdr:row>
      <xdr:rowOff>31749</xdr:rowOff>
    </xdr:from>
    <xdr:to>
      <xdr:col>9</xdr:col>
      <xdr:colOff>438151</xdr:colOff>
      <xdr:row>45</xdr:row>
      <xdr:rowOff>1270</xdr:rowOff>
    </xdr:to>
    <xdr:sp macro="" textlink="' '!A422">
      <xdr:nvSpPr>
        <xdr:cNvPr id="40" name="Rechteck 39">
          <a:extLst>
            <a:ext uri="{FF2B5EF4-FFF2-40B4-BE49-F238E27FC236}">
              <a16:creationId xmlns:a16="http://schemas.microsoft.com/office/drawing/2014/main" id="{00000000-0008-0000-1A00-000028000000}"/>
            </a:ext>
          </a:extLst>
        </xdr:cNvPr>
        <xdr:cNvSpPr>
          <a:spLocks noChangeAspect="1"/>
        </xdr:cNvSpPr>
      </xdr:nvSpPr>
      <xdr:spPr>
        <a:xfrm>
          <a:off x="8772525" y="10509249"/>
          <a:ext cx="1038226" cy="34290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0" bIns="0" rtlCol="0" anchor="ctr"/>
        <a:lstStyle/>
        <a:p>
          <a:pPr algn="ctr"/>
          <a:fld id="{F1C50A9F-B1B7-4F8F-A0CF-DFA57B63E61D}" type="TxLink">
            <a:rPr lang="en-US" sz="900" b="0" i="0" u="none" strike="noStrike">
              <a:solidFill>
                <a:srgbClr val="000000"/>
              </a:solidFill>
              <a:latin typeface="Calibri"/>
            </a:rPr>
            <a:pPr algn="ctr"/>
            <a:t>Diminuer le risque</a:t>
          </a:fld>
          <a:endParaRPr lang="de-CH" sz="900"/>
        </a:p>
      </xdr:txBody>
    </xdr:sp>
    <xdr:clientData/>
  </xdr:twoCellAnchor>
  <xdr:twoCellAnchor editAs="oneCell">
    <xdr:from>
      <xdr:col>8</xdr:col>
      <xdr:colOff>1133475</xdr:colOff>
      <xdr:row>45</xdr:row>
      <xdr:rowOff>82549</xdr:rowOff>
    </xdr:from>
    <xdr:to>
      <xdr:col>9</xdr:col>
      <xdr:colOff>438151</xdr:colOff>
      <xdr:row>47</xdr:row>
      <xdr:rowOff>44450</xdr:rowOff>
    </xdr:to>
    <xdr:sp macro="" textlink="' '!A424">
      <xdr:nvSpPr>
        <xdr:cNvPr id="42" name="Rechteck 41">
          <a:extLst>
            <a:ext uri="{FF2B5EF4-FFF2-40B4-BE49-F238E27FC236}">
              <a16:creationId xmlns:a16="http://schemas.microsoft.com/office/drawing/2014/main" id="{00000000-0008-0000-1A00-00002A000000}"/>
            </a:ext>
          </a:extLst>
        </xdr:cNvPr>
        <xdr:cNvSpPr>
          <a:spLocks noChangeAspect="1"/>
        </xdr:cNvSpPr>
      </xdr:nvSpPr>
      <xdr:spPr>
        <a:xfrm>
          <a:off x="8772525" y="10941049"/>
          <a:ext cx="1038226" cy="342901"/>
        </a:xfrm>
        <a:prstGeom prst="rect">
          <a:avLst/>
        </a:prstGeom>
        <a:solidFill>
          <a:srgbClr val="FFFFCC"/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36000" tIns="0" rIns="0" bIns="0" rtlCol="0" anchor="ctr"/>
        <a:lstStyle/>
        <a:p>
          <a:pPr algn="ctr"/>
          <a:fld id="{688A7D89-493D-4272-A629-306305632A0E}" type="TxLink">
            <a:rPr lang="en-US" sz="900" b="0" i="0" u="none" strike="noStrike">
              <a:solidFill>
                <a:srgbClr val="000000"/>
              </a:solidFill>
              <a:latin typeface="Calibri"/>
            </a:rPr>
            <a:pPr algn="ctr"/>
            <a:t>Augmenter la rentabilité</a:t>
          </a:fld>
          <a:endParaRPr lang="de-CH" sz="900"/>
        </a:p>
      </xdr:txBody>
    </xdr:sp>
    <xdr:clientData/>
  </xdr:twoCellAnchor>
  <xdr:twoCellAnchor editAs="oneCell">
    <xdr:from>
      <xdr:col>8</xdr:col>
      <xdr:colOff>1133475</xdr:colOff>
      <xdr:row>47</xdr:row>
      <xdr:rowOff>133349</xdr:rowOff>
    </xdr:from>
    <xdr:to>
      <xdr:col>9</xdr:col>
      <xdr:colOff>438151</xdr:colOff>
      <xdr:row>49</xdr:row>
      <xdr:rowOff>95250</xdr:rowOff>
    </xdr:to>
    <xdr:sp macro="" textlink="' '!A425">
      <xdr:nvSpPr>
        <xdr:cNvPr id="43" name="Rechteck 42">
          <a:extLst>
            <a:ext uri="{FF2B5EF4-FFF2-40B4-BE49-F238E27FC236}">
              <a16:creationId xmlns:a16="http://schemas.microsoft.com/office/drawing/2014/main" id="{00000000-0008-0000-1A00-00002B000000}"/>
            </a:ext>
          </a:extLst>
        </xdr:cNvPr>
        <xdr:cNvSpPr>
          <a:spLocks noChangeAspect="1"/>
        </xdr:cNvSpPr>
      </xdr:nvSpPr>
      <xdr:spPr>
        <a:xfrm>
          <a:off x="8772525" y="11372849"/>
          <a:ext cx="1038226" cy="342901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fld id="{2CED8DBE-0239-43E2-8F95-3E651E075319}" type="TxLink">
            <a:rPr lang="en-US" sz="900">
              <a:solidFill>
                <a:schemeClr val="dk1"/>
              </a:solidFill>
              <a:latin typeface="+mn-lt"/>
              <a:ea typeface="+mn-ea"/>
              <a:cs typeface="+mn-cs"/>
            </a:rPr>
            <a:pPr marL="0" indent="0" algn="ctr"/>
            <a:t>promouvoir</a:t>
          </a:fld>
          <a:endParaRPr lang="de-CH" sz="9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190499</xdr:colOff>
      <xdr:row>21</xdr:row>
      <xdr:rowOff>142875</xdr:rowOff>
    </xdr:from>
    <xdr:to>
      <xdr:col>9</xdr:col>
      <xdr:colOff>209550</xdr:colOff>
      <xdr:row>51</xdr:row>
      <xdr:rowOff>152398</xdr:rowOff>
    </xdr:to>
    <xdr:graphicFrame macro="">
      <xdr:nvGraphicFramePr>
        <xdr:cNvPr id="35" name="Diagramm 34">
          <a:extLst>
            <a:ext uri="{FF2B5EF4-FFF2-40B4-BE49-F238E27FC236}">
              <a16:creationId xmlns:a16="http://schemas.microsoft.com/office/drawing/2014/main" id="{00000000-0008-0000-1A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0</xdr:row>
          <xdr:rowOff>9525</xdr:rowOff>
        </xdr:from>
        <xdr:to>
          <xdr:col>11</xdr:col>
          <xdr:colOff>3810</xdr:colOff>
          <xdr:row>0</xdr:row>
          <xdr:rowOff>542925</xdr:rowOff>
        </xdr:to>
        <xdr:pic>
          <xdr:nvPicPr>
            <xdr:cNvPr id="44" name="Grafik 45">
              <a:extLst>
                <a:ext uri="{FF2B5EF4-FFF2-40B4-BE49-F238E27FC236}">
                  <a16:creationId xmlns:a16="http://schemas.microsoft.com/office/drawing/2014/main" id="{00000000-0008-0000-1A00-00002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44389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7677150" y="9525"/>
              <a:ext cx="217551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173404</xdr:colOff>
      <xdr:row>40</xdr:row>
      <xdr:rowOff>151982</xdr:rowOff>
    </xdr:from>
    <xdr:to>
      <xdr:col>5</xdr:col>
      <xdr:colOff>1825750</xdr:colOff>
      <xdr:row>49</xdr:row>
      <xdr:rowOff>129482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>
          <a:spLocks noChangeAspect="1"/>
        </xdr:cNvSpPr>
      </xdr:nvSpPr>
      <xdr:spPr>
        <a:xfrm>
          <a:off x="3659554" y="9962732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361259</xdr:colOff>
      <xdr:row>40</xdr:row>
      <xdr:rowOff>151982</xdr:rowOff>
    </xdr:from>
    <xdr:to>
      <xdr:col>4</xdr:col>
      <xdr:colOff>127655</xdr:colOff>
      <xdr:row>49</xdr:row>
      <xdr:rowOff>129482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SpPr>
          <a:spLocks noChangeAspect="1"/>
        </xdr:cNvSpPr>
      </xdr:nvSpPr>
      <xdr:spPr>
        <a:xfrm>
          <a:off x="1132784" y="9962732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1868786</xdr:colOff>
      <xdr:row>40</xdr:row>
      <xdr:rowOff>151983</xdr:rowOff>
    </xdr:from>
    <xdr:to>
      <xdr:col>8</xdr:col>
      <xdr:colOff>34982</xdr:colOff>
      <xdr:row>49</xdr:row>
      <xdr:rowOff>129483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SpPr>
          <a:spLocks noChangeAspect="1"/>
        </xdr:cNvSpPr>
      </xdr:nvSpPr>
      <xdr:spPr>
        <a:xfrm>
          <a:off x="6183611" y="9962733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173404</xdr:colOff>
      <xdr:row>31</xdr:row>
      <xdr:rowOff>137903</xdr:rowOff>
    </xdr:from>
    <xdr:to>
      <xdr:col>5</xdr:col>
      <xdr:colOff>1825750</xdr:colOff>
      <xdr:row>40</xdr:row>
      <xdr:rowOff>115403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SpPr>
          <a:spLocks noChangeAspect="1"/>
        </xdr:cNvSpPr>
      </xdr:nvSpPr>
      <xdr:spPr>
        <a:xfrm>
          <a:off x="3659554" y="8234153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361259</xdr:colOff>
      <xdr:row>31</xdr:row>
      <xdr:rowOff>137903</xdr:rowOff>
    </xdr:from>
    <xdr:to>
      <xdr:col>4</xdr:col>
      <xdr:colOff>127655</xdr:colOff>
      <xdr:row>40</xdr:row>
      <xdr:rowOff>115403</xdr:rowOff>
    </xdr:to>
    <xdr:sp macro="" textlink="">
      <xdr:nvSpPr>
        <xdr:cNvPr id="6" name="Rechteck 5"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>
          <a:spLocks noChangeAspect="1"/>
        </xdr:cNvSpPr>
      </xdr:nvSpPr>
      <xdr:spPr>
        <a:xfrm>
          <a:off x="1132784" y="8234153"/>
          <a:ext cx="2481021" cy="1692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1868786</xdr:colOff>
      <xdr:row>31</xdr:row>
      <xdr:rowOff>137904</xdr:rowOff>
    </xdr:from>
    <xdr:to>
      <xdr:col>8</xdr:col>
      <xdr:colOff>34982</xdr:colOff>
      <xdr:row>40</xdr:row>
      <xdr:rowOff>115404</xdr:rowOff>
    </xdr:to>
    <xdr:sp macro="" textlink="">
      <xdr:nvSpPr>
        <xdr:cNvPr id="7" name="Rechteck 6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SpPr>
          <a:spLocks noChangeAspect="1"/>
        </xdr:cNvSpPr>
      </xdr:nvSpPr>
      <xdr:spPr>
        <a:xfrm>
          <a:off x="6183611" y="8234154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4</xdr:col>
      <xdr:colOff>173404</xdr:colOff>
      <xdr:row>22</xdr:row>
      <xdr:rowOff>114299</xdr:rowOff>
    </xdr:from>
    <xdr:to>
      <xdr:col>5</xdr:col>
      <xdr:colOff>1825750</xdr:colOff>
      <xdr:row>31</xdr:row>
      <xdr:rowOff>91799</xdr:rowOff>
    </xdr:to>
    <xdr:sp macro="" textlink="">
      <xdr:nvSpPr>
        <xdr:cNvPr id="8" name="Rechteck 7">
          <a:extLst>
            <a:ext uri="{FF2B5EF4-FFF2-40B4-BE49-F238E27FC236}">
              <a16:creationId xmlns:a16="http://schemas.microsoft.com/office/drawing/2014/main" id="{00000000-0008-0000-1B00-000008000000}"/>
            </a:ext>
          </a:extLst>
        </xdr:cNvPr>
        <xdr:cNvSpPr>
          <a:spLocks noChangeAspect="1"/>
        </xdr:cNvSpPr>
      </xdr:nvSpPr>
      <xdr:spPr>
        <a:xfrm>
          <a:off x="3659554" y="6496049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2</xdr:col>
      <xdr:colOff>361259</xdr:colOff>
      <xdr:row>22</xdr:row>
      <xdr:rowOff>114299</xdr:rowOff>
    </xdr:from>
    <xdr:to>
      <xdr:col>4</xdr:col>
      <xdr:colOff>127655</xdr:colOff>
      <xdr:row>31</xdr:row>
      <xdr:rowOff>91799</xdr:rowOff>
    </xdr:to>
    <xdr:sp macro="" textlink="">
      <xdr:nvSpPr>
        <xdr:cNvPr id="9" name="Rechteck 8">
          <a:extLst>
            <a:ext uri="{FF2B5EF4-FFF2-40B4-BE49-F238E27FC236}">
              <a16:creationId xmlns:a16="http://schemas.microsoft.com/office/drawing/2014/main" id="{00000000-0008-0000-1B00-000009000000}"/>
            </a:ext>
          </a:extLst>
        </xdr:cNvPr>
        <xdr:cNvSpPr>
          <a:spLocks noChangeAspect="1"/>
        </xdr:cNvSpPr>
      </xdr:nvSpPr>
      <xdr:spPr>
        <a:xfrm>
          <a:off x="1132784" y="6496049"/>
          <a:ext cx="2481021" cy="1692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5</xdr:col>
      <xdr:colOff>1868786</xdr:colOff>
      <xdr:row>22</xdr:row>
      <xdr:rowOff>114300</xdr:rowOff>
    </xdr:from>
    <xdr:to>
      <xdr:col>8</xdr:col>
      <xdr:colOff>34982</xdr:colOff>
      <xdr:row>31</xdr:row>
      <xdr:rowOff>91800</xdr:rowOff>
    </xdr:to>
    <xdr:sp macro="" textlink="">
      <xdr:nvSpPr>
        <xdr:cNvPr id="10" name="Rechteck 9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SpPr>
          <a:spLocks noChangeAspect="1"/>
        </xdr:cNvSpPr>
      </xdr:nvSpPr>
      <xdr:spPr>
        <a:xfrm>
          <a:off x="6183611" y="6496050"/>
          <a:ext cx="2481021" cy="169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175">
          <a:prstDash val="sysDash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</xdr:txBody>
    </xdr:sp>
    <xdr:clientData/>
  </xdr:twoCellAnchor>
  <xdr:twoCellAnchor editAs="oneCell">
    <xdr:from>
      <xdr:col>0</xdr:col>
      <xdr:colOff>224264</xdr:colOff>
      <xdr:row>22</xdr:row>
      <xdr:rowOff>142875</xdr:rowOff>
    </xdr:from>
    <xdr:to>
      <xdr:col>1</xdr:col>
      <xdr:colOff>100325</xdr:colOff>
      <xdr:row>49</xdr:row>
      <xdr:rowOff>180975</xdr:rowOff>
    </xdr:to>
    <xdr:sp macro="" textlink="' '!A109">
      <xdr:nvSpPr>
        <xdr:cNvPr id="11" name="Textfeld 10">
          <a:extLst>
            <a:ext uri="{FF2B5EF4-FFF2-40B4-BE49-F238E27FC236}">
              <a16:creationId xmlns:a16="http://schemas.microsoft.com/office/drawing/2014/main" id="{00000000-0008-0000-1B00-00000B000000}"/>
            </a:ext>
          </a:extLst>
        </xdr:cNvPr>
        <xdr:cNvSpPr txBox="1"/>
      </xdr:nvSpPr>
      <xdr:spPr>
        <a:xfrm rot="16200000">
          <a:off x="-2195143" y="8944032"/>
          <a:ext cx="518160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590E9E55-F831-4F64-8B91-C68E852AA958}" type="TxLink">
            <a:rPr lang="de-CH" sz="1600" b="1"/>
            <a:pPr algn="ctr"/>
            <a:t>Probabilité d'occurrence</a:t>
          </a:fld>
          <a:endParaRPr lang="de-CH" sz="1600" b="1"/>
        </a:p>
      </xdr:txBody>
    </xdr:sp>
    <xdr:clientData/>
  </xdr:twoCellAnchor>
  <xdr:twoCellAnchor editAs="oneCell">
    <xdr:from>
      <xdr:col>2</xdr:col>
      <xdr:colOff>314325</xdr:colOff>
      <xdr:row>52</xdr:row>
      <xdr:rowOff>150159</xdr:rowOff>
    </xdr:from>
    <xdr:to>
      <xdr:col>8</xdr:col>
      <xdr:colOff>47625</xdr:colOff>
      <xdr:row>54</xdr:row>
      <xdr:rowOff>111945</xdr:rowOff>
    </xdr:to>
    <xdr:sp macro="" textlink="' '!A113">
      <xdr:nvSpPr>
        <xdr:cNvPr id="12" name="Textfeld 11">
          <a:extLst>
            <a:ext uri="{FF2B5EF4-FFF2-40B4-BE49-F238E27FC236}">
              <a16:creationId xmlns:a16="http://schemas.microsoft.com/office/drawing/2014/main" id="{00000000-0008-0000-1B00-00000C000000}"/>
            </a:ext>
          </a:extLst>
        </xdr:cNvPr>
        <xdr:cNvSpPr txBox="1"/>
      </xdr:nvSpPr>
      <xdr:spPr>
        <a:xfrm>
          <a:off x="1085850" y="12246909"/>
          <a:ext cx="759142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D361E393-E969-47E7-986C-E5B28DB6E48D}" type="TxLink">
            <a:rPr lang="de-CH" sz="1600" b="1"/>
            <a:pPr algn="ctr"/>
            <a:t>Étendue des dégâts</a:t>
          </a:fld>
          <a:endParaRPr lang="de-CH" sz="1600" b="1"/>
        </a:p>
      </xdr:txBody>
    </xdr:sp>
    <xdr:clientData/>
  </xdr:twoCellAnchor>
  <xdr:twoCellAnchor editAs="oneCell">
    <xdr:from>
      <xdr:col>1</xdr:col>
      <xdr:colOff>94500</xdr:colOff>
      <xdr:row>22</xdr:row>
      <xdr:rowOff>104774</xdr:rowOff>
    </xdr:from>
    <xdr:to>
      <xdr:col>2</xdr:col>
      <xdr:colOff>101196</xdr:colOff>
      <xdr:row>27</xdr:row>
      <xdr:rowOff>114299</xdr:rowOff>
    </xdr:to>
    <xdr:sp macro="" textlink="' '!A110">
      <xdr:nvSpPr>
        <xdr:cNvPr id="13" name="Textfeld 12">
          <a:extLst>
            <a:ext uri="{FF2B5EF4-FFF2-40B4-BE49-F238E27FC236}">
              <a16:creationId xmlns:a16="http://schemas.microsoft.com/office/drawing/2014/main" id="{00000000-0008-0000-1B00-00000D000000}"/>
            </a:ext>
          </a:extLst>
        </xdr:cNvPr>
        <xdr:cNvSpPr txBox="1"/>
      </xdr:nvSpPr>
      <xdr:spPr>
        <a:xfrm rot="16200000">
          <a:off x="235960" y="6811789"/>
          <a:ext cx="9620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E793A3AD-497F-400B-87B6-F8005DB08AB7}" type="TxLink">
            <a:rPr lang="de-CH" sz="1400" b="0"/>
            <a:pPr algn="ctr"/>
            <a:t>élevée</a:t>
          </a:fld>
          <a:endParaRPr lang="de-CH" sz="1400" b="0"/>
        </a:p>
      </xdr:txBody>
    </xdr:sp>
    <xdr:clientData/>
  </xdr:twoCellAnchor>
  <xdr:twoCellAnchor editAs="oneCell">
    <xdr:from>
      <xdr:col>1</xdr:col>
      <xdr:colOff>94504</xdr:colOff>
      <xdr:row>44</xdr:row>
      <xdr:rowOff>161924</xdr:rowOff>
    </xdr:from>
    <xdr:to>
      <xdr:col>2</xdr:col>
      <xdr:colOff>101200</xdr:colOff>
      <xdr:row>49</xdr:row>
      <xdr:rowOff>171449</xdr:rowOff>
    </xdr:to>
    <xdr:sp macro="" textlink="' '!A112">
      <xdr:nvSpPr>
        <xdr:cNvPr id="14" name="Textfeld 13">
          <a:extLst>
            <a:ext uri="{FF2B5EF4-FFF2-40B4-BE49-F238E27FC236}">
              <a16:creationId xmlns:a16="http://schemas.microsoft.com/office/drawing/2014/main" id="{00000000-0008-0000-1B00-00000E000000}"/>
            </a:ext>
          </a:extLst>
        </xdr:cNvPr>
        <xdr:cNvSpPr txBox="1"/>
      </xdr:nvSpPr>
      <xdr:spPr>
        <a:xfrm rot="16200000">
          <a:off x="235964" y="11059939"/>
          <a:ext cx="96202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9A6B5979-172E-4330-88C7-F9077EE8AE73}" type="TxLink">
            <a:rPr lang="de-CH" sz="1400" b="0"/>
            <a:pPr algn="ctr"/>
            <a:t>faible</a:t>
          </a:fld>
          <a:endParaRPr lang="de-CH" sz="1400" b="0"/>
        </a:p>
      </xdr:txBody>
    </xdr:sp>
    <xdr:clientData/>
  </xdr:twoCellAnchor>
  <xdr:twoCellAnchor editAs="oneCell">
    <xdr:from>
      <xdr:col>7</xdr:col>
      <xdr:colOff>371475</xdr:colOff>
      <xdr:row>51</xdr:row>
      <xdr:rowOff>30386</xdr:rowOff>
    </xdr:from>
    <xdr:to>
      <xdr:col>8</xdr:col>
      <xdr:colOff>38100</xdr:colOff>
      <xdr:row>52</xdr:row>
      <xdr:rowOff>151382</xdr:rowOff>
    </xdr:to>
    <xdr:sp macro="" textlink="' '!A110">
      <xdr:nvSpPr>
        <xdr:cNvPr id="15" name="Textfeld 14">
          <a:extLst>
            <a:ext uri="{FF2B5EF4-FFF2-40B4-BE49-F238E27FC236}">
              <a16:creationId xmlns:a16="http://schemas.microsoft.com/office/drawing/2014/main" id="{00000000-0008-0000-1B00-00000F000000}"/>
            </a:ext>
          </a:extLst>
        </xdr:cNvPr>
        <xdr:cNvSpPr txBox="1"/>
      </xdr:nvSpPr>
      <xdr:spPr>
        <a:xfrm>
          <a:off x="7267575" y="11936636"/>
          <a:ext cx="140017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A6C8FDB9-875E-491B-8B4D-DB081B59F70E}" type="TxLink">
            <a:rPr lang="de-CH" sz="1400" b="0"/>
            <a:pPr algn="ctr"/>
            <a:t>élevée</a:t>
          </a:fld>
          <a:endParaRPr lang="de-CH" sz="1400" b="0"/>
        </a:p>
      </xdr:txBody>
    </xdr:sp>
    <xdr:clientData/>
  </xdr:twoCellAnchor>
  <xdr:twoCellAnchor editAs="oneCell">
    <xdr:from>
      <xdr:col>2</xdr:col>
      <xdr:colOff>323850</xdr:colOff>
      <xdr:row>51</xdr:row>
      <xdr:rowOff>30386</xdr:rowOff>
    </xdr:from>
    <xdr:to>
      <xdr:col>2</xdr:col>
      <xdr:colOff>1733550</xdr:colOff>
      <xdr:row>52</xdr:row>
      <xdr:rowOff>151382</xdr:rowOff>
    </xdr:to>
    <xdr:sp macro="" textlink="' '!A112">
      <xdr:nvSpPr>
        <xdr:cNvPr id="16" name="Textfeld 15">
          <a:extLst>
            <a:ext uri="{FF2B5EF4-FFF2-40B4-BE49-F238E27FC236}">
              <a16:creationId xmlns:a16="http://schemas.microsoft.com/office/drawing/2014/main" id="{00000000-0008-0000-1B00-000010000000}"/>
            </a:ext>
          </a:extLst>
        </xdr:cNvPr>
        <xdr:cNvSpPr txBox="1"/>
      </xdr:nvSpPr>
      <xdr:spPr>
        <a:xfrm>
          <a:off x="1095375" y="11936636"/>
          <a:ext cx="140970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83A8F04D-2197-4039-8C46-B0008972DD21}" type="TxLink">
            <a:rPr lang="de-CH" sz="1400" b="0"/>
            <a:pPr algn="ctr"/>
            <a:t>faible</a:t>
          </a:fld>
          <a:endParaRPr lang="de-CH" sz="1400" b="0"/>
        </a:p>
      </xdr:txBody>
    </xdr:sp>
    <xdr:clientData/>
  </xdr:twoCellAnchor>
  <xdr:twoCellAnchor editAs="oneCell">
    <xdr:from>
      <xdr:col>4</xdr:col>
      <xdr:colOff>333375</xdr:colOff>
      <xdr:row>51</xdr:row>
      <xdr:rowOff>30386</xdr:rowOff>
    </xdr:from>
    <xdr:to>
      <xdr:col>5</xdr:col>
      <xdr:colOff>1581150</xdr:colOff>
      <xdr:row>52</xdr:row>
      <xdr:rowOff>151382</xdr:rowOff>
    </xdr:to>
    <xdr:sp macro="" textlink="' '!A111">
      <xdr:nvSpPr>
        <xdr:cNvPr id="17" name="Textfeld 16">
          <a:extLst>
            <a:ext uri="{FF2B5EF4-FFF2-40B4-BE49-F238E27FC236}">
              <a16:creationId xmlns:a16="http://schemas.microsoft.com/office/drawing/2014/main" id="{00000000-0008-0000-1B00-000011000000}"/>
            </a:ext>
          </a:extLst>
        </xdr:cNvPr>
        <xdr:cNvSpPr txBox="1"/>
      </xdr:nvSpPr>
      <xdr:spPr>
        <a:xfrm>
          <a:off x="3819525" y="11936636"/>
          <a:ext cx="2076450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A0A47CA1-CBB4-485B-A1D9-78BE76C65FD1}" type="TxLink">
            <a:rPr lang="de-CH" sz="1400" b="0"/>
            <a:pPr algn="ctr"/>
            <a:t>moyenne</a:t>
          </a:fld>
          <a:endParaRPr lang="de-CH" sz="1400" b="0"/>
        </a:p>
      </xdr:txBody>
    </xdr:sp>
    <xdr:clientData/>
  </xdr:twoCellAnchor>
  <xdr:twoCellAnchor editAs="oneCell">
    <xdr:from>
      <xdr:col>1</xdr:col>
      <xdr:colOff>94506</xdr:colOff>
      <xdr:row>32</xdr:row>
      <xdr:rowOff>104774</xdr:rowOff>
    </xdr:from>
    <xdr:to>
      <xdr:col>2</xdr:col>
      <xdr:colOff>101202</xdr:colOff>
      <xdr:row>40</xdr:row>
      <xdr:rowOff>9527</xdr:rowOff>
    </xdr:to>
    <xdr:sp macro="" textlink="' '!A111">
      <xdr:nvSpPr>
        <xdr:cNvPr id="18" name="Textfeld 17">
          <a:extLst>
            <a:ext uri="{FF2B5EF4-FFF2-40B4-BE49-F238E27FC236}">
              <a16:creationId xmlns:a16="http://schemas.microsoft.com/office/drawing/2014/main" id="{00000000-0008-0000-1B00-000012000000}"/>
            </a:ext>
          </a:extLst>
        </xdr:cNvPr>
        <xdr:cNvSpPr txBox="1"/>
      </xdr:nvSpPr>
      <xdr:spPr>
        <a:xfrm rot="16200000">
          <a:off x="2602" y="8950153"/>
          <a:ext cx="1428753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fld id="{7FE7408E-BD4E-4A7B-8428-C749697BCCA7}" type="TxLink">
            <a:rPr lang="de-CH" sz="1400" b="0"/>
            <a:pPr algn="ctr"/>
            <a:t>moyenne</a:t>
          </a:fld>
          <a:endParaRPr lang="de-CH" sz="1400" b="0"/>
        </a:p>
      </xdr:txBody>
    </xdr:sp>
    <xdr:clientData/>
  </xdr:twoCellAnchor>
  <xdr:twoCellAnchor editAs="oneCell">
    <xdr:from>
      <xdr:col>33</xdr:col>
      <xdr:colOff>94827</xdr:colOff>
      <xdr:row>15</xdr:row>
      <xdr:rowOff>282440</xdr:rowOff>
    </xdr:from>
    <xdr:to>
      <xdr:col>36</xdr:col>
      <xdr:colOff>213017</xdr:colOff>
      <xdr:row>22</xdr:row>
      <xdr:rowOff>178871</xdr:rowOff>
    </xdr:to>
    <xdr:grpSp>
      <xdr:nvGrpSpPr>
        <xdr:cNvPr id="19" name="Gruppieren 18">
          <a:extLst>
            <a:ext uri="{FF2B5EF4-FFF2-40B4-BE49-F238E27FC236}">
              <a16:creationId xmlns:a16="http://schemas.microsoft.com/office/drawing/2014/main" id="{00000000-0008-0000-1B00-000013000000}"/>
            </a:ext>
          </a:extLst>
        </xdr:cNvPr>
        <xdr:cNvGrpSpPr/>
      </xdr:nvGrpSpPr>
      <xdr:grpSpPr>
        <a:xfrm rot="16200000">
          <a:off x="25092626" y="4415901"/>
          <a:ext cx="1641411" cy="2701370"/>
          <a:chOff x="5291650" y="3738354"/>
          <a:chExt cx="2006432" cy="999921"/>
        </a:xfrm>
      </xdr:grpSpPr>
      <xdr:sp macro="" textlink="">
        <xdr:nvSpPr>
          <xdr:cNvPr id="20" name="Rechteck 19">
            <a:extLst>
              <a:ext uri="{FF2B5EF4-FFF2-40B4-BE49-F238E27FC236}">
                <a16:creationId xmlns:a16="http://schemas.microsoft.com/office/drawing/2014/main" id="{00000000-0008-0000-1B00-000014000000}"/>
              </a:ext>
            </a:extLst>
          </xdr:cNvPr>
          <xdr:cNvSpPr>
            <a:spLocks noChangeAspect="1"/>
          </xdr:cNvSpPr>
        </xdr:nvSpPr>
        <xdr:spPr>
          <a:xfrm>
            <a:off x="5419727" y="3738354"/>
            <a:ext cx="250562" cy="252000"/>
          </a:xfrm>
          <a:prstGeom prst="rect">
            <a:avLst/>
          </a:prstGeom>
          <a:solidFill>
            <a:schemeClr val="accent2">
              <a:lumMod val="20000"/>
              <a:lumOff val="8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21" name="Rechteck 20">
            <a:extLst>
              <a:ext uri="{FF2B5EF4-FFF2-40B4-BE49-F238E27FC236}">
                <a16:creationId xmlns:a16="http://schemas.microsoft.com/office/drawing/2014/main" id="{00000000-0008-0000-1B00-000015000000}"/>
              </a:ext>
            </a:extLst>
          </xdr:cNvPr>
          <xdr:cNvSpPr>
            <a:spLocks noChangeAspect="1"/>
          </xdr:cNvSpPr>
        </xdr:nvSpPr>
        <xdr:spPr>
          <a:xfrm>
            <a:off x="5420199" y="4486275"/>
            <a:ext cx="250562" cy="252000"/>
          </a:xfrm>
          <a:prstGeom prst="rect">
            <a:avLst/>
          </a:prstGeom>
          <a:solidFill>
            <a:schemeClr val="accent2">
              <a:lumMod val="60000"/>
              <a:lumOff val="4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">
        <xdr:nvSpPr>
          <xdr:cNvPr id="22" name="Rechteck 21">
            <a:extLst>
              <a:ext uri="{FF2B5EF4-FFF2-40B4-BE49-F238E27FC236}">
                <a16:creationId xmlns:a16="http://schemas.microsoft.com/office/drawing/2014/main" id="{00000000-0008-0000-1B00-000016000000}"/>
              </a:ext>
            </a:extLst>
          </xdr:cNvPr>
          <xdr:cNvSpPr>
            <a:spLocks noChangeAspect="1"/>
          </xdr:cNvSpPr>
        </xdr:nvSpPr>
        <xdr:spPr>
          <a:xfrm>
            <a:off x="5419727" y="4105275"/>
            <a:ext cx="250562" cy="252000"/>
          </a:xfrm>
          <a:prstGeom prst="rect">
            <a:avLst/>
          </a:prstGeom>
          <a:solidFill>
            <a:schemeClr val="accent2">
              <a:lumMod val="40000"/>
              <a:lumOff val="60000"/>
            </a:schemeClr>
          </a:solidFill>
          <a:ln w="3175">
            <a:prstDash val="sysDash"/>
          </a:ln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de-CH" sz="1100"/>
          </a:p>
        </xdr:txBody>
      </xdr:sp>
      <xdr:sp macro="" textlink="' '!A114">
        <xdr:nvSpPr>
          <xdr:cNvPr id="23" name="Textfeld 22">
            <a:extLst>
              <a:ext uri="{FF2B5EF4-FFF2-40B4-BE49-F238E27FC236}">
                <a16:creationId xmlns:a16="http://schemas.microsoft.com/office/drawing/2014/main" id="{00000000-0008-0000-1B00-000017000000}"/>
              </a:ext>
            </a:extLst>
          </xdr:cNvPr>
          <xdr:cNvSpPr txBox="1"/>
        </xdr:nvSpPr>
        <xdr:spPr>
          <a:xfrm>
            <a:off x="5291650" y="3831028"/>
            <a:ext cx="2006432" cy="9792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2455219B-7CCB-479F-8EBB-53EB1B59C06C}" type="TxLink">
              <a:rPr lang="de-CH" sz="1100"/>
              <a:pPr/>
              <a:t>Aucune action nécessaire</a:t>
            </a:fld>
            <a:endParaRPr lang="de-CH" sz="1100"/>
          </a:p>
        </xdr:txBody>
      </xdr:sp>
      <xdr:sp macro="" textlink="' '!A115">
        <xdr:nvSpPr>
          <xdr:cNvPr id="24" name="Textfeld 23">
            <a:extLst>
              <a:ext uri="{FF2B5EF4-FFF2-40B4-BE49-F238E27FC236}">
                <a16:creationId xmlns:a16="http://schemas.microsoft.com/office/drawing/2014/main" id="{00000000-0008-0000-1B00-000018000000}"/>
              </a:ext>
            </a:extLst>
          </xdr:cNvPr>
          <xdr:cNvSpPr txBox="1"/>
        </xdr:nvSpPr>
        <xdr:spPr>
          <a:xfrm>
            <a:off x="5468532" y="4192990"/>
            <a:ext cx="1454328" cy="9792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38C86722-4BE2-4C64-8837-096B9A69CBF6}" type="TxLink">
              <a:rPr lang="de-CH" sz="1100"/>
              <a:pPr/>
              <a:t>Action nécessaire</a:t>
            </a:fld>
            <a:endParaRPr lang="de-CH" sz="1100"/>
          </a:p>
        </xdr:txBody>
      </xdr:sp>
      <xdr:sp macro="" textlink="' '!A116">
        <xdr:nvSpPr>
          <xdr:cNvPr id="25" name="Textfeld 24">
            <a:extLst>
              <a:ext uri="{FF2B5EF4-FFF2-40B4-BE49-F238E27FC236}">
                <a16:creationId xmlns:a16="http://schemas.microsoft.com/office/drawing/2014/main" id="{00000000-0008-0000-1B00-000019000000}"/>
              </a:ext>
            </a:extLst>
          </xdr:cNvPr>
          <xdr:cNvSpPr txBox="1"/>
        </xdr:nvSpPr>
        <xdr:spPr>
          <a:xfrm>
            <a:off x="5703127" y="4573990"/>
            <a:ext cx="1268177" cy="9792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fld id="{0B08217B-D988-41BF-ACA6-265C229D1F55}" type="TxLink">
              <a:rPr lang="de-CH" sz="1100"/>
              <a:pPr/>
              <a:t>Action urgente</a:t>
            </a:fld>
            <a:endParaRPr lang="de-CH" sz="1100"/>
          </a:p>
        </xdr:txBody>
      </xdr:sp>
    </xdr:grpSp>
    <xdr:clientData/>
  </xdr:twoCellAnchor>
  <xdr:twoCellAnchor editAs="oneCell">
    <xdr:from>
      <xdr:col>8</xdr:col>
      <xdr:colOff>295275</xdr:colOff>
      <xdr:row>1</xdr:row>
      <xdr:rowOff>57150</xdr:rowOff>
    </xdr:from>
    <xdr:to>
      <xdr:col>9</xdr:col>
      <xdr:colOff>1350</xdr:colOff>
      <xdr:row>1</xdr:row>
      <xdr:rowOff>229950</xdr:rowOff>
    </xdr:to>
    <xdr:grpSp>
      <xdr:nvGrpSpPr>
        <xdr:cNvPr id="26" name="Gruppieren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B00-00001A000000}"/>
            </a:ext>
          </a:extLst>
        </xdr:cNvPr>
        <xdr:cNvGrpSpPr/>
      </xdr:nvGrpSpPr>
      <xdr:grpSpPr>
        <a:xfrm>
          <a:off x="9164955" y="621030"/>
          <a:ext cx="186135" cy="172800"/>
          <a:chOff x="8105775" y="571500"/>
          <a:chExt cx="172800" cy="172800"/>
        </a:xfrm>
      </xdr:grpSpPr>
      <xdr:sp macro="" textlink="">
        <xdr:nvSpPr>
          <xdr:cNvPr id="27" name="Rechteck 26">
            <a:extLst>
              <a:ext uri="{FF2B5EF4-FFF2-40B4-BE49-F238E27FC236}">
                <a16:creationId xmlns:a16="http://schemas.microsoft.com/office/drawing/2014/main" id="{00000000-0008-0000-1B00-00001B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8" name="Textfeld 27">
            <a:extLst>
              <a:ext uri="{FF2B5EF4-FFF2-40B4-BE49-F238E27FC236}">
                <a16:creationId xmlns:a16="http://schemas.microsoft.com/office/drawing/2014/main" id="{00000000-0008-0000-1B00-00001C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53</xdr:row>
      <xdr:rowOff>66675</xdr:rowOff>
    </xdr:from>
    <xdr:to>
      <xdr:col>0</xdr:col>
      <xdr:colOff>381150</xdr:colOff>
      <xdr:row>56</xdr:row>
      <xdr:rowOff>1615</xdr:rowOff>
    </xdr:to>
    <xdr:grpSp>
      <xdr:nvGrpSpPr>
        <xdr:cNvPr id="32" name="Gruppieren 3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B00-000020000000}"/>
            </a:ext>
          </a:extLst>
        </xdr:cNvPr>
        <xdr:cNvGrpSpPr/>
      </xdr:nvGrpSpPr>
      <xdr:grpSpPr>
        <a:xfrm>
          <a:off x="57150" y="12144375"/>
          <a:ext cx="324000" cy="308320"/>
          <a:chOff x="66675" y="4972050"/>
          <a:chExt cx="324000" cy="325465"/>
        </a:xfrm>
      </xdr:grpSpPr>
      <xdr:sp macro="" textlink="">
        <xdr:nvSpPr>
          <xdr:cNvPr id="33" name="Rechteck 32">
            <a:extLst>
              <a:ext uri="{FF2B5EF4-FFF2-40B4-BE49-F238E27FC236}">
                <a16:creationId xmlns:a16="http://schemas.microsoft.com/office/drawing/2014/main" id="{00000000-0008-0000-1B00-000021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4" name="Pfeil nach oben 33">
            <a:extLst>
              <a:ext uri="{FF2B5EF4-FFF2-40B4-BE49-F238E27FC236}">
                <a16:creationId xmlns:a16="http://schemas.microsoft.com/office/drawing/2014/main" id="{00000000-0008-0000-1B00-000022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76200</xdr:colOff>
      <xdr:row>3</xdr:row>
      <xdr:rowOff>0</xdr:rowOff>
    </xdr:from>
    <xdr:to>
      <xdr:col>0</xdr:col>
      <xdr:colOff>400200</xdr:colOff>
      <xdr:row>3</xdr:row>
      <xdr:rowOff>325465</xdr:rowOff>
    </xdr:to>
    <xdr:grpSp>
      <xdr:nvGrpSpPr>
        <xdr:cNvPr id="35" name="Gruppieren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B00-000023000000}"/>
            </a:ext>
          </a:extLst>
        </xdr:cNvPr>
        <xdr:cNvGrpSpPr/>
      </xdr:nvGrpSpPr>
      <xdr:grpSpPr>
        <a:xfrm>
          <a:off x="76200" y="937260"/>
          <a:ext cx="324000" cy="325465"/>
          <a:chOff x="12382500" y="2152650"/>
          <a:chExt cx="324000" cy="325465"/>
        </a:xfrm>
      </xdr:grpSpPr>
      <xdr:sp macro="" textlink="">
        <xdr:nvSpPr>
          <xdr:cNvPr id="36" name="Rechteck 35">
            <a:extLst>
              <a:ext uri="{FF2B5EF4-FFF2-40B4-BE49-F238E27FC236}">
                <a16:creationId xmlns:a16="http://schemas.microsoft.com/office/drawing/2014/main" id="{00000000-0008-0000-1B00-000024000000}"/>
              </a:ext>
            </a:extLst>
          </xdr:cNvPr>
          <xdr:cNvSpPr>
            <a:spLocks noChangeAspect="1"/>
          </xdr:cNvSpPr>
        </xdr:nvSpPr>
        <xdr:spPr>
          <a:xfrm>
            <a:off x="12382500" y="21526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37" name="Grafik 36">
            <a:extLst>
              <a:ext uri="{FF2B5EF4-FFF2-40B4-BE49-F238E27FC236}">
                <a16:creationId xmlns:a16="http://schemas.microsoft.com/office/drawing/2014/main" id="{00000000-0008-0000-1B00-00002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70000" contrast="-70000"/>
          </a:blip>
          <a:stretch>
            <a:fillRect/>
          </a:stretch>
        </xdr:blipFill>
        <xdr:spPr>
          <a:xfrm>
            <a:off x="12446597" y="2209800"/>
            <a:ext cx="219075" cy="209550"/>
          </a:xfrm>
          <a:prstGeom prst="rect">
            <a:avLst/>
          </a:prstGeom>
        </xdr:spPr>
      </xdr:pic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39" name="Gruppieren 3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B00-000027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40" name="Rechteck 39">
            <a:extLst>
              <a:ext uri="{FF2B5EF4-FFF2-40B4-BE49-F238E27FC236}">
                <a16:creationId xmlns:a16="http://schemas.microsoft.com/office/drawing/2014/main" id="{00000000-0008-0000-1B00-00002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1" name="Pfeil nach links 40">
            <a:extLst>
              <a:ext uri="{FF2B5EF4-FFF2-40B4-BE49-F238E27FC236}">
                <a16:creationId xmlns:a16="http://schemas.microsoft.com/office/drawing/2014/main" id="{00000000-0008-0000-1B00-00002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0</xdr:col>
      <xdr:colOff>209550</xdr:colOff>
      <xdr:row>21</xdr:row>
      <xdr:rowOff>123826</xdr:rowOff>
    </xdr:from>
    <xdr:to>
      <xdr:col>11</xdr:col>
      <xdr:colOff>180975</xdr:colOff>
      <xdr:row>51</xdr:row>
      <xdr:rowOff>123826</xdr:rowOff>
    </xdr:to>
    <xdr:graphicFrame macro="">
      <xdr:nvGraphicFramePr>
        <xdr:cNvPr id="38" name="Diagramm 37">
          <a:extLst>
            <a:ext uri="{FF2B5EF4-FFF2-40B4-BE49-F238E27FC236}">
              <a16:creationId xmlns:a16="http://schemas.microsoft.com/office/drawing/2014/main" id="{00000000-0008-0000-1B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0</xdr:row>
          <xdr:rowOff>0</xdr:rowOff>
        </xdr:from>
        <xdr:to>
          <xdr:col>10</xdr:col>
          <xdr:colOff>22860</xdr:colOff>
          <xdr:row>0</xdr:row>
          <xdr:rowOff>533400</xdr:rowOff>
        </xdr:to>
        <xdr:pic>
          <xdr:nvPicPr>
            <xdr:cNvPr id="42" name="Grafik 45">
              <a:extLst>
                <a:ext uri="{FF2B5EF4-FFF2-40B4-BE49-F238E27FC236}">
                  <a16:creationId xmlns:a16="http://schemas.microsoft.com/office/drawing/2014/main" id="{00000000-0008-0000-1B00-00002A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45413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6953250" y="0"/>
              <a:ext cx="217551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212725</xdr:colOff>
      <xdr:row>3</xdr:row>
      <xdr:rowOff>38100</xdr:rowOff>
    </xdr:from>
    <xdr:to>
      <xdr:col>13</xdr:col>
      <xdr:colOff>466725</xdr:colOff>
      <xdr:row>29</xdr:row>
      <xdr:rowOff>104775</xdr:rowOff>
    </xdr:to>
    <xdr:graphicFrame macro="">
      <xdr:nvGraphicFramePr>
        <xdr:cNvPr id="1025" name="Diagramm 1">
          <a:extLst>
            <a:ext uri="{FF2B5EF4-FFF2-40B4-BE49-F238E27FC236}">
              <a16:creationId xmlns:a16="http://schemas.microsoft.com/office/drawing/2014/main" id="{00000000-0008-0000-1C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285750</xdr:colOff>
      <xdr:row>1</xdr:row>
      <xdr:rowOff>57149</xdr:rowOff>
    </xdr:from>
    <xdr:to>
      <xdr:col>13</xdr:col>
      <xdr:colOff>465750</xdr:colOff>
      <xdr:row>2</xdr:row>
      <xdr:rowOff>61889</xdr:rowOff>
    </xdr:to>
    <xdr:grpSp>
      <xdr:nvGrpSpPr>
        <xdr:cNvPr id="6" name="Gruppieren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GrpSpPr/>
      </xdr:nvGrpSpPr>
      <xdr:grpSpPr>
        <a:xfrm>
          <a:off x="9818370" y="621029"/>
          <a:ext cx="180000" cy="180000"/>
          <a:chOff x="8105775" y="571500"/>
          <a:chExt cx="172800" cy="172800"/>
        </a:xfrm>
      </xdr:grpSpPr>
      <xdr:sp macro="" textlink="">
        <xdr:nvSpPr>
          <xdr:cNvPr id="7" name="Rechteck 6">
            <a:extLst>
              <a:ext uri="{FF2B5EF4-FFF2-40B4-BE49-F238E27FC236}">
                <a16:creationId xmlns:a16="http://schemas.microsoft.com/office/drawing/2014/main" id="{00000000-0008-0000-1C00-000007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" name="Textfeld 7">
            <a:extLst>
              <a:ext uri="{FF2B5EF4-FFF2-40B4-BE49-F238E27FC236}">
                <a16:creationId xmlns:a16="http://schemas.microsoft.com/office/drawing/2014/main" id="{00000000-0008-0000-1C00-000008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9" name="Gruppieren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C00-000009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10" name="Rechteck 9">
            <a:extLst>
              <a:ext uri="{FF2B5EF4-FFF2-40B4-BE49-F238E27FC236}">
                <a16:creationId xmlns:a16="http://schemas.microsoft.com/office/drawing/2014/main" id="{00000000-0008-0000-1C00-00000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" name="Pfeil nach links 10">
            <a:extLst>
              <a:ext uri="{FF2B5EF4-FFF2-40B4-BE49-F238E27FC236}">
                <a16:creationId xmlns:a16="http://schemas.microsoft.com/office/drawing/2014/main" id="{00000000-0008-0000-1C00-00000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0</xdr:row>
          <xdr:rowOff>9525</xdr:rowOff>
        </xdr:from>
        <xdr:to>
          <xdr:col>14</xdr:col>
          <xdr:colOff>22860</xdr:colOff>
          <xdr:row>0</xdr:row>
          <xdr:rowOff>542925</xdr:rowOff>
        </xdr:to>
        <xdr:pic>
          <xdr:nvPicPr>
            <xdr:cNvPr id="12" name="Grafik 45">
              <a:extLst>
                <a:ext uri="{FF2B5EF4-FFF2-40B4-BE49-F238E27FC236}">
                  <a16:creationId xmlns:a16="http://schemas.microsoft.com/office/drawing/2014/main" id="{00000000-0008-0000-1C00-00000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46437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648575" y="9525"/>
              <a:ext cx="217551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257175</xdr:colOff>
      <xdr:row>2</xdr:row>
      <xdr:rowOff>47625</xdr:rowOff>
    </xdr:from>
    <xdr:to>
      <xdr:col>9</xdr:col>
      <xdr:colOff>1350</xdr:colOff>
      <xdr:row>2</xdr:row>
      <xdr:rowOff>220425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pSpPr/>
      </xdr:nvGrpSpPr>
      <xdr:grpSpPr>
        <a:xfrm>
          <a:off x="10879455" y="626745"/>
          <a:ext cx="186135" cy="172800"/>
          <a:chOff x="8105775" y="571500"/>
          <a:chExt cx="172800" cy="172800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1D00-00000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Textfeld 3">
            <a:extLst>
              <a:ext uri="{FF2B5EF4-FFF2-40B4-BE49-F238E27FC236}">
                <a16:creationId xmlns:a16="http://schemas.microsoft.com/office/drawing/2014/main" id="{00000000-0008-0000-1D00-00000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xdr:twoCellAnchor editAs="oneCell">
    <xdr:from>
      <xdr:col>0</xdr:col>
      <xdr:colOff>57150</xdr:colOff>
      <xdr:row>30</xdr:row>
      <xdr:rowOff>266700</xdr:rowOff>
    </xdr:from>
    <xdr:to>
      <xdr:col>0</xdr:col>
      <xdr:colOff>381150</xdr:colOff>
      <xdr:row>32</xdr:row>
      <xdr:rowOff>1615</xdr:rowOff>
    </xdr:to>
    <xdr:grpSp>
      <xdr:nvGrpSpPr>
        <xdr:cNvPr id="8" name="Gruppieren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D00-000008000000}"/>
            </a:ext>
          </a:extLst>
        </xdr:cNvPr>
        <xdr:cNvGrpSpPr/>
      </xdr:nvGrpSpPr>
      <xdr:grpSpPr>
        <a:xfrm>
          <a:off x="57150" y="10599420"/>
          <a:ext cx="324000" cy="329275"/>
          <a:chOff x="66675" y="497205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1D00-000009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Pfeil nach oben 9">
            <a:extLst>
              <a:ext uri="{FF2B5EF4-FFF2-40B4-BE49-F238E27FC236}">
                <a16:creationId xmlns:a16="http://schemas.microsoft.com/office/drawing/2014/main" id="{00000000-0008-0000-1D00-00000A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17</xdr:row>
      <xdr:rowOff>209550</xdr:rowOff>
    </xdr:from>
    <xdr:to>
      <xdr:col>0</xdr:col>
      <xdr:colOff>381150</xdr:colOff>
      <xdr:row>19</xdr:row>
      <xdr:rowOff>1615</xdr:rowOff>
    </xdr:to>
    <xdr:grpSp>
      <xdr:nvGrpSpPr>
        <xdr:cNvPr id="11" name="Gruppieren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D00-00000B000000}"/>
            </a:ext>
          </a:extLst>
        </xdr:cNvPr>
        <xdr:cNvGrpSpPr/>
      </xdr:nvGrpSpPr>
      <xdr:grpSpPr>
        <a:xfrm>
          <a:off x="57150" y="6968490"/>
          <a:ext cx="324000" cy="325465"/>
          <a:chOff x="66675" y="497205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1D00-00000C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oben 12">
            <a:extLst>
              <a:ext uri="{FF2B5EF4-FFF2-40B4-BE49-F238E27FC236}">
                <a16:creationId xmlns:a16="http://schemas.microsoft.com/office/drawing/2014/main" id="{00000000-0008-0000-1D00-00000D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45</xdr:row>
      <xdr:rowOff>209550</xdr:rowOff>
    </xdr:from>
    <xdr:to>
      <xdr:col>0</xdr:col>
      <xdr:colOff>381150</xdr:colOff>
      <xdr:row>47</xdr:row>
      <xdr:rowOff>1615</xdr:rowOff>
    </xdr:to>
    <xdr:grpSp>
      <xdr:nvGrpSpPr>
        <xdr:cNvPr id="14" name="Gruppieren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D00-00000E000000}"/>
            </a:ext>
          </a:extLst>
        </xdr:cNvPr>
        <xdr:cNvGrpSpPr/>
      </xdr:nvGrpSpPr>
      <xdr:grpSpPr>
        <a:xfrm>
          <a:off x="57150" y="14710410"/>
          <a:ext cx="324000" cy="325465"/>
          <a:chOff x="66675" y="4972050"/>
          <a:chExt cx="324000" cy="325465"/>
        </a:xfrm>
      </xdr:grpSpPr>
      <xdr:sp macro="" textlink="">
        <xdr:nvSpPr>
          <xdr:cNvPr id="15" name="Rechteck 14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" name="Pfeil nach oben 15">
            <a:extLst>
              <a:ext uri="{FF2B5EF4-FFF2-40B4-BE49-F238E27FC236}">
                <a16:creationId xmlns:a16="http://schemas.microsoft.com/office/drawing/2014/main" id="{00000000-0008-0000-1D00-000010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59</xdr:row>
      <xdr:rowOff>209550</xdr:rowOff>
    </xdr:from>
    <xdr:to>
      <xdr:col>0</xdr:col>
      <xdr:colOff>381150</xdr:colOff>
      <xdr:row>61</xdr:row>
      <xdr:rowOff>1615</xdr:rowOff>
    </xdr:to>
    <xdr:grpSp>
      <xdr:nvGrpSpPr>
        <xdr:cNvPr id="17" name="Gruppieren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D00-000011000000}"/>
            </a:ext>
          </a:extLst>
        </xdr:cNvPr>
        <xdr:cNvGrpSpPr/>
      </xdr:nvGrpSpPr>
      <xdr:grpSpPr>
        <a:xfrm>
          <a:off x="57150" y="18581370"/>
          <a:ext cx="324000" cy="325465"/>
          <a:chOff x="66675" y="4972050"/>
          <a:chExt cx="324000" cy="325465"/>
        </a:xfrm>
      </xdr:grpSpPr>
      <xdr:sp macro="" textlink="">
        <xdr:nvSpPr>
          <xdr:cNvPr id="18" name="Rechteck 17">
            <a:extLst>
              <a:ext uri="{FF2B5EF4-FFF2-40B4-BE49-F238E27FC236}">
                <a16:creationId xmlns:a16="http://schemas.microsoft.com/office/drawing/2014/main" id="{00000000-0008-0000-1D00-000012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" name="Pfeil nach oben 18">
            <a:extLst>
              <a:ext uri="{FF2B5EF4-FFF2-40B4-BE49-F238E27FC236}">
                <a16:creationId xmlns:a16="http://schemas.microsoft.com/office/drawing/2014/main" id="{00000000-0008-0000-1D00-000013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73</xdr:row>
      <xdr:rowOff>209550</xdr:rowOff>
    </xdr:from>
    <xdr:to>
      <xdr:col>0</xdr:col>
      <xdr:colOff>381150</xdr:colOff>
      <xdr:row>75</xdr:row>
      <xdr:rowOff>1615</xdr:rowOff>
    </xdr:to>
    <xdr:grpSp>
      <xdr:nvGrpSpPr>
        <xdr:cNvPr id="20" name="Gruppieren 1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D00-000014000000}"/>
            </a:ext>
          </a:extLst>
        </xdr:cNvPr>
        <xdr:cNvGrpSpPr/>
      </xdr:nvGrpSpPr>
      <xdr:grpSpPr>
        <a:xfrm>
          <a:off x="57150" y="22452330"/>
          <a:ext cx="324000" cy="325465"/>
          <a:chOff x="66675" y="4972050"/>
          <a:chExt cx="324000" cy="325465"/>
        </a:xfrm>
      </xdr:grpSpPr>
      <xdr:sp macro="" textlink="">
        <xdr:nvSpPr>
          <xdr:cNvPr id="21" name="Rechteck 20">
            <a:extLst>
              <a:ext uri="{FF2B5EF4-FFF2-40B4-BE49-F238E27FC236}">
                <a16:creationId xmlns:a16="http://schemas.microsoft.com/office/drawing/2014/main" id="{00000000-0008-0000-1D00-000015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" name="Pfeil nach oben 21">
            <a:extLst>
              <a:ext uri="{FF2B5EF4-FFF2-40B4-BE49-F238E27FC236}">
                <a16:creationId xmlns:a16="http://schemas.microsoft.com/office/drawing/2014/main" id="{00000000-0008-0000-1D00-000016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0</xdr:col>
      <xdr:colOff>57150</xdr:colOff>
      <xdr:row>87</xdr:row>
      <xdr:rowOff>209550</xdr:rowOff>
    </xdr:from>
    <xdr:to>
      <xdr:col>0</xdr:col>
      <xdr:colOff>381150</xdr:colOff>
      <xdr:row>89</xdr:row>
      <xdr:rowOff>1615</xdr:rowOff>
    </xdr:to>
    <xdr:grpSp>
      <xdr:nvGrpSpPr>
        <xdr:cNvPr id="23" name="Gruppieren 2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D00-000017000000}"/>
            </a:ext>
          </a:extLst>
        </xdr:cNvPr>
        <xdr:cNvGrpSpPr/>
      </xdr:nvGrpSpPr>
      <xdr:grpSpPr>
        <a:xfrm>
          <a:off x="57150" y="26323290"/>
          <a:ext cx="324000" cy="325465"/>
          <a:chOff x="66675" y="4972050"/>
          <a:chExt cx="324000" cy="325465"/>
        </a:xfrm>
      </xdr:grpSpPr>
      <xdr:sp macro="" textlink="">
        <xdr:nvSpPr>
          <xdr:cNvPr id="24" name="Rechteck 23">
            <a:extLst>
              <a:ext uri="{FF2B5EF4-FFF2-40B4-BE49-F238E27FC236}">
                <a16:creationId xmlns:a16="http://schemas.microsoft.com/office/drawing/2014/main" id="{00000000-0008-0000-1D00-000018000000}"/>
              </a:ext>
            </a:extLst>
          </xdr:cNvPr>
          <xdr:cNvSpPr>
            <a:spLocks noChangeAspect="1"/>
          </xdr:cNvSpPr>
        </xdr:nvSpPr>
        <xdr:spPr>
          <a:xfrm>
            <a:off x="66675" y="497205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5" name="Pfeil nach oben 24">
            <a:extLst>
              <a:ext uri="{FF2B5EF4-FFF2-40B4-BE49-F238E27FC236}">
                <a16:creationId xmlns:a16="http://schemas.microsoft.com/office/drawing/2014/main" id="{00000000-0008-0000-1D00-000019000000}"/>
              </a:ext>
            </a:extLst>
          </xdr:cNvPr>
          <xdr:cNvSpPr>
            <a:spLocks noChangeAspect="1"/>
          </xdr:cNvSpPr>
        </xdr:nvSpPr>
        <xdr:spPr>
          <a:xfrm>
            <a:off x="139160" y="5044782"/>
            <a:ext cx="179030" cy="180000"/>
          </a:xfrm>
          <a:prstGeom prst="up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l"/>
            <a:endParaRPr lang="de-CH" sz="1100" baseline="0"/>
          </a:p>
        </xdr:txBody>
      </xdr:sp>
    </xdr:grpSp>
    <xdr:clientData fPrintsWithSheet="0"/>
  </xdr:twoCellAnchor>
  <xdr:twoCellAnchor editAs="oneCell">
    <xdr:from>
      <xdr:col>1</xdr:col>
      <xdr:colOff>0</xdr:colOff>
      <xdr:row>2</xdr:row>
      <xdr:rowOff>134318</xdr:rowOff>
    </xdr:from>
    <xdr:to>
      <xdr:col>2</xdr:col>
      <xdr:colOff>1306530</xdr:colOff>
      <xdr:row>4</xdr:row>
      <xdr:rowOff>28575</xdr:rowOff>
    </xdr:to>
    <xdr:grpSp>
      <xdr:nvGrpSpPr>
        <xdr:cNvPr id="32" name="Gruppieren 3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D00-000020000000}"/>
            </a:ext>
          </a:extLst>
        </xdr:cNvPr>
        <xdr:cNvGrpSpPr/>
      </xdr:nvGrpSpPr>
      <xdr:grpSpPr>
        <a:xfrm>
          <a:off x="480060" y="713438"/>
          <a:ext cx="1603710" cy="2728897"/>
          <a:chOff x="466725" y="1840323"/>
          <a:chExt cx="1250969" cy="2403626"/>
        </a:xfrm>
      </xdr:grpSpPr>
      <xdr:graphicFrame macro="">
        <xdr:nvGraphicFramePr>
          <xdr:cNvPr id="33" name="Diagramm 32">
            <a:extLst>
              <a:ext uri="{FF2B5EF4-FFF2-40B4-BE49-F238E27FC236}">
                <a16:creationId xmlns:a16="http://schemas.microsoft.com/office/drawing/2014/main" id="{00000000-0008-0000-1D00-000021000000}"/>
              </a:ext>
            </a:extLst>
          </xdr:cNvPr>
          <xdr:cNvGraphicFramePr>
            <a:graphicFrameLocks/>
          </xdr:cNvGraphicFramePr>
        </xdr:nvGraphicFramePr>
        <xdr:xfrm>
          <a:off x="466725" y="2943476"/>
          <a:ext cx="1250969" cy="130047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' '!A321">
        <xdr:nvSpPr>
          <xdr:cNvPr id="34" name="Freihandform 33">
            <a:extLst>
              <a:ext uri="{FF2B5EF4-FFF2-40B4-BE49-F238E27FC236}">
                <a16:creationId xmlns:a16="http://schemas.microsoft.com/office/drawing/2014/main" id="{00000000-0008-0000-1D00-000022000000}"/>
              </a:ext>
            </a:extLst>
          </xdr:cNvPr>
          <xdr:cNvSpPr/>
        </xdr:nvSpPr>
        <xdr:spPr>
          <a:xfrm rot="17700000">
            <a:off x="778657" y="2129898"/>
            <a:ext cx="111788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25B5BB03-EBF9-4655-AEBD-2146729493B2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Interne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 editAs="oneCell">
    <xdr:from>
      <xdr:col>2</xdr:col>
      <xdr:colOff>1447479</xdr:colOff>
      <xdr:row>2</xdr:row>
      <xdr:rowOff>134318</xdr:rowOff>
    </xdr:from>
    <xdr:to>
      <xdr:col>4</xdr:col>
      <xdr:colOff>763284</xdr:colOff>
      <xdr:row>4</xdr:row>
      <xdr:rowOff>28575</xdr:rowOff>
    </xdr:to>
    <xdr:grpSp>
      <xdr:nvGrpSpPr>
        <xdr:cNvPr id="35" name="Gruppieren 3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D00-000023000000}"/>
            </a:ext>
          </a:extLst>
        </xdr:cNvPr>
        <xdr:cNvGrpSpPr/>
      </xdr:nvGrpSpPr>
      <xdr:grpSpPr>
        <a:xfrm>
          <a:off x="2224719" y="713438"/>
          <a:ext cx="1655145" cy="2728897"/>
          <a:chOff x="1752279" y="1840323"/>
          <a:chExt cx="1250969" cy="2403626"/>
        </a:xfrm>
      </xdr:grpSpPr>
      <xdr:graphicFrame macro="">
        <xdr:nvGraphicFramePr>
          <xdr:cNvPr id="36" name="Diagramm 35">
            <a:extLst>
              <a:ext uri="{FF2B5EF4-FFF2-40B4-BE49-F238E27FC236}">
                <a16:creationId xmlns:a16="http://schemas.microsoft.com/office/drawing/2014/main" id="{00000000-0008-0000-1D00-000024000000}"/>
              </a:ext>
            </a:extLst>
          </xdr:cNvPr>
          <xdr:cNvGraphicFramePr>
            <a:graphicFrameLocks/>
          </xdr:cNvGraphicFramePr>
        </xdr:nvGraphicFramePr>
        <xdr:xfrm>
          <a:off x="1752279" y="2943476"/>
          <a:ext cx="1250969" cy="130047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' '!A322">
        <xdr:nvSpPr>
          <xdr:cNvPr id="37" name="Freihandform 36">
            <a:extLst>
              <a:ext uri="{FF2B5EF4-FFF2-40B4-BE49-F238E27FC236}">
                <a16:creationId xmlns:a16="http://schemas.microsoft.com/office/drawing/2014/main" id="{00000000-0008-0000-1D00-000025000000}"/>
              </a:ext>
            </a:extLst>
          </xdr:cNvPr>
          <xdr:cNvSpPr/>
        </xdr:nvSpPr>
        <xdr:spPr>
          <a:xfrm rot="17700000">
            <a:off x="2069257" y="2129898"/>
            <a:ext cx="111788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DC2A1051-E2C5-468E-B33C-CE0C13B66D8A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Externe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 editAs="oneCell">
    <xdr:from>
      <xdr:col>4</xdr:col>
      <xdr:colOff>904233</xdr:colOff>
      <xdr:row>2</xdr:row>
      <xdr:rowOff>134318</xdr:rowOff>
    </xdr:from>
    <xdr:to>
      <xdr:col>5</xdr:col>
      <xdr:colOff>220038</xdr:colOff>
      <xdr:row>4</xdr:row>
      <xdr:rowOff>28575</xdr:rowOff>
    </xdr:to>
    <xdr:grpSp>
      <xdr:nvGrpSpPr>
        <xdr:cNvPr id="38" name="Gruppieren 3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D00-000026000000}"/>
            </a:ext>
          </a:extLst>
        </xdr:cNvPr>
        <xdr:cNvGrpSpPr/>
      </xdr:nvGrpSpPr>
      <xdr:grpSpPr>
        <a:xfrm>
          <a:off x="4020813" y="713438"/>
          <a:ext cx="1655145" cy="2728897"/>
          <a:chOff x="3037833" y="1840323"/>
          <a:chExt cx="1250969" cy="2403626"/>
        </a:xfrm>
      </xdr:grpSpPr>
      <xdr:graphicFrame macro="">
        <xdr:nvGraphicFramePr>
          <xdr:cNvPr id="39" name="Diagramm 38">
            <a:extLst>
              <a:ext uri="{FF2B5EF4-FFF2-40B4-BE49-F238E27FC236}">
                <a16:creationId xmlns:a16="http://schemas.microsoft.com/office/drawing/2014/main" id="{00000000-0008-0000-1D00-000027000000}"/>
              </a:ext>
            </a:extLst>
          </xdr:cNvPr>
          <xdr:cNvGraphicFramePr>
            <a:graphicFrameLocks/>
          </xdr:cNvGraphicFramePr>
        </xdr:nvGraphicFramePr>
        <xdr:xfrm>
          <a:off x="3037833" y="2943476"/>
          <a:ext cx="1250969" cy="130047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sp macro="" textlink="' '!A323">
        <xdr:nvSpPr>
          <xdr:cNvPr id="40" name="Freihandform 39">
            <a:extLst>
              <a:ext uri="{FF2B5EF4-FFF2-40B4-BE49-F238E27FC236}">
                <a16:creationId xmlns:a16="http://schemas.microsoft.com/office/drawing/2014/main" id="{00000000-0008-0000-1D00-000028000000}"/>
              </a:ext>
            </a:extLst>
          </xdr:cNvPr>
          <xdr:cNvSpPr/>
        </xdr:nvSpPr>
        <xdr:spPr>
          <a:xfrm rot="17700000">
            <a:off x="3359857" y="2129898"/>
            <a:ext cx="111788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0CE3DB84-361C-43FD-B6A2-087EA61032D2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Internet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 editAs="oneCell">
    <xdr:from>
      <xdr:col>5</xdr:col>
      <xdr:colOff>360987</xdr:colOff>
      <xdr:row>2</xdr:row>
      <xdr:rowOff>14098</xdr:rowOff>
    </xdr:from>
    <xdr:to>
      <xdr:col>5</xdr:col>
      <xdr:colOff>1953267</xdr:colOff>
      <xdr:row>4</xdr:row>
      <xdr:rowOff>28575</xdr:rowOff>
    </xdr:to>
    <xdr:grpSp>
      <xdr:nvGrpSpPr>
        <xdr:cNvPr id="41" name="Gruppieren 4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D00-000029000000}"/>
            </a:ext>
          </a:extLst>
        </xdr:cNvPr>
        <xdr:cNvGrpSpPr/>
      </xdr:nvGrpSpPr>
      <xdr:grpSpPr>
        <a:xfrm>
          <a:off x="5816907" y="593218"/>
          <a:ext cx="1592280" cy="2849117"/>
          <a:chOff x="4323387" y="1734580"/>
          <a:chExt cx="1250969" cy="2509369"/>
        </a:xfrm>
      </xdr:grpSpPr>
      <xdr:graphicFrame macro="">
        <xdr:nvGraphicFramePr>
          <xdr:cNvPr id="42" name="Diagramm 41">
            <a:extLst>
              <a:ext uri="{FF2B5EF4-FFF2-40B4-BE49-F238E27FC236}">
                <a16:creationId xmlns:a16="http://schemas.microsoft.com/office/drawing/2014/main" id="{00000000-0008-0000-1D00-00002A000000}"/>
              </a:ext>
            </a:extLst>
          </xdr:cNvPr>
          <xdr:cNvGraphicFramePr>
            <a:graphicFrameLocks/>
          </xdr:cNvGraphicFramePr>
        </xdr:nvGraphicFramePr>
        <xdr:xfrm>
          <a:off x="4323387" y="2943476"/>
          <a:ext cx="1250969" cy="130047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sp macro="" textlink="' '!A324">
        <xdr:nvSpPr>
          <xdr:cNvPr id="43" name="Freihandform 42">
            <a:extLst>
              <a:ext uri="{FF2B5EF4-FFF2-40B4-BE49-F238E27FC236}">
                <a16:creationId xmlns:a16="http://schemas.microsoft.com/office/drawing/2014/main" id="{00000000-0008-0000-1D00-00002B000000}"/>
              </a:ext>
            </a:extLst>
          </xdr:cNvPr>
          <xdr:cNvSpPr/>
        </xdr:nvSpPr>
        <xdr:spPr>
          <a:xfrm rot="17700000">
            <a:off x="4594987" y="2079625"/>
            <a:ext cx="122882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7A8FCDC5-3318-462A-A5F9-8AB255FDA6B9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Social Medias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 editAs="oneCell">
    <xdr:from>
      <xdr:col>5</xdr:col>
      <xdr:colOff>2094216</xdr:colOff>
      <xdr:row>2</xdr:row>
      <xdr:rowOff>134318</xdr:rowOff>
    </xdr:from>
    <xdr:to>
      <xdr:col>7</xdr:col>
      <xdr:colOff>600396</xdr:colOff>
      <xdr:row>4</xdr:row>
      <xdr:rowOff>28575</xdr:rowOff>
    </xdr:to>
    <xdr:grpSp>
      <xdr:nvGrpSpPr>
        <xdr:cNvPr id="44" name="Gruppieren 4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D00-00002C000000}"/>
            </a:ext>
          </a:extLst>
        </xdr:cNvPr>
        <xdr:cNvGrpSpPr/>
      </xdr:nvGrpSpPr>
      <xdr:grpSpPr>
        <a:xfrm>
          <a:off x="7550136" y="713438"/>
          <a:ext cx="1676100" cy="2728897"/>
          <a:chOff x="5608941" y="1840323"/>
          <a:chExt cx="1250969" cy="2403626"/>
        </a:xfrm>
      </xdr:grpSpPr>
      <xdr:graphicFrame macro="">
        <xdr:nvGraphicFramePr>
          <xdr:cNvPr id="45" name="Diagramm 44">
            <a:extLst>
              <a:ext uri="{FF2B5EF4-FFF2-40B4-BE49-F238E27FC236}">
                <a16:creationId xmlns:a16="http://schemas.microsoft.com/office/drawing/2014/main" id="{00000000-0008-0000-1D00-00002D000000}"/>
              </a:ext>
            </a:extLst>
          </xdr:cNvPr>
          <xdr:cNvGraphicFramePr>
            <a:graphicFrameLocks/>
          </xdr:cNvGraphicFramePr>
        </xdr:nvGraphicFramePr>
        <xdr:xfrm>
          <a:off x="5608941" y="2943476"/>
          <a:ext cx="1250969" cy="130047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2"/>
          </a:graphicData>
        </a:graphic>
      </xdr:graphicFrame>
      <xdr:sp macro="" textlink="' '!A325">
        <xdr:nvSpPr>
          <xdr:cNvPr id="46" name="Freihandform 45">
            <a:extLst>
              <a:ext uri="{FF2B5EF4-FFF2-40B4-BE49-F238E27FC236}">
                <a16:creationId xmlns:a16="http://schemas.microsoft.com/office/drawing/2014/main" id="{00000000-0008-0000-1D00-00002E000000}"/>
              </a:ext>
            </a:extLst>
          </xdr:cNvPr>
          <xdr:cNvSpPr/>
        </xdr:nvSpPr>
        <xdr:spPr>
          <a:xfrm rot="17700000">
            <a:off x="5941057" y="2129898"/>
            <a:ext cx="111788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BA5F05F2-4742-4387-9488-95A4A89B9E82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Relations publiques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</xdr:grpSp>
    <xdr:clientData/>
  </xdr:twoCellAnchor>
  <xdr:twoCellAnchor editAs="oneCell">
    <xdr:from>
      <xdr:col>7</xdr:col>
      <xdr:colOff>741345</xdr:colOff>
      <xdr:row>2</xdr:row>
      <xdr:rowOff>134318</xdr:rowOff>
    </xdr:from>
    <xdr:to>
      <xdr:col>8</xdr:col>
      <xdr:colOff>390525</xdr:colOff>
      <xdr:row>4</xdr:row>
      <xdr:rowOff>28575</xdr:rowOff>
    </xdr:to>
    <xdr:grpSp>
      <xdr:nvGrpSpPr>
        <xdr:cNvPr id="50" name="Gruppieren 49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1D00-000032000000}"/>
            </a:ext>
          </a:extLst>
        </xdr:cNvPr>
        <xdr:cNvGrpSpPr/>
      </xdr:nvGrpSpPr>
      <xdr:grpSpPr>
        <a:xfrm>
          <a:off x="9367185" y="713438"/>
          <a:ext cx="1645620" cy="2728897"/>
          <a:chOff x="6894495" y="1840323"/>
          <a:chExt cx="1250969" cy="2403626"/>
        </a:xfrm>
      </xdr:grpSpPr>
      <xdr:sp macro="" textlink="' '!A326">
        <xdr:nvSpPr>
          <xdr:cNvPr id="51" name="Freihandform 50">
            <a:extLst>
              <a:ext uri="{FF2B5EF4-FFF2-40B4-BE49-F238E27FC236}">
                <a16:creationId xmlns:a16="http://schemas.microsoft.com/office/drawing/2014/main" id="{00000000-0008-0000-1D00-000033000000}"/>
              </a:ext>
            </a:extLst>
          </xdr:cNvPr>
          <xdr:cNvSpPr/>
        </xdr:nvSpPr>
        <xdr:spPr>
          <a:xfrm rot="17700000">
            <a:off x="7231657" y="2129898"/>
            <a:ext cx="1117884" cy="538733"/>
          </a:xfrm>
          <a:custGeom>
            <a:avLst/>
            <a:gdLst>
              <a:gd name="connsiteX0" fmla="*/ 0 w 1117884"/>
              <a:gd name="connsiteY0" fmla="*/ 0 h 538733"/>
              <a:gd name="connsiteX1" fmla="*/ 1117884 w 1117884"/>
              <a:gd name="connsiteY1" fmla="*/ 0 h 538733"/>
              <a:gd name="connsiteX2" fmla="*/ 1117884 w 1117884"/>
              <a:gd name="connsiteY2" fmla="*/ 538733 h 538733"/>
              <a:gd name="connsiteX3" fmla="*/ 0 w 1117884"/>
              <a:gd name="connsiteY3" fmla="*/ 538733 h 538733"/>
              <a:gd name="connsiteX4" fmla="*/ 0 w 1117884"/>
              <a:gd name="connsiteY4" fmla="*/ 0 h 5387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17884" h="538733">
                <a:moveTo>
                  <a:pt x="0" y="0"/>
                </a:moveTo>
                <a:lnTo>
                  <a:pt x="1117884" y="0"/>
                </a:lnTo>
                <a:lnTo>
                  <a:pt x="1117884" y="538733"/>
                </a:lnTo>
                <a:lnTo>
                  <a:pt x="0" y="538733"/>
                </a:lnTo>
                <a:lnTo>
                  <a:pt x="0" y="0"/>
                </a:lnTo>
                <a:close/>
              </a:path>
            </a:pathLst>
          </a:custGeom>
          <a:noFill/>
          <a:ln>
            <a:noFill/>
          </a:ln>
          <a:effectLst/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5559" tIns="-1" rIns="0" bIns="0" numCol="1" spcCol="1270" anchor="ctr" anchorCtr="0">
            <a:noAutofit/>
          </a:bodyPr>
          <a:lstStyle>
            <a:defPPr>
              <a:defRPr lang="de-DE"/>
            </a:defPPr>
            <a:lvl1pPr marL="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1pPr>
            <a:lvl2pPr marL="457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2pPr>
            <a:lvl3pPr marL="914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3pPr>
            <a:lvl4pPr marL="1371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4pPr>
            <a:lvl5pPr marL="18288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5pPr>
            <a:lvl6pPr marL="22860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6pPr>
            <a:lvl7pPr marL="27432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7pPr>
            <a:lvl8pPr marL="32004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8pPr>
            <a:lvl9pPr marL="3657600" algn="l" defTabSz="914400" rtl="0" eaLnBrk="1" latinLnBrk="0" hangingPunct="1">
              <a:defRPr sz="1800" kern="1200">
                <a:solidFill>
                  <a:sysClr val="windowText" lastClr="000000">
                    <a:hueOff val="0"/>
                    <a:satOff val="0"/>
                    <a:lumOff val="0"/>
                    <a:alphaOff val="0"/>
                  </a:sysClr>
                </a:solidFill>
                <a:latin typeface="Calibri" panose="020F0502020204030204"/>
                <a:ea typeface=""/>
                <a:cs typeface=""/>
              </a:defRPr>
            </a:lvl9pPr>
          </a:lstStyle>
          <a:p>
            <a:pPr marL="0" lvl="0" indent="0" algn="l" defTabSz="622300" rtl="0" eaLnBrk="1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fld id="{5277DBC0-376E-4631-84B0-652835720CD0}" type="TxLink">
              <a:rPr lang="en-US" sz="1400" kern="1200">
                <a:solidFill>
                  <a:schemeClr val="tx2"/>
                </a:solidFill>
                <a:latin typeface="Calibri" panose="020F0502020204030204"/>
                <a:ea typeface=""/>
                <a:cs typeface=""/>
              </a:rPr>
              <a:pPr marL="0" lvl="0" indent="0" algn="l" defTabSz="622300" rtl="0" eaLnBrk="1" latinLnBrk="0" hangingPunct="1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t>Divers</a:t>
            </a:fld>
            <a:endParaRPr lang="de-CH" sz="1400" kern="1200">
              <a:solidFill>
                <a:schemeClr val="tx2"/>
              </a:solidFill>
              <a:latin typeface="Calibri" panose="020F0502020204030204"/>
              <a:ea typeface=""/>
              <a:cs typeface=""/>
            </a:endParaRPr>
          </a:p>
        </xdr:txBody>
      </xdr:sp>
      <xdr:graphicFrame macro="">
        <xdr:nvGraphicFramePr>
          <xdr:cNvPr id="52" name="Diagramm 51">
            <a:extLst>
              <a:ext uri="{FF2B5EF4-FFF2-40B4-BE49-F238E27FC236}">
                <a16:creationId xmlns:a16="http://schemas.microsoft.com/office/drawing/2014/main" id="{00000000-0008-0000-1D00-000034000000}"/>
              </a:ext>
            </a:extLst>
          </xdr:cNvPr>
          <xdr:cNvGraphicFramePr>
            <a:graphicFrameLocks/>
          </xdr:cNvGraphicFramePr>
        </xdr:nvGraphicFramePr>
        <xdr:xfrm>
          <a:off x="6894495" y="2943476"/>
          <a:ext cx="1250969" cy="130047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4"/>
          </a:graphicData>
        </a:graphic>
      </xdr:graphicFrame>
    </xdr:grpSp>
    <xdr:clientData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56" name="Gruppieren 55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1D00-000038000000}"/>
            </a:ext>
          </a:extLst>
        </xdr:cNvPr>
        <xdr:cNvGrpSpPr/>
      </xdr:nvGrpSpPr>
      <xdr:grpSpPr>
        <a:xfrm>
          <a:off x="76200" y="104775"/>
          <a:ext cx="324000" cy="325465"/>
          <a:chOff x="9191625" y="3009900"/>
          <a:chExt cx="324000" cy="325465"/>
        </a:xfrm>
      </xdr:grpSpPr>
      <xdr:sp macro="" textlink="">
        <xdr:nvSpPr>
          <xdr:cNvPr id="57" name="Rechteck 56">
            <a:extLst>
              <a:ext uri="{FF2B5EF4-FFF2-40B4-BE49-F238E27FC236}">
                <a16:creationId xmlns:a16="http://schemas.microsoft.com/office/drawing/2014/main" id="{00000000-0008-0000-1D00-00003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8" name="Pfeil nach links 57">
            <a:extLst>
              <a:ext uri="{FF2B5EF4-FFF2-40B4-BE49-F238E27FC236}">
                <a16:creationId xmlns:a16="http://schemas.microsoft.com/office/drawing/2014/main" id="{00000000-0008-0000-1D00-00003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0</xdr:row>
          <xdr:rowOff>9525</xdr:rowOff>
        </xdr:from>
        <xdr:to>
          <xdr:col>9</xdr:col>
          <xdr:colOff>3810</xdr:colOff>
          <xdr:row>0</xdr:row>
          <xdr:rowOff>542925</xdr:rowOff>
        </xdr:to>
        <xdr:pic>
          <xdr:nvPicPr>
            <xdr:cNvPr id="47" name="Grafik 45">
              <a:extLst>
                <a:ext uri="{FF2B5EF4-FFF2-40B4-BE49-F238E27FC236}">
                  <a16:creationId xmlns:a16="http://schemas.microsoft.com/office/drawing/2014/main" id="{00000000-0008-0000-1D00-00002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23561"/>
                </a:ext>
              </a:extLst>
            </xdr:cNvPicPr>
          </xdr:nvPicPr>
          <xdr:blipFill>
            <a:blip xmlns:r="http://schemas.openxmlformats.org/officeDocument/2006/relationships" r:embed="rId16"/>
            <a:srcRect/>
            <a:stretch>
              <a:fillRect/>
            </a:stretch>
          </xdr:blipFill>
          <xdr:spPr bwMode="auto">
            <a:xfrm>
              <a:off x="8591550" y="9525"/>
              <a:ext cx="217551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1304925</xdr:colOff>
      <xdr:row>4</xdr:row>
      <xdr:rowOff>351618</xdr:rowOff>
    </xdr:from>
    <xdr:to>
      <xdr:col>2</xdr:col>
      <xdr:colOff>1628925</xdr:colOff>
      <xdr:row>4</xdr:row>
      <xdr:rowOff>677083</xdr:rowOff>
    </xdr:to>
    <xdr:sp macro="" textlink="">
      <xdr:nvSpPr>
        <xdr:cNvPr id="2" name="Rechteck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SpPr>
          <a:spLocks noChangeAspect="1"/>
        </xdr:cNvSpPr>
      </xdr:nvSpPr>
      <xdr:spPr>
        <a:xfrm>
          <a:off x="2009775" y="1466043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8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ok</a:t>
          </a:r>
        </a:p>
      </xdr:txBody>
    </xdr:sp>
    <xdr:clientData fPrintsWithSheet="0"/>
  </xdr:twoCellAnchor>
  <xdr:twoCellAnchor editAs="oneCell">
    <xdr:from>
      <xdr:col>2</xdr:col>
      <xdr:colOff>9525</xdr:colOff>
      <xdr:row>3</xdr:row>
      <xdr:rowOff>104775</xdr:rowOff>
    </xdr:from>
    <xdr:to>
      <xdr:col>2</xdr:col>
      <xdr:colOff>904875</xdr:colOff>
      <xdr:row>5</xdr:row>
      <xdr:rowOff>95250</xdr:rowOff>
    </xdr:to>
    <xdr:pic>
      <xdr:nvPicPr>
        <xdr:cNvPr id="6" name="Grafik 5" descr="http://files.softicons.com/download/folder-icons/latt-sjo-icons-by-rick-patrick/png/128x128/Open.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14375" y="1028700"/>
          <a:ext cx="89535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twoCellAnchor editAs="oneCell">
    <xdr:from>
      <xdr:col>1</xdr:col>
      <xdr:colOff>85726</xdr:colOff>
      <xdr:row>1</xdr:row>
      <xdr:rowOff>142875</xdr:rowOff>
    </xdr:from>
    <xdr:to>
      <xdr:col>2</xdr:col>
      <xdr:colOff>2400301</xdr:colOff>
      <xdr:row>6</xdr:row>
      <xdr:rowOff>123825</xdr:rowOff>
    </xdr:to>
    <xdr:sp macro="" textlink="">
      <xdr:nvSpPr>
        <xdr:cNvPr id="7" name="Rechteck 6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SpPr/>
      </xdr:nvSpPr>
      <xdr:spPr>
        <a:xfrm>
          <a:off x="552451" y="676275"/>
          <a:ext cx="2552700" cy="1476375"/>
        </a:xfrm>
        <a:prstGeom prst="rect">
          <a:avLst/>
        </a:prstGeom>
        <a:noFill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 editAs="oneCell">
    <xdr:from>
      <xdr:col>2</xdr:col>
      <xdr:colOff>1828800</xdr:colOff>
      <xdr:row>4</xdr:row>
      <xdr:rowOff>351618</xdr:rowOff>
    </xdr:from>
    <xdr:to>
      <xdr:col>2</xdr:col>
      <xdr:colOff>2152800</xdr:colOff>
      <xdr:row>4</xdr:row>
      <xdr:rowOff>677083</xdr:rowOff>
    </xdr:to>
    <xdr:grpSp>
      <xdr:nvGrpSpPr>
        <xdr:cNvPr id="8" name="Gruppieren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E00-000008000000}"/>
            </a:ext>
          </a:extLst>
        </xdr:cNvPr>
        <xdr:cNvGrpSpPr/>
      </xdr:nvGrpSpPr>
      <xdr:grpSpPr>
        <a:xfrm>
          <a:off x="2552700" y="1479378"/>
          <a:ext cx="324000" cy="325465"/>
          <a:chOff x="9191625" y="300990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1E00-00000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Pfeil nach links 9">
            <a:extLst>
              <a:ext uri="{FF2B5EF4-FFF2-40B4-BE49-F238E27FC236}">
                <a16:creationId xmlns:a16="http://schemas.microsoft.com/office/drawing/2014/main" id="{00000000-0008-0000-1E00-00000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3</xdr:col>
      <xdr:colOff>9525</xdr:colOff>
      <xdr:row>5</xdr:row>
      <xdr:rowOff>85725</xdr:rowOff>
    </xdr:from>
    <xdr:ext cx="895350" cy="247650"/>
    <xdr:sp macro="" textlink="">
      <xdr:nvSpPr>
        <xdr:cNvPr id="14" name="Textfeld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E00-00000E000000}"/>
            </a:ext>
          </a:extLst>
        </xdr:cNvPr>
        <xdr:cNvSpPr txBox="1"/>
      </xdr:nvSpPr>
      <xdr:spPr>
        <a:xfrm>
          <a:off x="3419475" y="1914525"/>
          <a:ext cx="895350" cy="24765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4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free trial</a:t>
          </a:r>
        </a:p>
      </xdr:txBody>
    </xdr:sp>
    <xdr:clientData fPrintsWithSheet="0"/>
  </xdr:one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11" name="Gruppieren 1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E00-00000B000000}"/>
            </a:ext>
          </a:extLst>
        </xdr:cNvPr>
        <xdr:cNvGrpSpPr/>
      </xdr:nvGrpSpPr>
      <xdr:grpSpPr>
        <a:xfrm>
          <a:off x="76200" y="104775"/>
          <a:ext cx="324000" cy="325465"/>
          <a:chOff x="12729063" y="1298331"/>
          <a:chExt cx="324000" cy="323267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1E00-00000C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3" name="Grafik 12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E00-00000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1</xdr:col>
      <xdr:colOff>0</xdr:colOff>
      <xdr:row>8</xdr:row>
      <xdr:rowOff>114300</xdr:rowOff>
    </xdr:from>
    <xdr:to>
      <xdr:col>3</xdr:col>
      <xdr:colOff>2009775</xdr:colOff>
      <xdr:row>33</xdr:row>
      <xdr:rowOff>114300</xdr:rowOff>
    </xdr:to>
    <xdr:pic>
      <xdr:nvPicPr>
        <xdr:cNvPr id="4" name="Grafik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2533650"/>
          <a:ext cx="4953000" cy="4791075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1304925</xdr:colOff>
      <xdr:row>4</xdr:row>
      <xdr:rowOff>351618</xdr:rowOff>
    </xdr:from>
    <xdr:to>
      <xdr:col>2</xdr:col>
      <xdr:colOff>1628925</xdr:colOff>
      <xdr:row>4</xdr:row>
      <xdr:rowOff>677083</xdr:rowOff>
    </xdr:to>
    <xdr:sp macro="" textlink="">
      <xdr:nvSpPr>
        <xdr:cNvPr id="2" name="Rechteck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SpPr>
          <a:spLocks noChangeAspect="1"/>
        </xdr:cNvSpPr>
      </xdr:nvSpPr>
      <xdr:spPr>
        <a:xfrm>
          <a:off x="2009775" y="1466043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8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ok</a:t>
          </a:r>
        </a:p>
      </xdr:txBody>
    </xdr:sp>
    <xdr:clientData fPrintsWithSheet="0"/>
  </xdr:twoCellAnchor>
  <xdr:twoCellAnchor editAs="oneCell">
    <xdr:from>
      <xdr:col>2</xdr:col>
      <xdr:colOff>9525</xdr:colOff>
      <xdr:row>3</xdr:row>
      <xdr:rowOff>104775</xdr:rowOff>
    </xdr:from>
    <xdr:to>
      <xdr:col>2</xdr:col>
      <xdr:colOff>904875</xdr:colOff>
      <xdr:row>5</xdr:row>
      <xdr:rowOff>95250</xdr:rowOff>
    </xdr:to>
    <xdr:pic>
      <xdr:nvPicPr>
        <xdr:cNvPr id="6" name="Grafik 5" descr="http://files.softicons.com/download/folder-icons/latt-sjo-icons-by-rick-patrick/png/128x128/Open.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14375" y="1028700"/>
          <a:ext cx="89535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twoCellAnchor editAs="oneCell">
    <xdr:from>
      <xdr:col>1</xdr:col>
      <xdr:colOff>85726</xdr:colOff>
      <xdr:row>1</xdr:row>
      <xdr:rowOff>142875</xdr:rowOff>
    </xdr:from>
    <xdr:to>
      <xdr:col>2</xdr:col>
      <xdr:colOff>2400301</xdr:colOff>
      <xdr:row>6</xdr:row>
      <xdr:rowOff>123825</xdr:rowOff>
    </xdr:to>
    <xdr:sp macro="" textlink="">
      <xdr:nvSpPr>
        <xdr:cNvPr id="7" name="Rechteck 6">
          <a:extLst>
            <a:ext uri="{FF2B5EF4-FFF2-40B4-BE49-F238E27FC236}">
              <a16:creationId xmlns:a16="http://schemas.microsoft.com/office/drawing/2014/main" id="{00000000-0008-0000-1F00-000007000000}"/>
            </a:ext>
          </a:extLst>
        </xdr:cNvPr>
        <xdr:cNvSpPr/>
      </xdr:nvSpPr>
      <xdr:spPr>
        <a:xfrm>
          <a:off x="552451" y="676275"/>
          <a:ext cx="2552700" cy="1476375"/>
        </a:xfrm>
        <a:prstGeom prst="rect">
          <a:avLst/>
        </a:prstGeom>
        <a:noFill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oneCellAnchor>
    <xdr:from>
      <xdr:col>3</xdr:col>
      <xdr:colOff>19050</xdr:colOff>
      <xdr:row>5</xdr:row>
      <xdr:rowOff>104775</xdr:rowOff>
    </xdr:from>
    <xdr:ext cx="895350" cy="247650"/>
    <xdr:sp macro="" textlink="">
      <xdr:nvSpPr>
        <xdr:cNvPr id="8" name="Textfeld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SpPr txBox="1"/>
      </xdr:nvSpPr>
      <xdr:spPr>
        <a:xfrm>
          <a:off x="3429000" y="1933575"/>
          <a:ext cx="895350" cy="24765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4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free trial</a:t>
          </a:r>
        </a:p>
      </xdr:txBody>
    </xdr:sp>
    <xdr:clientData fPrintsWithSheet="0"/>
  </xdr:oneCellAnchor>
  <xdr:twoCellAnchor editAs="oneCell">
    <xdr:from>
      <xdr:col>1</xdr:col>
      <xdr:colOff>28576</xdr:colOff>
      <xdr:row>8</xdr:row>
      <xdr:rowOff>133350</xdr:rowOff>
    </xdr:from>
    <xdr:to>
      <xdr:col>4</xdr:col>
      <xdr:colOff>685630</xdr:colOff>
      <xdr:row>33</xdr:row>
      <xdr:rowOff>113392</xdr:rowOff>
    </xdr:to>
    <xdr:pic>
      <xdr:nvPicPr>
        <xdr:cNvPr id="9" name="Grafik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1F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95301" y="2552700"/>
          <a:ext cx="5952954" cy="477111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95250</xdr:rowOff>
    </xdr:from>
    <xdr:to>
      <xdr:col>0</xdr:col>
      <xdr:colOff>400200</xdr:colOff>
      <xdr:row>0</xdr:row>
      <xdr:rowOff>420715</xdr:rowOff>
    </xdr:to>
    <xdr:grpSp>
      <xdr:nvGrpSpPr>
        <xdr:cNvPr id="10" name="Gruppieren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F00-00000A000000}"/>
            </a:ext>
          </a:extLst>
        </xdr:cNvPr>
        <xdr:cNvGrpSpPr/>
      </xdr:nvGrpSpPr>
      <xdr:grpSpPr>
        <a:xfrm>
          <a:off x="76200" y="95250"/>
          <a:ext cx="324000" cy="325465"/>
          <a:chOff x="12729063" y="1298331"/>
          <a:chExt cx="324000" cy="323267"/>
        </a:xfrm>
      </xdr:grpSpPr>
      <xdr:sp macro="" textlink="">
        <xdr:nvSpPr>
          <xdr:cNvPr id="11" name="Rechteck 10">
            <a:extLst>
              <a:ext uri="{FF2B5EF4-FFF2-40B4-BE49-F238E27FC236}">
                <a16:creationId xmlns:a16="http://schemas.microsoft.com/office/drawing/2014/main" id="{00000000-0008-0000-1F00-00000B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2" name="Grafik 11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1F00-00000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1304925</xdr:colOff>
      <xdr:row>4</xdr:row>
      <xdr:rowOff>351618</xdr:rowOff>
    </xdr:from>
    <xdr:ext cx="324000" cy="325465"/>
    <xdr:sp macro="" textlink="">
      <xdr:nvSpPr>
        <xdr:cNvPr id="2" name="Rechteck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SpPr>
          <a:spLocks noChangeAspect="1"/>
        </xdr:cNvSpPr>
      </xdr:nvSpPr>
      <xdr:spPr>
        <a:xfrm>
          <a:off x="2009775" y="1466043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8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ok</a:t>
          </a:r>
        </a:p>
      </xdr:txBody>
    </xdr:sp>
    <xdr:clientData fPrintsWithSheet="0"/>
  </xdr:oneCellAnchor>
  <xdr:oneCellAnchor>
    <xdr:from>
      <xdr:col>2</xdr:col>
      <xdr:colOff>9525</xdr:colOff>
      <xdr:row>3</xdr:row>
      <xdr:rowOff>104775</xdr:rowOff>
    </xdr:from>
    <xdr:ext cx="895350" cy="895350"/>
    <xdr:pic>
      <xdr:nvPicPr>
        <xdr:cNvPr id="6" name="Grafik 5" descr="http://files.softicons.com/download/folder-icons/latt-sjo-icons-by-rick-patrick/png/128x128/Open.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14375" y="1028700"/>
          <a:ext cx="89535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oneCellAnchor>
  <xdr:oneCellAnchor>
    <xdr:from>
      <xdr:col>1</xdr:col>
      <xdr:colOff>85726</xdr:colOff>
      <xdr:row>1</xdr:row>
      <xdr:rowOff>142875</xdr:rowOff>
    </xdr:from>
    <xdr:ext cx="2552700" cy="1476375"/>
    <xdr:sp macro="" textlink="">
      <xdr:nvSpPr>
        <xdr:cNvPr id="7" name="Rechteck 6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SpPr/>
      </xdr:nvSpPr>
      <xdr:spPr>
        <a:xfrm>
          <a:off x="552451" y="676275"/>
          <a:ext cx="2552700" cy="1476375"/>
        </a:xfrm>
        <a:prstGeom prst="rect">
          <a:avLst/>
        </a:prstGeom>
        <a:noFill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oneCellAnchor>
  <xdr:oneCellAnchor>
    <xdr:from>
      <xdr:col>3</xdr:col>
      <xdr:colOff>19050</xdr:colOff>
      <xdr:row>5</xdr:row>
      <xdr:rowOff>104775</xdr:rowOff>
    </xdr:from>
    <xdr:ext cx="895350" cy="247650"/>
    <xdr:sp macro="" textlink="">
      <xdr:nvSpPr>
        <xdr:cNvPr id="8" name="Textfeld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000-000008000000}"/>
            </a:ext>
          </a:extLst>
        </xdr:cNvPr>
        <xdr:cNvSpPr txBox="1"/>
      </xdr:nvSpPr>
      <xdr:spPr>
        <a:xfrm>
          <a:off x="3429000" y="1933575"/>
          <a:ext cx="895350" cy="24765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4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free trial</a:t>
          </a:r>
        </a:p>
      </xdr:txBody>
    </xdr:sp>
    <xdr:clientData fPrintsWithSheet="0"/>
  </xdr:oneCellAnchor>
  <xdr:twoCellAnchor editAs="oneCell">
    <xdr:from>
      <xdr:col>1</xdr:col>
      <xdr:colOff>83512</xdr:colOff>
      <xdr:row>8</xdr:row>
      <xdr:rowOff>70300</xdr:rowOff>
    </xdr:from>
    <xdr:to>
      <xdr:col>3</xdr:col>
      <xdr:colOff>1952625</xdr:colOff>
      <xdr:row>35</xdr:row>
      <xdr:rowOff>161049</xdr:rowOff>
    </xdr:to>
    <xdr:pic>
      <xdr:nvPicPr>
        <xdr:cNvPr id="35" name="Grafik 3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50237" y="2489650"/>
          <a:ext cx="4812338" cy="5262824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114300</xdr:rowOff>
    </xdr:from>
    <xdr:to>
      <xdr:col>0</xdr:col>
      <xdr:colOff>400200</xdr:colOff>
      <xdr:row>0</xdr:row>
      <xdr:rowOff>439765</xdr:rowOff>
    </xdr:to>
    <xdr:grpSp>
      <xdr:nvGrpSpPr>
        <xdr:cNvPr id="10" name="Gruppieren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000-00000A000000}"/>
            </a:ext>
          </a:extLst>
        </xdr:cNvPr>
        <xdr:cNvGrpSpPr/>
      </xdr:nvGrpSpPr>
      <xdr:grpSpPr>
        <a:xfrm>
          <a:off x="76200" y="114300"/>
          <a:ext cx="324000" cy="325465"/>
          <a:chOff x="12729063" y="1298331"/>
          <a:chExt cx="324000" cy="323267"/>
        </a:xfrm>
      </xdr:grpSpPr>
      <xdr:sp macro="" textlink="">
        <xdr:nvSpPr>
          <xdr:cNvPr id="11" name="Rechteck 10">
            <a:extLst>
              <a:ext uri="{FF2B5EF4-FFF2-40B4-BE49-F238E27FC236}">
                <a16:creationId xmlns:a16="http://schemas.microsoft.com/office/drawing/2014/main" id="{00000000-0008-0000-2000-00000B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2" name="Grafik 11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000-00000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1304925</xdr:colOff>
      <xdr:row>4</xdr:row>
      <xdr:rowOff>351618</xdr:rowOff>
    </xdr:from>
    <xdr:to>
      <xdr:col>2</xdr:col>
      <xdr:colOff>1628925</xdr:colOff>
      <xdr:row>4</xdr:row>
      <xdr:rowOff>677083</xdr:rowOff>
    </xdr:to>
    <xdr:sp macro="" textlink="">
      <xdr:nvSpPr>
        <xdr:cNvPr id="2" name="Rechteck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>
          <a:spLocks noChangeAspect="1"/>
        </xdr:cNvSpPr>
      </xdr:nvSpPr>
      <xdr:spPr>
        <a:xfrm>
          <a:off x="2009775" y="1466043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8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ok</a:t>
          </a:r>
        </a:p>
      </xdr:txBody>
    </xdr:sp>
    <xdr:clientData fPrintsWithSheet="0"/>
  </xdr:twoCellAnchor>
  <xdr:twoCellAnchor editAs="oneCell">
    <xdr:from>
      <xdr:col>2</xdr:col>
      <xdr:colOff>9525</xdr:colOff>
      <xdr:row>3</xdr:row>
      <xdr:rowOff>104775</xdr:rowOff>
    </xdr:from>
    <xdr:to>
      <xdr:col>2</xdr:col>
      <xdr:colOff>904875</xdr:colOff>
      <xdr:row>5</xdr:row>
      <xdr:rowOff>95250</xdr:rowOff>
    </xdr:to>
    <xdr:pic>
      <xdr:nvPicPr>
        <xdr:cNvPr id="6" name="Grafik 5" descr="http://files.softicons.com/download/folder-icons/latt-sjo-icons-by-rick-patrick/png/128x128/Open.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14375" y="1028700"/>
          <a:ext cx="89535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twoCellAnchor editAs="oneCell">
    <xdr:from>
      <xdr:col>1</xdr:col>
      <xdr:colOff>85726</xdr:colOff>
      <xdr:row>1</xdr:row>
      <xdr:rowOff>142875</xdr:rowOff>
    </xdr:from>
    <xdr:to>
      <xdr:col>2</xdr:col>
      <xdr:colOff>2400301</xdr:colOff>
      <xdr:row>6</xdr:row>
      <xdr:rowOff>123825</xdr:rowOff>
    </xdr:to>
    <xdr:sp macro="" textlink="">
      <xdr:nvSpPr>
        <xdr:cNvPr id="7" name="Rechteck 6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SpPr/>
      </xdr:nvSpPr>
      <xdr:spPr>
        <a:xfrm>
          <a:off x="552451" y="676275"/>
          <a:ext cx="2552700" cy="1476375"/>
        </a:xfrm>
        <a:prstGeom prst="rect">
          <a:avLst/>
        </a:prstGeom>
        <a:noFill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 editAs="oneCell">
    <xdr:from>
      <xdr:col>2</xdr:col>
      <xdr:colOff>1828800</xdr:colOff>
      <xdr:row>4</xdr:row>
      <xdr:rowOff>351618</xdr:rowOff>
    </xdr:from>
    <xdr:to>
      <xdr:col>2</xdr:col>
      <xdr:colOff>2152800</xdr:colOff>
      <xdr:row>4</xdr:row>
      <xdr:rowOff>677083</xdr:rowOff>
    </xdr:to>
    <xdr:grpSp>
      <xdr:nvGrpSpPr>
        <xdr:cNvPr id="8" name="Gruppieren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100-000008000000}"/>
            </a:ext>
          </a:extLst>
        </xdr:cNvPr>
        <xdr:cNvGrpSpPr/>
      </xdr:nvGrpSpPr>
      <xdr:grpSpPr>
        <a:xfrm>
          <a:off x="2552700" y="1479378"/>
          <a:ext cx="324000" cy="325465"/>
          <a:chOff x="9191625" y="300990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2100-00000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Pfeil nach links 9">
            <a:extLst>
              <a:ext uri="{FF2B5EF4-FFF2-40B4-BE49-F238E27FC236}">
                <a16:creationId xmlns:a16="http://schemas.microsoft.com/office/drawing/2014/main" id="{00000000-0008-0000-2100-00000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3</xdr:col>
      <xdr:colOff>19050</xdr:colOff>
      <xdr:row>5</xdr:row>
      <xdr:rowOff>85725</xdr:rowOff>
    </xdr:from>
    <xdr:ext cx="895350" cy="247650"/>
    <xdr:sp macro="" textlink="">
      <xdr:nvSpPr>
        <xdr:cNvPr id="11" name="Textfeld 1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 txBox="1"/>
      </xdr:nvSpPr>
      <xdr:spPr>
        <a:xfrm>
          <a:off x="3429000" y="1914525"/>
          <a:ext cx="895350" cy="24765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4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free trial</a:t>
          </a:r>
        </a:p>
      </xdr:txBody>
    </xdr:sp>
    <xdr:clientData fPrintsWithSheet="0"/>
  </xdr:oneCellAnchor>
  <xdr:twoCellAnchor editAs="oneCell">
    <xdr:from>
      <xdr:col>1</xdr:col>
      <xdr:colOff>57151</xdr:colOff>
      <xdr:row>8</xdr:row>
      <xdr:rowOff>19051</xdr:rowOff>
    </xdr:from>
    <xdr:to>
      <xdr:col>5</xdr:col>
      <xdr:colOff>103056</xdr:colOff>
      <xdr:row>28</xdr:row>
      <xdr:rowOff>85726</xdr:rowOff>
    </xdr:to>
    <xdr:pic>
      <xdr:nvPicPr>
        <xdr:cNvPr id="3" name="Grafik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23876" y="2438401"/>
          <a:ext cx="6122855" cy="390525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12" name="Gruppieren 1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2100-00000C000000}"/>
            </a:ext>
          </a:extLst>
        </xdr:cNvPr>
        <xdr:cNvGrpSpPr/>
      </xdr:nvGrpSpPr>
      <xdr:grpSpPr>
        <a:xfrm>
          <a:off x="76200" y="104775"/>
          <a:ext cx="324000" cy="325465"/>
          <a:chOff x="12729063" y="1298331"/>
          <a:chExt cx="324000" cy="323267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2100-00000D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4" name="Grafik 1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100-00000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1304925</xdr:colOff>
      <xdr:row>4</xdr:row>
      <xdr:rowOff>351618</xdr:rowOff>
    </xdr:from>
    <xdr:to>
      <xdr:col>2</xdr:col>
      <xdr:colOff>1628925</xdr:colOff>
      <xdr:row>4</xdr:row>
      <xdr:rowOff>677083</xdr:rowOff>
    </xdr:to>
    <xdr:sp macro="" textlink="">
      <xdr:nvSpPr>
        <xdr:cNvPr id="2" name="Rechteck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SpPr>
          <a:spLocks noChangeAspect="1"/>
        </xdr:cNvSpPr>
      </xdr:nvSpPr>
      <xdr:spPr>
        <a:xfrm>
          <a:off x="2009775" y="1466043"/>
          <a:ext cx="324000" cy="325465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8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rPr>
            <a:t>ok</a:t>
          </a:r>
        </a:p>
      </xdr:txBody>
    </xdr:sp>
    <xdr:clientData fPrintsWithSheet="0"/>
  </xdr:twoCellAnchor>
  <xdr:twoCellAnchor editAs="oneCell">
    <xdr:from>
      <xdr:col>2</xdr:col>
      <xdr:colOff>9525</xdr:colOff>
      <xdr:row>3</xdr:row>
      <xdr:rowOff>104775</xdr:rowOff>
    </xdr:from>
    <xdr:to>
      <xdr:col>2</xdr:col>
      <xdr:colOff>904875</xdr:colOff>
      <xdr:row>5</xdr:row>
      <xdr:rowOff>95250</xdr:rowOff>
    </xdr:to>
    <xdr:pic>
      <xdr:nvPicPr>
        <xdr:cNvPr id="6" name="Grafik 5" descr="http://files.softicons.com/download/folder-icons/latt-sjo-icons-by-rick-patrick/png/128x128/Open.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14375" y="1028700"/>
          <a:ext cx="89535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twoCellAnchor editAs="oneCell">
    <xdr:from>
      <xdr:col>1</xdr:col>
      <xdr:colOff>85726</xdr:colOff>
      <xdr:row>1</xdr:row>
      <xdr:rowOff>142875</xdr:rowOff>
    </xdr:from>
    <xdr:to>
      <xdr:col>2</xdr:col>
      <xdr:colOff>2400301</xdr:colOff>
      <xdr:row>6</xdr:row>
      <xdr:rowOff>123825</xdr:rowOff>
    </xdr:to>
    <xdr:sp macro="" textlink="">
      <xdr:nvSpPr>
        <xdr:cNvPr id="7" name="Rechteck 6">
          <a:extLst>
            <a:ext uri="{FF2B5EF4-FFF2-40B4-BE49-F238E27FC236}">
              <a16:creationId xmlns:a16="http://schemas.microsoft.com/office/drawing/2014/main" id="{00000000-0008-0000-2200-000007000000}"/>
            </a:ext>
          </a:extLst>
        </xdr:cNvPr>
        <xdr:cNvSpPr/>
      </xdr:nvSpPr>
      <xdr:spPr>
        <a:xfrm>
          <a:off x="552451" y="676275"/>
          <a:ext cx="2552700" cy="1476375"/>
        </a:xfrm>
        <a:prstGeom prst="rect">
          <a:avLst/>
        </a:prstGeom>
        <a:noFill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de-CH" sz="1100" baseline="0"/>
        </a:p>
      </xdr:txBody>
    </xdr:sp>
    <xdr:clientData/>
  </xdr:twoCellAnchor>
  <xdr:twoCellAnchor editAs="oneCell">
    <xdr:from>
      <xdr:col>2</xdr:col>
      <xdr:colOff>1743075</xdr:colOff>
      <xdr:row>4</xdr:row>
      <xdr:rowOff>352425</xdr:rowOff>
    </xdr:from>
    <xdr:to>
      <xdr:col>2</xdr:col>
      <xdr:colOff>2067075</xdr:colOff>
      <xdr:row>4</xdr:row>
      <xdr:rowOff>677890</xdr:rowOff>
    </xdr:to>
    <xdr:grpSp>
      <xdr:nvGrpSpPr>
        <xdr:cNvPr id="8" name="Gruppieren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200-000008000000}"/>
            </a:ext>
          </a:extLst>
        </xdr:cNvPr>
        <xdr:cNvGrpSpPr/>
      </xdr:nvGrpSpPr>
      <xdr:grpSpPr>
        <a:xfrm>
          <a:off x="2466975" y="1480185"/>
          <a:ext cx="324000" cy="325465"/>
          <a:chOff x="9191625" y="300990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2200-00000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Pfeil nach links 9">
            <a:extLst>
              <a:ext uri="{FF2B5EF4-FFF2-40B4-BE49-F238E27FC236}">
                <a16:creationId xmlns:a16="http://schemas.microsoft.com/office/drawing/2014/main" id="{00000000-0008-0000-2200-00000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3</xdr:col>
      <xdr:colOff>28575</xdr:colOff>
      <xdr:row>5</xdr:row>
      <xdr:rowOff>85725</xdr:rowOff>
    </xdr:from>
    <xdr:ext cx="895350" cy="247650"/>
    <xdr:sp macro="" textlink="">
      <xdr:nvSpPr>
        <xdr:cNvPr id="11" name="Textfeld 1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200-00000B000000}"/>
            </a:ext>
          </a:extLst>
        </xdr:cNvPr>
        <xdr:cNvSpPr txBox="1"/>
      </xdr:nvSpPr>
      <xdr:spPr>
        <a:xfrm>
          <a:off x="3438525" y="1914525"/>
          <a:ext cx="895350" cy="247650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spcFirstLastPara="0" vert="horz" wrap="square" lIns="41949" tIns="34964" rIns="41949" bIns="34964" numCol="1" spcCol="1270" anchor="ctr" anchorCtr="0">
          <a:noAutofit/>
        </a:bodyPr>
        <a:lstStyle/>
        <a:p>
          <a:pPr marL="0" marR="0" lvl="0" indent="0" algn="ctr" defTabSz="466725" rtl="0" eaLnBrk="1" fontAlgn="auto" latinLnBrk="0" hangingPunct="1">
            <a:lnSpc>
              <a:spcPct val="90000"/>
            </a:lnSpc>
            <a:spcBef>
              <a:spcPts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kumimoji="0" lang="de-CH" sz="140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free trial</a:t>
          </a:r>
        </a:p>
      </xdr:txBody>
    </xdr:sp>
    <xdr:clientData fPrintsWithSheet="0"/>
  </xdr:oneCellAnchor>
  <xdr:twoCellAnchor editAs="oneCell">
    <xdr:from>
      <xdr:col>1</xdr:col>
      <xdr:colOff>19050</xdr:colOff>
      <xdr:row>9</xdr:row>
      <xdr:rowOff>0</xdr:rowOff>
    </xdr:from>
    <xdr:to>
      <xdr:col>6</xdr:col>
      <xdr:colOff>20853</xdr:colOff>
      <xdr:row>18</xdr:row>
      <xdr:rowOff>114300</xdr:rowOff>
    </xdr:to>
    <xdr:pic>
      <xdr:nvPicPr>
        <xdr:cNvPr id="3" name="Grafik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85775" y="2619375"/>
          <a:ext cx="6507378" cy="184785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104775</xdr:rowOff>
    </xdr:from>
    <xdr:to>
      <xdr:col>0</xdr:col>
      <xdr:colOff>400200</xdr:colOff>
      <xdr:row>0</xdr:row>
      <xdr:rowOff>430240</xdr:rowOff>
    </xdr:to>
    <xdr:grpSp>
      <xdr:nvGrpSpPr>
        <xdr:cNvPr id="12" name="Gruppieren 1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2200-00000C000000}"/>
            </a:ext>
          </a:extLst>
        </xdr:cNvPr>
        <xdr:cNvGrpSpPr/>
      </xdr:nvGrpSpPr>
      <xdr:grpSpPr>
        <a:xfrm>
          <a:off x="76200" y="104775"/>
          <a:ext cx="324000" cy="325465"/>
          <a:chOff x="12729063" y="1298331"/>
          <a:chExt cx="324000" cy="323267"/>
        </a:xfrm>
      </xdr:grpSpPr>
      <xdr:sp macro="" textlink="">
        <xdr:nvSpPr>
          <xdr:cNvPr id="13" name="Rechteck 12">
            <a:extLst>
              <a:ext uri="{FF2B5EF4-FFF2-40B4-BE49-F238E27FC236}">
                <a16:creationId xmlns:a16="http://schemas.microsoft.com/office/drawing/2014/main" id="{00000000-0008-0000-2200-00000D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14" name="Grafik 1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200-00000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57150</xdr:colOff>
      <xdr:row>3</xdr:row>
      <xdr:rowOff>22860</xdr:rowOff>
    </xdr:from>
    <xdr:to>
      <xdr:col>1</xdr:col>
      <xdr:colOff>363150</xdr:colOff>
      <xdr:row>4</xdr:row>
      <xdr:rowOff>275520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GrpSpPr>
          <a:grpSpLocks noChangeAspect="1"/>
        </xdr:cNvGrpSpPr>
      </xdr:nvGrpSpPr>
      <xdr:grpSpPr>
        <a:xfrm>
          <a:off x="64770" y="876300"/>
          <a:ext cx="306000" cy="306000"/>
          <a:chOff x="9191625" y="3009900"/>
          <a:chExt cx="324000" cy="325465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2300-00000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Pfeil nach links 3">
            <a:extLst>
              <a:ext uri="{FF2B5EF4-FFF2-40B4-BE49-F238E27FC236}">
                <a16:creationId xmlns:a16="http://schemas.microsoft.com/office/drawing/2014/main" id="{00000000-0008-0000-2300-00000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16</xdr:row>
      <xdr:rowOff>9525</xdr:rowOff>
    </xdr:from>
    <xdr:to>
      <xdr:col>1</xdr:col>
      <xdr:colOff>372675</xdr:colOff>
      <xdr:row>17</xdr:row>
      <xdr:rowOff>10725</xdr:rowOff>
    </xdr:to>
    <xdr:grpSp>
      <xdr:nvGrpSpPr>
        <xdr:cNvPr id="5" name="Gruppieren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GrpSpPr>
          <a:grpSpLocks noChangeAspect="1"/>
        </xdr:cNvGrpSpPr>
      </xdr:nvGrpSpPr>
      <xdr:grpSpPr>
        <a:xfrm>
          <a:off x="74295" y="3880485"/>
          <a:ext cx="306000" cy="306000"/>
          <a:chOff x="9191625" y="3009900"/>
          <a:chExt cx="324000" cy="325465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2300-00000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" name="Pfeil nach links 6">
            <a:extLst>
              <a:ext uri="{FF2B5EF4-FFF2-40B4-BE49-F238E27FC236}">
                <a16:creationId xmlns:a16="http://schemas.microsoft.com/office/drawing/2014/main" id="{00000000-0008-0000-2300-00000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28</xdr:row>
      <xdr:rowOff>9525</xdr:rowOff>
    </xdr:from>
    <xdr:to>
      <xdr:col>1</xdr:col>
      <xdr:colOff>372675</xdr:colOff>
      <xdr:row>29</xdr:row>
      <xdr:rowOff>10725</xdr:rowOff>
    </xdr:to>
    <xdr:grpSp>
      <xdr:nvGrpSpPr>
        <xdr:cNvPr id="8" name="Gruppieren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GrpSpPr>
          <a:grpSpLocks noChangeAspect="1"/>
        </xdr:cNvGrpSpPr>
      </xdr:nvGrpSpPr>
      <xdr:grpSpPr>
        <a:xfrm>
          <a:off x="74295" y="6136005"/>
          <a:ext cx="306000" cy="306000"/>
          <a:chOff x="9191625" y="300990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2300-00000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Pfeil nach links 9">
            <a:extLst>
              <a:ext uri="{FF2B5EF4-FFF2-40B4-BE49-F238E27FC236}">
                <a16:creationId xmlns:a16="http://schemas.microsoft.com/office/drawing/2014/main" id="{00000000-0008-0000-2300-00000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40</xdr:row>
      <xdr:rowOff>9525</xdr:rowOff>
    </xdr:from>
    <xdr:to>
      <xdr:col>1</xdr:col>
      <xdr:colOff>372675</xdr:colOff>
      <xdr:row>41</xdr:row>
      <xdr:rowOff>10725</xdr:rowOff>
    </xdr:to>
    <xdr:grpSp>
      <xdr:nvGrpSpPr>
        <xdr:cNvPr id="11" name="Gruppieren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300-00000B000000}"/>
            </a:ext>
          </a:extLst>
        </xdr:cNvPr>
        <xdr:cNvGrpSpPr>
          <a:grpSpLocks noChangeAspect="1"/>
        </xdr:cNvGrpSpPr>
      </xdr:nvGrpSpPr>
      <xdr:grpSpPr>
        <a:xfrm>
          <a:off x="74295" y="8391525"/>
          <a:ext cx="306000" cy="306000"/>
          <a:chOff x="9191625" y="300990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2300-00000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links 12">
            <a:extLst>
              <a:ext uri="{FF2B5EF4-FFF2-40B4-BE49-F238E27FC236}">
                <a16:creationId xmlns:a16="http://schemas.microsoft.com/office/drawing/2014/main" id="{00000000-0008-0000-2300-00000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52</xdr:row>
      <xdr:rowOff>9525</xdr:rowOff>
    </xdr:from>
    <xdr:to>
      <xdr:col>1</xdr:col>
      <xdr:colOff>372675</xdr:colOff>
      <xdr:row>53</xdr:row>
      <xdr:rowOff>10725</xdr:rowOff>
    </xdr:to>
    <xdr:grpSp>
      <xdr:nvGrpSpPr>
        <xdr:cNvPr id="14" name="Gruppieren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300-00000E000000}"/>
            </a:ext>
          </a:extLst>
        </xdr:cNvPr>
        <xdr:cNvGrpSpPr>
          <a:grpSpLocks noChangeAspect="1"/>
        </xdr:cNvGrpSpPr>
      </xdr:nvGrpSpPr>
      <xdr:grpSpPr>
        <a:xfrm>
          <a:off x="74295" y="10647045"/>
          <a:ext cx="306000" cy="306000"/>
          <a:chOff x="9191625" y="3009900"/>
          <a:chExt cx="324000" cy="325465"/>
        </a:xfrm>
      </xdr:grpSpPr>
      <xdr:sp macro="" textlink="">
        <xdr:nvSpPr>
          <xdr:cNvPr id="15" name="Rechteck 14">
            <a:extLst>
              <a:ext uri="{FF2B5EF4-FFF2-40B4-BE49-F238E27FC236}">
                <a16:creationId xmlns:a16="http://schemas.microsoft.com/office/drawing/2014/main" id="{00000000-0008-0000-2300-00000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" name="Pfeil nach links 15">
            <a:extLst>
              <a:ext uri="{FF2B5EF4-FFF2-40B4-BE49-F238E27FC236}">
                <a16:creationId xmlns:a16="http://schemas.microsoft.com/office/drawing/2014/main" id="{00000000-0008-0000-2300-00001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64</xdr:row>
      <xdr:rowOff>9525</xdr:rowOff>
    </xdr:from>
    <xdr:to>
      <xdr:col>1</xdr:col>
      <xdr:colOff>372675</xdr:colOff>
      <xdr:row>65</xdr:row>
      <xdr:rowOff>10725</xdr:rowOff>
    </xdr:to>
    <xdr:grpSp>
      <xdr:nvGrpSpPr>
        <xdr:cNvPr id="17" name="Gruppieren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300-000011000000}"/>
            </a:ext>
          </a:extLst>
        </xdr:cNvPr>
        <xdr:cNvGrpSpPr>
          <a:grpSpLocks noChangeAspect="1"/>
        </xdr:cNvGrpSpPr>
      </xdr:nvGrpSpPr>
      <xdr:grpSpPr>
        <a:xfrm>
          <a:off x="74295" y="12902565"/>
          <a:ext cx="306000" cy="306000"/>
          <a:chOff x="9191625" y="3009900"/>
          <a:chExt cx="324000" cy="325465"/>
        </a:xfrm>
      </xdr:grpSpPr>
      <xdr:sp macro="" textlink="">
        <xdr:nvSpPr>
          <xdr:cNvPr id="18" name="Rechteck 17">
            <a:extLst>
              <a:ext uri="{FF2B5EF4-FFF2-40B4-BE49-F238E27FC236}">
                <a16:creationId xmlns:a16="http://schemas.microsoft.com/office/drawing/2014/main" id="{00000000-0008-0000-2300-00001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" name="Pfeil nach links 18">
            <a:extLst>
              <a:ext uri="{FF2B5EF4-FFF2-40B4-BE49-F238E27FC236}">
                <a16:creationId xmlns:a16="http://schemas.microsoft.com/office/drawing/2014/main" id="{00000000-0008-0000-2300-00001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76</xdr:row>
      <xdr:rowOff>9525</xdr:rowOff>
    </xdr:from>
    <xdr:to>
      <xdr:col>1</xdr:col>
      <xdr:colOff>372675</xdr:colOff>
      <xdr:row>77</xdr:row>
      <xdr:rowOff>10725</xdr:rowOff>
    </xdr:to>
    <xdr:grpSp>
      <xdr:nvGrpSpPr>
        <xdr:cNvPr id="20" name="Gruppieren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2300-000014000000}"/>
            </a:ext>
          </a:extLst>
        </xdr:cNvPr>
        <xdr:cNvGrpSpPr>
          <a:grpSpLocks noChangeAspect="1"/>
        </xdr:cNvGrpSpPr>
      </xdr:nvGrpSpPr>
      <xdr:grpSpPr>
        <a:xfrm>
          <a:off x="74295" y="15158085"/>
          <a:ext cx="306000" cy="306000"/>
          <a:chOff x="9191625" y="3009900"/>
          <a:chExt cx="324000" cy="325465"/>
        </a:xfrm>
      </xdr:grpSpPr>
      <xdr:sp macro="" textlink="">
        <xdr:nvSpPr>
          <xdr:cNvPr id="21" name="Rechteck 20">
            <a:extLst>
              <a:ext uri="{FF2B5EF4-FFF2-40B4-BE49-F238E27FC236}">
                <a16:creationId xmlns:a16="http://schemas.microsoft.com/office/drawing/2014/main" id="{00000000-0008-0000-2300-00001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" name="Pfeil nach links 21">
            <a:extLst>
              <a:ext uri="{FF2B5EF4-FFF2-40B4-BE49-F238E27FC236}">
                <a16:creationId xmlns:a16="http://schemas.microsoft.com/office/drawing/2014/main" id="{00000000-0008-0000-2300-00001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88</xdr:row>
      <xdr:rowOff>9525</xdr:rowOff>
    </xdr:from>
    <xdr:to>
      <xdr:col>1</xdr:col>
      <xdr:colOff>372675</xdr:colOff>
      <xdr:row>89</xdr:row>
      <xdr:rowOff>10725</xdr:rowOff>
    </xdr:to>
    <xdr:grpSp>
      <xdr:nvGrpSpPr>
        <xdr:cNvPr id="23" name="Gruppieren 2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2300-000017000000}"/>
            </a:ext>
          </a:extLst>
        </xdr:cNvPr>
        <xdr:cNvGrpSpPr>
          <a:grpSpLocks noChangeAspect="1"/>
        </xdr:cNvGrpSpPr>
      </xdr:nvGrpSpPr>
      <xdr:grpSpPr>
        <a:xfrm>
          <a:off x="74295" y="17413605"/>
          <a:ext cx="306000" cy="306000"/>
          <a:chOff x="9191625" y="3009900"/>
          <a:chExt cx="324000" cy="325465"/>
        </a:xfrm>
      </xdr:grpSpPr>
      <xdr:sp macro="" textlink="">
        <xdr:nvSpPr>
          <xdr:cNvPr id="24" name="Rechteck 23">
            <a:extLst>
              <a:ext uri="{FF2B5EF4-FFF2-40B4-BE49-F238E27FC236}">
                <a16:creationId xmlns:a16="http://schemas.microsoft.com/office/drawing/2014/main" id="{00000000-0008-0000-2300-00001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5" name="Pfeil nach links 24">
            <a:extLst>
              <a:ext uri="{FF2B5EF4-FFF2-40B4-BE49-F238E27FC236}">
                <a16:creationId xmlns:a16="http://schemas.microsoft.com/office/drawing/2014/main" id="{00000000-0008-0000-2300-00001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100</xdr:row>
      <xdr:rowOff>9525</xdr:rowOff>
    </xdr:from>
    <xdr:to>
      <xdr:col>1</xdr:col>
      <xdr:colOff>372675</xdr:colOff>
      <xdr:row>101</xdr:row>
      <xdr:rowOff>10725</xdr:rowOff>
    </xdr:to>
    <xdr:grpSp>
      <xdr:nvGrpSpPr>
        <xdr:cNvPr id="26" name="Gruppieren 2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2300-00001A000000}"/>
            </a:ext>
          </a:extLst>
        </xdr:cNvPr>
        <xdr:cNvGrpSpPr>
          <a:grpSpLocks noChangeAspect="1"/>
        </xdr:cNvGrpSpPr>
      </xdr:nvGrpSpPr>
      <xdr:grpSpPr>
        <a:xfrm>
          <a:off x="74295" y="19669125"/>
          <a:ext cx="306000" cy="306000"/>
          <a:chOff x="9191625" y="3009900"/>
          <a:chExt cx="324000" cy="325465"/>
        </a:xfrm>
      </xdr:grpSpPr>
      <xdr:sp macro="" textlink="">
        <xdr:nvSpPr>
          <xdr:cNvPr id="27" name="Rechteck 26">
            <a:extLst>
              <a:ext uri="{FF2B5EF4-FFF2-40B4-BE49-F238E27FC236}">
                <a16:creationId xmlns:a16="http://schemas.microsoft.com/office/drawing/2014/main" id="{00000000-0008-0000-2300-00001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8" name="Pfeil nach links 27">
            <a:extLst>
              <a:ext uri="{FF2B5EF4-FFF2-40B4-BE49-F238E27FC236}">
                <a16:creationId xmlns:a16="http://schemas.microsoft.com/office/drawing/2014/main" id="{00000000-0008-0000-2300-00001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112</xdr:row>
      <xdr:rowOff>9525</xdr:rowOff>
    </xdr:from>
    <xdr:to>
      <xdr:col>1</xdr:col>
      <xdr:colOff>372675</xdr:colOff>
      <xdr:row>113</xdr:row>
      <xdr:rowOff>10725</xdr:rowOff>
    </xdr:to>
    <xdr:grpSp>
      <xdr:nvGrpSpPr>
        <xdr:cNvPr id="29" name="Gruppieren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2300-00001D000000}"/>
            </a:ext>
          </a:extLst>
        </xdr:cNvPr>
        <xdr:cNvGrpSpPr>
          <a:grpSpLocks noChangeAspect="1"/>
        </xdr:cNvGrpSpPr>
      </xdr:nvGrpSpPr>
      <xdr:grpSpPr>
        <a:xfrm>
          <a:off x="74295" y="21924645"/>
          <a:ext cx="306000" cy="306000"/>
          <a:chOff x="9191625" y="3009900"/>
          <a:chExt cx="324000" cy="325465"/>
        </a:xfrm>
      </xdr:grpSpPr>
      <xdr:sp macro="" textlink="">
        <xdr:nvSpPr>
          <xdr:cNvPr id="30" name="Rechteck 29">
            <a:extLst>
              <a:ext uri="{FF2B5EF4-FFF2-40B4-BE49-F238E27FC236}">
                <a16:creationId xmlns:a16="http://schemas.microsoft.com/office/drawing/2014/main" id="{00000000-0008-0000-2300-00001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1" name="Pfeil nach links 30">
            <a:extLst>
              <a:ext uri="{FF2B5EF4-FFF2-40B4-BE49-F238E27FC236}">
                <a16:creationId xmlns:a16="http://schemas.microsoft.com/office/drawing/2014/main" id="{00000000-0008-0000-2300-00001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124</xdr:row>
      <xdr:rowOff>9525</xdr:rowOff>
    </xdr:from>
    <xdr:to>
      <xdr:col>1</xdr:col>
      <xdr:colOff>372675</xdr:colOff>
      <xdr:row>125</xdr:row>
      <xdr:rowOff>10725</xdr:rowOff>
    </xdr:to>
    <xdr:grpSp>
      <xdr:nvGrpSpPr>
        <xdr:cNvPr id="32" name="Gruppieren 3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2300-000020000000}"/>
            </a:ext>
          </a:extLst>
        </xdr:cNvPr>
        <xdr:cNvGrpSpPr>
          <a:grpSpLocks noChangeAspect="1"/>
        </xdr:cNvGrpSpPr>
      </xdr:nvGrpSpPr>
      <xdr:grpSpPr>
        <a:xfrm>
          <a:off x="74295" y="24180165"/>
          <a:ext cx="306000" cy="306000"/>
          <a:chOff x="9191625" y="3009900"/>
          <a:chExt cx="324000" cy="325465"/>
        </a:xfrm>
      </xdr:grpSpPr>
      <xdr:sp macro="" textlink="">
        <xdr:nvSpPr>
          <xdr:cNvPr id="33" name="Rechteck 32">
            <a:extLst>
              <a:ext uri="{FF2B5EF4-FFF2-40B4-BE49-F238E27FC236}">
                <a16:creationId xmlns:a16="http://schemas.microsoft.com/office/drawing/2014/main" id="{00000000-0008-0000-2300-00002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4" name="Pfeil nach links 33">
            <a:extLst>
              <a:ext uri="{FF2B5EF4-FFF2-40B4-BE49-F238E27FC236}">
                <a16:creationId xmlns:a16="http://schemas.microsoft.com/office/drawing/2014/main" id="{00000000-0008-0000-2300-00002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136</xdr:row>
      <xdr:rowOff>9525</xdr:rowOff>
    </xdr:from>
    <xdr:to>
      <xdr:col>1</xdr:col>
      <xdr:colOff>372675</xdr:colOff>
      <xdr:row>137</xdr:row>
      <xdr:rowOff>10725</xdr:rowOff>
    </xdr:to>
    <xdr:grpSp>
      <xdr:nvGrpSpPr>
        <xdr:cNvPr id="35" name="Gruppieren 3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2300-000023000000}"/>
            </a:ext>
          </a:extLst>
        </xdr:cNvPr>
        <xdr:cNvGrpSpPr>
          <a:grpSpLocks noChangeAspect="1"/>
        </xdr:cNvGrpSpPr>
      </xdr:nvGrpSpPr>
      <xdr:grpSpPr>
        <a:xfrm>
          <a:off x="74295" y="26435685"/>
          <a:ext cx="306000" cy="306000"/>
          <a:chOff x="9191625" y="3009900"/>
          <a:chExt cx="324000" cy="325465"/>
        </a:xfrm>
      </xdr:grpSpPr>
      <xdr:sp macro="" textlink="">
        <xdr:nvSpPr>
          <xdr:cNvPr id="36" name="Rechteck 35">
            <a:extLst>
              <a:ext uri="{FF2B5EF4-FFF2-40B4-BE49-F238E27FC236}">
                <a16:creationId xmlns:a16="http://schemas.microsoft.com/office/drawing/2014/main" id="{00000000-0008-0000-2300-00002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7" name="Pfeil nach links 36">
            <a:extLst>
              <a:ext uri="{FF2B5EF4-FFF2-40B4-BE49-F238E27FC236}">
                <a16:creationId xmlns:a16="http://schemas.microsoft.com/office/drawing/2014/main" id="{00000000-0008-0000-2300-00002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148</xdr:row>
      <xdr:rowOff>9525</xdr:rowOff>
    </xdr:from>
    <xdr:to>
      <xdr:col>1</xdr:col>
      <xdr:colOff>372675</xdr:colOff>
      <xdr:row>149</xdr:row>
      <xdr:rowOff>10725</xdr:rowOff>
    </xdr:to>
    <xdr:grpSp>
      <xdr:nvGrpSpPr>
        <xdr:cNvPr id="38" name="Gruppieren 37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2300-000026000000}"/>
            </a:ext>
          </a:extLst>
        </xdr:cNvPr>
        <xdr:cNvGrpSpPr>
          <a:grpSpLocks noChangeAspect="1"/>
        </xdr:cNvGrpSpPr>
      </xdr:nvGrpSpPr>
      <xdr:grpSpPr>
        <a:xfrm>
          <a:off x="74295" y="28691205"/>
          <a:ext cx="306000" cy="306000"/>
          <a:chOff x="9191625" y="3009900"/>
          <a:chExt cx="324000" cy="325465"/>
        </a:xfrm>
      </xdr:grpSpPr>
      <xdr:sp macro="" textlink="">
        <xdr:nvSpPr>
          <xdr:cNvPr id="39" name="Rechteck 38">
            <a:extLst>
              <a:ext uri="{FF2B5EF4-FFF2-40B4-BE49-F238E27FC236}">
                <a16:creationId xmlns:a16="http://schemas.microsoft.com/office/drawing/2014/main" id="{00000000-0008-0000-2300-00002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0" name="Pfeil nach links 39">
            <a:extLst>
              <a:ext uri="{FF2B5EF4-FFF2-40B4-BE49-F238E27FC236}">
                <a16:creationId xmlns:a16="http://schemas.microsoft.com/office/drawing/2014/main" id="{00000000-0008-0000-2300-00002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160</xdr:row>
      <xdr:rowOff>9525</xdr:rowOff>
    </xdr:from>
    <xdr:to>
      <xdr:col>1</xdr:col>
      <xdr:colOff>372675</xdr:colOff>
      <xdr:row>161</xdr:row>
      <xdr:rowOff>10725</xdr:rowOff>
    </xdr:to>
    <xdr:grpSp>
      <xdr:nvGrpSpPr>
        <xdr:cNvPr id="41" name="Gruppieren 40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2300-000029000000}"/>
            </a:ext>
          </a:extLst>
        </xdr:cNvPr>
        <xdr:cNvGrpSpPr>
          <a:grpSpLocks noChangeAspect="1"/>
        </xdr:cNvGrpSpPr>
      </xdr:nvGrpSpPr>
      <xdr:grpSpPr>
        <a:xfrm>
          <a:off x="74295" y="30946725"/>
          <a:ext cx="306000" cy="306000"/>
          <a:chOff x="9191625" y="3009900"/>
          <a:chExt cx="324000" cy="325465"/>
        </a:xfrm>
      </xdr:grpSpPr>
      <xdr:sp macro="" textlink="">
        <xdr:nvSpPr>
          <xdr:cNvPr id="42" name="Rechteck 41">
            <a:extLst>
              <a:ext uri="{FF2B5EF4-FFF2-40B4-BE49-F238E27FC236}">
                <a16:creationId xmlns:a16="http://schemas.microsoft.com/office/drawing/2014/main" id="{00000000-0008-0000-2300-00002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3" name="Pfeil nach links 42">
            <a:extLst>
              <a:ext uri="{FF2B5EF4-FFF2-40B4-BE49-F238E27FC236}">
                <a16:creationId xmlns:a16="http://schemas.microsoft.com/office/drawing/2014/main" id="{00000000-0008-0000-2300-00002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172</xdr:row>
      <xdr:rowOff>9525</xdr:rowOff>
    </xdr:from>
    <xdr:to>
      <xdr:col>1</xdr:col>
      <xdr:colOff>372675</xdr:colOff>
      <xdr:row>173</xdr:row>
      <xdr:rowOff>10725</xdr:rowOff>
    </xdr:to>
    <xdr:grpSp>
      <xdr:nvGrpSpPr>
        <xdr:cNvPr id="44" name="Gruppieren 43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2300-00002C000000}"/>
            </a:ext>
          </a:extLst>
        </xdr:cNvPr>
        <xdr:cNvGrpSpPr>
          <a:grpSpLocks noChangeAspect="1"/>
        </xdr:cNvGrpSpPr>
      </xdr:nvGrpSpPr>
      <xdr:grpSpPr>
        <a:xfrm>
          <a:off x="74295" y="33202245"/>
          <a:ext cx="306000" cy="306000"/>
          <a:chOff x="9191625" y="3009900"/>
          <a:chExt cx="324000" cy="325465"/>
        </a:xfrm>
      </xdr:grpSpPr>
      <xdr:sp macro="" textlink="">
        <xdr:nvSpPr>
          <xdr:cNvPr id="45" name="Rechteck 44">
            <a:extLst>
              <a:ext uri="{FF2B5EF4-FFF2-40B4-BE49-F238E27FC236}">
                <a16:creationId xmlns:a16="http://schemas.microsoft.com/office/drawing/2014/main" id="{00000000-0008-0000-2300-00002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6" name="Pfeil nach links 45">
            <a:extLst>
              <a:ext uri="{FF2B5EF4-FFF2-40B4-BE49-F238E27FC236}">
                <a16:creationId xmlns:a16="http://schemas.microsoft.com/office/drawing/2014/main" id="{00000000-0008-0000-2300-00002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184</xdr:row>
      <xdr:rowOff>9525</xdr:rowOff>
    </xdr:from>
    <xdr:to>
      <xdr:col>1</xdr:col>
      <xdr:colOff>372675</xdr:colOff>
      <xdr:row>185</xdr:row>
      <xdr:rowOff>10725</xdr:rowOff>
    </xdr:to>
    <xdr:grpSp>
      <xdr:nvGrpSpPr>
        <xdr:cNvPr id="47" name="Gruppieren 46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2300-00002F000000}"/>
            </a:ext>
          </a:extLst>
        </xdr:cNvPr>
        <xdr:cNvGrpSpPr>
          <a:grpSpLocks noChangeAspect="1"/>
        </xdr:cNvGrpSpPr>
      </xdr:nvGrpSpPr>
      <xdr:grpSpPr>
        <a:xfrm>
          <a:off x="74295" y="35457765"/>
          <a:ext cx="306000" cy="306000"/>
          <a:chOff x="9191625" y="3009900"/>
          <a:chExt cx="324000" cy="325465"/>
        </a:xfrm>
      </xdr:grpSpPr>
      <xdr:sp macro="" textlink="">
        <xdr:nvSpPr>
          <xdr:cNvPr id="48" name="Rechteck 47">
            <a:extLst>
              <a:ext uri="{FF2B5EF4-FFF2-40B4-BE49-F238E27FC236}">
                <a16:creationId xmlns:a16="http://schemas.microsoft.com/office/drawing/2014/main" id="{00000000-0008-0000-2300-00003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9" name="Pfeil nach links 48">
            <a:extLst>
              <a:ext uri="{FF2B5EF4-FFF2-40B4-BE49-F238E27FC236}">
                <a16:creationId xmlns:a16="http://schemas.microsoft.com/office/drawing/2014/main" id="{00000000-0008-0000-2300-00003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196</xdr:row>
      <xdr:rowOff>9525</xdr:rowOff>
    </xdr:from>
    <xdr:to>
      <xdr:col>1</xdr:col>
      <xdr:colOff>372675</xdr:colOff>
      <xdr:row>197</xdr:row>
      <xdr:rowOff>10725</xdr:rowOff>
    </xdr:to>
    <xdr:grpSp>
      <xdr:nvGrpSpPr>
        <xdr:cNvPr id="50" name="Gruppieren 4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2300-000032000000}"/>
            </a:ext>
          </a:extLst>
        </xdr:cNvPr>
        <xdr:cNvGrpSpPr>
          <a:grpSpLocks noChangeAspect="1"/>
        </xdr:cNvGrpSpPr>
      </xdr:nvGrpSpPr>
      <xdr:grpSpPr>
        <a:xfrm>
          <a:off x="74295" y="37713285"/>
          <a:ext cx="306000" cy="306000"/>
          <a:chOff x="9191625" y="3009900"/>
          <a:chExt cx="324000" cy="325465"/>
        </a:xfrm>
      </xdr:grpSpPr>
      <xdr:sp macro="" textlink="">
        <xdr:nvSpPr>
          <xdr:cNvPr id="51" name="Rechteck 50">
            <a:extLst>
              <a:ext uri="{FF2B5EF4-FFF2-40B4-BE49-F238E27FC236}">
                <a16:creationId xmlns:a16="http://schemas.microsoft.com/office/drawing/2014/main" id="{00000000-0008-0000-2300-00003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2" name="Pfeil nach links 51">
            <a:extLst>
              <a:ext uri="{FF2B5EF4-FFF2-40B4-BE49-F238E27FC236}">
                <a16:creationId xmlns:a16="http://schemas.microsoft.com/office/drawing/2014/main" id="{00000000-0008-0000-2300-00003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208</xdr:row>
      <xdr:rowOff>9525</xdr:rowOff>
    </xdr:from>
    <xdr:to>
      <xdr:col>1</xdr:col>
      <xdr:colOff>372675</xdr:colOff>
      <xdr:row>209</xdr:row>
      <xdr:rowOff>10725</xdr:rowOff>
    </xdr:to>
    <xdr:grpSp>
      <xdr:nvGrpSpPr>
        <xdr:cNvPr id="53" name="Gruppieren 52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2300-000035000000}"/>
            </a:ext>
          </a:extLst>
        </xdr:cNvPr>
        <xdr:cNvGrpSpPr>
          <a:grpSpLocks noChangeAspect="1"/>
        </xdr:cNvGrpSpPr>
      </xdr:nvGrpSpPr>
      <xdr:grpSpPr>
        <a:xfrm>
          <a:off x="74295" y="39968805"/>
          <a:ext cx="306000" cy="306000"/>
          <a:chOff x="9191625" y="3009900"/>
          <a:chExt cx="324000" cy="325465"/>
        </a:xfrm>
      </xdr:grpSpPr>
      <xdr:sp macro="" textlink="">
        <xdr:nvSpPr>
          <xdr:cNvPr id="54" name="Rechteck 53">
            <a:extLst>
              <a:ext uri="{FF2B5EF4-FFF2-40B4-BE49-F238E27FC236}">
                <a16:creationId xmlns:a16="http://schemas.microsoft.com/office/drawing/2014/main" id="{00000000-0008-0000-2300-00003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5" name="Pfeil nach links 54">
            <a:extLst>
              <a:ext uri="{FF2B5EF4-FFF2-40B4-BE49-F238E27FC236}">
                <a16:creationId xmlns:a16="http://schemas.microsoft.com/office/drawing/2014/main" id="{00000000-0008-0000-2300-00003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220</xdr:row>
      <xdr:rowOff>9525</xdr:rowOff>
    </xdr:from>
    <xdr:to>
      <xdr:col>1</xdr:col>
      <xdr:colOff>372675</xdr:colOff>
      <xdr:row>221</xdr:row>
      <xdr:rowOff>10725</xdr:rowOff>
    </xdr:to>
    <xdr:grpSp>
      <xdr:nvGrpSpPr>
        <xdr:cNvPr id="56" name="Gruppieren 55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2300-000038000000}"/>
            </a:ext>
          </a:extLst>
        </xdr:cNvPr>
        <xdr:cNvGrpSpPr>
          <a:grpSpLocks noChangeAspect="1"/>
        </xdr:cNvGrpSpPr>
      </xdr:nvGrpSpPr>
      <xdr:grpSpPr>
        <a:xfrm>
          <a:off x="74295" y="42224325"/>
          <a:ext cx="306000" cy="306000"/>
          <a:chOff x="9191625" y="3009900"/>
          <a:chExt cx="324000" cy="325465"/>
        </a:xfrm>
      </xdr:grpSpPr>
      <xdr:sp macro="" textlink="">
        <xdr:nvSpPr>
          <xdr:cNvPr id="57" name="Rechteck 56">
            <a:extLst>
              <a:ext uri="{FF2B5EF4-FFF2-40B4-BE49-F238E27FC236}">
                <a16:creationId xmlns:a16="http://schemas.microsoft.com/office/drawing/2014/main" id="{00000000-0008-0000-2300-00003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8" name="Pfeil nach links 57">
            <a:extLst>
              <a:ext uri="{FF2B5EF4-FFF2-40B4-BE49-F238E27FC236}">
                <a16:creationId xmlns:a16="http://schemas.microsoft.com/office/drawing/2014/main" id="{00000000-0008-0000-2300-00003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232</xdr:row>
      <xdr:rowOff>9525</xdr:rowOff>
    </xdr:from>
    <xdr:to>
      <xdr:col>1</xdr:col>
      <xdr:colOff>372675</xdr:colOff>
      <xdr:row>233</xdr:row>
      <xdr:rowOff>10725</xdr:rowOff>
    </xdr:to>
    <xdr:grpSp>
      <xdr:nvGrpSpPr>
        <xdr:cNvPr id="59" name="Gruppieren 58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2300-00003B000000}"/>
            </a:ext>
          </a:extLst>
        </xdr:cNvPr>
        <xdr:cNvGrpSpPr>
          <a:grpSpLocks noChangeAspect="1"/>
        </xdr:cNvGrpSpPr>
      </xdr:nvGrpSpPr>
      <xdr:grpSpPr>
        <a:xfrm>
          <a:off x="74295" y="44479845"/>
          <a:ext cx="306000" cy="306000"/>
          <a:chOff x="9191625" y="3009900"/>
          <a:chExt cx="324000" cy="325465"/>
        </a:xfrm>
      </xdr:grpSpPr>
      <xdr:sp macro="" textlink="">
        <xdr:nvSpPr>
          <xdr:cNvPr id="60" name="Rechteck 59">
            <a:extLst>
              <a:ext uri="{FF2B5EF4-FFF2-40B4-BE49-F238E27FC236}">
                <a16:creationId xmlns:a16="http://schemas.microsoft.com/office/drawing/2014/main" id="{00000000-0008-0000-2300-00003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1" name="Pfeil nach links 60">
            <a:extLst>
              <a:ext uri="{FF2B5EF4-FFF2-40B4-BE49-F238E27FC236}">
                <a16:creationId xmlns:a16="http://schemas.microsoft.com/office/drawing/2014/main" id="{00000000-0008-0000-2300-00003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244</xdr:row>
      <xdr:rowOff>9525</xdr:rowOff>
    </xdr:from>
    <xdr:to>
      <xdr:col>1</xdr:col>
      <xdr:colOff>372675</xdr:colOff>
      <xdr:row>245</xdr:row>
      <xdr:rowOff>10725</xdr:rowOff>
    </xdr:to>
    <xdr:grpSp>
      <xdr:nvGrpSpPr>
        <xdr:cNvPr id="62" name="Gruppieren 61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2300-00003E000000}"/>
            </a:ext>
          </a:extLst>
        </xdr:cNvPr>
        <xdr:cNvGrpSpPr>
          <a:grpSpLocks noChangeAspect="1"/>
        </xdr:cNvGrpSpPr>
      </xdr:nvGrpSpPr>
      <xdr:grpSpPr>
        <a:xfrm>
          <a:off x="74295" y="46735365"/>
          <a:ext cx="306000" cy="306000"/>
          <a:chOff x="9191625" y="3009900"/>
          <a:chExt cx="324000" cy="325465"/>
        </a:xfrm>
      </xdr:grpSpPr>
      <xdr:sp macro="" textlink="">
        <xdr:nvSpPr>
          <xdr:cNvPr id="63" name="Rechteck 62">
            <a:extLst>
              <a:ext uri="{FF2B5EF4-FFF2-40B4-BE49-F238E27FC236}">
                <a16:creationId xmlns:a16="http://schemas.microsoft.com/office/drawing/2014/main" id="{00000000-0008-0000-2300-00003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4" name="Pfeil nach links 63">
            <a:extLst>
              <a:ext uri="{FF2B5EF4-FFF2-40B4-BE49-F238E27FC236}">
                <a16:creationId xmlns:a16="http://schemas.microsoft.com/office/drawing/2014/main" id="{00000000-0008-0000-2300-00004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256</xdr:row>
      <xdr:rowOff>9525</xdr:rowOff>
    </xdr:from>
    <xdr:to>
      <xdr:col>1</xdr:col>
      <xdr:colOff>372675</xdr:colOff>
      <xdr:row>257</xdr:row>
      <xdr:rowOff>10725</xdr:rowOff>
    </xdr:to>
    <xdr:grpSp>
      <xdr:nvGrpSpPr>
        <xdr:cNvPr id="65" name="Gruppieren 64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2300-000041000000}"/>
            </a:ext>
          </a:extLst>
        </xdr:cNvPr>
        <xdr:cNvGrpSpPr>
          <a:grpSpLocks noChangeAspect="1"/>
        </xdr:cNvGrpSpPr>
      </xdr:nvGrpSpPr>
      <xdr:grpSpPr>
        <a:xfrm>
          <a:off x="74295" y="48990885"/>
          <a:ext cx="306000" cy="306000"/>
          <a:chOff x="9191625" y="3009900"/>
          <a:chExt cx="324000" cy="325465"/>
        </a:xfrm>
      </xdr:grpSpPr>
      <xdr:sp macro="" textlink="">
        <xdr:nvSpPr>
          <xdr:cNvPr id="66" name="Rechteck 65">
            <a:extLst>
              <a:ext uri="{FF2B5EF4-FFF2-40B4-BE49-F238E27FC236}">
                <a16:creationId xmlns:a16="http://schemas.microsoft.com/office/drawing/2014/main" id="{00000000-0008-0000-2300-00004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7" name="Pfeil nach links 66">
            <a:extLst>
              <a:ext uri="{FF2B5EF4-FFF2-40B4-BE49-F238E27FC236}">
                <a16:creationId xmlns:a16="http://schemas.microsoft.com/office/drawing/2014/main" id="{00000000-0008-0000-2300-00004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268</xdr:row>
      <xdr:rowOff>9525</xdr:rowOff>
    </xdr:from>
    <xdr:to>
      <xdr:col>1</xdr:col>
      <xdr:colOff>372675</xdr:colOff>
      <xdr:row>269</xdr:row>
      <xdr:rowOff>10725</xdr:rowOff>
    </xdr:to>
    <xdr:grpSp>
      <xdr:nvGrpSpPr>
        <xdr:cNvPr id="68" name="Gruppieren 67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2300-000044000000}"/>
            </a:ext>
          </a:extLst>
        </xdr:cNvPr>
        <xdr:cNvGrpSpPr>
          <a:grpSpLocks noChangeAspect="1"/>
        </xdr:cNvGrpSpPr>
      </xdr:nvGrpSpPr>
      <xdr:grpSpPr>
        <a:xfrm>
          <a:off x="74295" y="51246405"/>
          <a:ext cx="306000" cy="306000"/>
          <a:chOff x="9191625" y="3009900"/>
          <a:chExt cx="324000" cy="325465"/>
        </a:xfrm>
      </xdr:grpSpPr>
      <xdr:sp macro="" textlink="">
        <xdr:nvSpPr>
          <xdr:cNvPr id="69" name="Rechteck 68">
            <a:extLst>
              <a:ext uri="{FF2B5EF4-FFF2-40B4-BE49-F238E27FC236}">
                <a16:creationId xmlns:a16="http://schemas.microsoft.com/office/drawing/2014/main" id="{00000000-0008-0000-2300-00004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0" name="Pfeil nach links 69">
            <a:extLst>
              <a:ext uri="{FF2B5EF4-FFF2-40B4-BE49-F238E27FC236}">
                <a16:creationId xmlns:a16="http://schemas.microsoft.com/office/drawing/2014/main" id="{00000000-0008-0000-2300-00004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280</xdr:row>
      <xdr:rowOff>9525</xdr:rowOff>
    </xdr:from>
    <xdr:to>
      <xdr:col>1</xdr:col>
      <xdr:colOff>372675</xdr:colOff>
      <xdr:row>281</xdr:row>
      <xdr:rowOff>10725</xdr:rowOff>
    </xdr:to>
    <xdr:grpSp>
      <xdr:nvGrpSpPr>
        <xdr:cNvPr id="71" name="Gruppieren 70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2300-000047000000}"/>
            </a:ext>
          </a:extLst>
        </xdr:cNvPr>
        <xdr:cNvGrpSpPr>
          <a:grpSpLocks noChangeAspect="1"/>
        </xdr:cNvGrpSpPr>
      </xdr:nvGrpSpPr>
      <xdr:grpSpPr>
        <a:xfrm>
          <a:off x="74295" y="53501925"/>
          <a:ext cx="306000" cy="306000"/>
          <a:chOff x="9191625" y="3009900"/>
          <a:chExt cx="324000" cy="325465"/>
        </a:xfrm>
      </xdr:grpSpPr>
      <xdr:sp macro="" textlink="">
        <xdr:nvSpPr>
          <xdr:cNvPr id="72" name="Rechteck 71">
            <a:extLst>
              <a:ext uri="{FF2B5EF4-FFF2-40B4-BE49-F238E27FC236}">
                <a16:creationId xmlns:a16="http://schemas.microsoft.com/office/drawing/2014/main" id="{00000000-0008-0000-2300-00004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3" name="Pfeil nach links 72">
            <a:extLst>
              <a:ext uri="{FF2B5EF4-FFF2-40B4-BE49-F238E27FC236}">
                <a16:creationId xmlns:a16="http://schemas.microsoft.com/office/drawing/2014/main" id="{00000000-0008-0000-2300-00004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292</xdr:row>
      <xdr:rowOff>9525</xdr:rowOff>
    </xdr:from>
    <xdr:to>
      <xdr:col>1</xdr:col>
      <xdr:colOff>372675</xdr:colOff>
      <xdr:row>293</xdr:row>
      <xdr:rowOff>10725</xdr:rowOff>
    </xdr:to>
    <xdr:grpSp>
      <xdr:nvGrpSpPr>
        <xdr:cNvPr id="74" name="Gruppieren 73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2300-00004A000000}"/>
            </a:ext>
          </a:extLst>
        </xdr:cNvPr>
        <xdr:cNvGrpSpPr>
          <a:grpSpLocks noChangeAspect="1"/>
        </xdr:cNvGrpSpPr>
      </xdr:nvGrpSpPr>
      <xdr:grpSpPr>
        <a:xfrm>
          <a:off x="74295" y="55757445"/>
          <a:ext cx="306000" cy="306000"/>
          <a:chOff x="9191625" y="3009900"/>
          <a:chExt cx="324000" cy="325465"/>
        </a:xfrm>
      </xdr:grpSpPr>
      <xdr:sp macro="" textlink="">
        <xdr:nvSpPr>
          <xdr:cNvPr id="75" name="Rechteck 74">
            <a:extLst>
              <a:ext uri="{FF2B5EF4-FFF2-40B4-BE49-F238E27FC236}">
                <a16:creationId xmlns:a16="http://schemas.microsoft.com/office/drawing/2014/main" id="{00000000-0008-0000-2300-00004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6" name="Pfeil nach links 75">
            <a:extLst>
              <a:ext uri="{FF2B5EF4-FFF2-40B4-BE49-F238E27FC236}">
                <a16:creationId xmlns:a16="http://schemas.microsoft.com/office/drawing/2014/main" id="{00000000-0008-0000-2300-00004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304</xdr:row>
      <xdr:rowOff>9525</xdr:rowOff>
    </xdr:from>
    <xdr:to>
      <xdr:col>1</xdr:col>
      <xdr:colOff>372675</xdr:colOff>
      <xdr:row>305</xdr:row>
      <xdr:rowOff>10725</xdr:rowOff>
    </xdr:to>
    <xdr:grpSp>
      <xdr:nvGrpSpPr>
        <xdr:cNvPr id="77" name="Gruppieren 76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2300-00004D000000}"/>
            </a:ext>
          </a:extLst>
        </xdr:cNvPr>
        <xdr:cNvGrpSpPr>
          <a:grpSpLocks noChangeAspect="1"/>
        </xdr:cNvGrpSpPr>
      </xdr:nvGrpSpPr>
      <xdr:grpSpPr>
        <a:xfrm>
          <a:off x="74295" y="58012965"/>
          <a:ext cx="306000" cy="306000"/>
          <a:chOff x="9191625" y="3009900"/>
          <a:chExt cx="324000" cy="325465"/>
        </a:xfrm>
      </xdr:grpSpPr>
      <xdr:sp macro="" textlink="">
        <xdr:nvSpPr>
          <xdr:cNvPr id="78" name="Rechteck 77">
            <a:extLst>
              <a:ext uri="{FF2B5EF4-FFF2-40B4-BE49-F238E27FC236}">
                <a16:creationId xmlns:a16="http://schemas.microsoft.com/office/drawing/2014/main" id="{00000000-0008-0000-2300-00004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9" name="Pfeil nach links 78">
            <a:extLst>
              <a:ext uri="{FF2B5EF4-FFF2-40B4-BE49-F238E27FC236}">
                <a16:creationId xmlns:a16="http://schemas.microsoft.com/office/drawing/2014/main" id="{00000000-0008-0000-2300-00004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316</xdr:row>
      <xdr:rowOff>9525</xdr:rowOff>
    </xdr:from>
    <xdr:to>
      <xdr:col>1</xdr:col>
      <xdr:colOff>372675</xdr:colOff>
      <xdr:row>317</xdr:row>
      <xdr:rowOff>10725</xdr:rowOff>
    </xdr:to>
    <xdr:grpSp>
      <xdr:nvGrpSpPr>
        <xdr:cNvPr id="80" name="Gruppieren 79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2300-000050000000}"/>
            </a:ext>
          </a:extLst>
        </xdr:cNvPr>
        <xdr:cNvGrpSpPr>
          <a:grpSpLocks noChangeAspect="1"/>
        </xdr:cNvGrpSpPr>
      </xdr:nvGrpSpPr>
      <xdr:grpSpPr>
        <a:xfrm>
          <a:off x="74295" y="60268485"/>
          <a:ext cx="306000" cy="306000"/>
          <a:chOff x="9191625" y="3009900"/>
          <a:chExt cx="324000" cy="325465"/>
        </a:xfrm>
      </xdr:grpSpPr>
      <xdr:sp macro="" textlink="">
        <xdr:nvSpPr>
          <xdr:cNvPr id="81" name="Rechteck 80">
            <a:extLst>
              <a:ext uri="{FF2B5EF4-FFF2-40B4-BE49-F238E27FC236}">
                <a16:creationId xmlns:a16="http://schemas.microsoft.com/office/drawing/2014/main" id="{00000000-0008-0000-2300-00005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2" name="Pfeil nach links 81">
            <a:extLst>
              <a:ext uri="{FF2B5EF4-FFF2-40B4-BE49-F238E27FC236}">
                <a16:creationId xmlns:a16="http://schemas.microsoft.com/office/drawing/2014/main" id="{00000000-0008-0000-2300-00005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328</xdr:row>
      <xdr:rowOff>9525</xdr:rowOff>
    </xdr:from>
    <xdr:to>
      <xdr:col>1</xdr:col>
      <xdr:colOff>372675</xdr:colOff>
      <xdr:row>329</xdr:row>
      <xdr:rowOff>10725</xdr:rowOff>
    </xdr:to>
    <xdr:grpSp>
      <xdr:nvGrpSpPr>
        <xdr:cNvPr id="83" name="Gruppieren 82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2300-000053000000}"/>
            </a:ext>
          </a:extLst>
        </xdr:cNvPr>
        <xdr:cNvGrpSpPr>
          <a:grpSpLocks noChangeAspect="1"/>
        </xdr:cNvGrpSpPr>
      </xdr:nvGrpSpPr>
      <xdr:grpSpPr>
        <a:xfrm>
          <a:off x="74295" y="62524005"/>
          <a:ext cx="306000" cy="306000"/>
          <a:chOff x="9191625" y="3009900"/>
          <a:chExt cx="324000" cy="325465"/>
        </a:xfrm>
      </xdr:grpSpPr>
      <xdr:sp macro="" textlink="">
        <xdr:nvSpPr>
          <xdr:cNvPr id="84" name="Rechteck 83">
            <a:extLst>
              <a:ext uri="{FF2B5EF4-FFF2-40B4-BE49-F238E27FC236}">
                <a16:creationId xmlns:a16="http://schemas.microsoft.com/office/drawing/2014/main" id="{00000000-0008-0000-2300-00005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5" name="Pfeil nach links 84">
            <a:extLst>
              <a:ext uri="{FF2B5EF4-FFF2-40B4-BE49-F238E27FC236}">
                <a16:creationId xmlns:a16="http://schemas.microsoft.com/office/drawing/2014/main" id="{00000000-0008-0000-2300-00005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340</xdr:row>
      <xdr:rowOff>9525</xdr:rowOff>
    </xdr:from>
    <xdr:to>
      <xdr:col>1</xdr:col>
      <xdr:colOff>372675</xdr:colOff>
      <xdr:row>341</xdr:row>
      <xdr:rowOff>10725</xdr:rowOff>
    </xdr:to>
    <xdr:grpSp>
      <xdr:nvGrpSpPr>
        <xdr:cNvPr id="86" name="Gruppieren 85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2300-000056000000}"/>
            </a:ext>
          </a:extLst>
        </xdr:cNvPr>
        <xdr:cNvGrpSpPr>
          <a:grpSpLocks noChangeAspect="1"/>
        </xdr:cNvGrpSpPr>
      </xdr:nvGrpSpPr>
      <xdr:grpSpPr>
        <a:xfrm>
          <a:off x="74295" y="64779525"/>
          <a:ext cx="306000" cy="306000"/>
          <a:chOff x="9191625" y="3009900"/>
          <a:chExt cx="324000" cy="325465"/>
        </a:xfrm>
      </xdr:grpSpPr>
      <xdr:sp macro="" textlink="">
        <xdr:nvSpPr>
          <xdr:cNvPr id="87" name="Rechteck 86">
            <a:extLst>
              <a:ext uri="{FF2B5EF4-FFF2-40B4-BE49-F238E27FC236}">
                <a16:creationId xmlns:a16="http://schemas.microsoft.com/office/drawing/2014/main" id="{00000000-0008-0000-2300-00005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8" name="Pfeil nach links 87">
            <a:extLst>
              <a:ext uri="{FF2B5EF4-FFF2-40B4-BE49-F238E27FC236}">
                <a16:creationId xmlns:a16="http://schemas.microsoft.com/office/drawing/2014/main" id="{00000000-0008-0000-2300-00005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352</xdr:row>
      <xdr:rowOff>9525</xdr:rowOff>
    </xdr:from>
    <xdr:to>
      <xdr:col>1</xdr:col>
      <xdr:colOff>372675</xdr:colOff>
      <xdr:row>353</xdr:row>
      <xdr:rowOff>10725</xdr:rowOff>
    </xdr:to>
    <xdr:grpSp>
      <xdr:nvGrpSpPr>
        <xdr:cNvPr id="89" name="Gruppieren 88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00000000-0008-0000-2300-000059000000}"/>
            </a:ext>
          </a:extLst>
        </xdr:cNvPr>
        <xdr:cNvGrpSpPr>
          <a:grpSpLocks noChangeAspect="1"/>
        </xdr:cNvGrpSpPr>
      </xdr:nvGrpSpPr>
      <xdr:grpSpPr>
        <a:xfrm>
          <a:off x="74295" y="67035045"/>
          <a:ext cx="306000" cy="306000"/>
          <a:chOff x="9191625" y="3009900"/>
          <a:chExt cx="324000" cy="325465"/>
        </a:xfrm>
      </xdr:grpSpPr>
      <xdr:sp macro="" textlink="">
        <xdr:nvSpPr>
          <xdr:cNvPr id="90" name="Rechteck 89">
            <a:extLst>
              <a:ext uri="{FF2B5EF4-FFF2-40B4-BE49-F238E27FC236}">
                <a16:creationId xmlns:a16="http://schemas.microsoft.com/office/drawing/2014/main" id="{00000000-0008-0000-2300-00005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1" name="Pfeil nach links 90">
            <a:extLst>
              <a:ext uri="{FF2B5EF4-FFF2-40B4-BE49-F238E27FC236}">
                <a16:creationId xmlns:a16="http://schemas.microsoft.com/office/drawing/2014/main" id="{00000000-0008-0000-2300-00005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364</xdr:row>
      <xdr:rowOff>9525</xdr:rowOff>
    </xdr:from>
    <xdr:to>
      <xdr:col>1</xdr:col>
      <xdr:colOff>372675</xdr:colOff>
      <xdr:row>365</xdr:row>
      <xdr:rowOff>10725</xdr:rowOff>
    </xdr:to>
    <xdr:grpSp>
      <xdr:nvGrpSpPr>
        <xdr:cNvPr id="92" name="Gruppieren 91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00000000-0008-0000-2300-00005C000000}"/>
            </a:ext>
          </a:extLst>
        </xdr:cNvPr>
        <xdr:cNvGrpSpPr>
          <a:grpSpLocks noChangeAspect="1"/>
        </xdr:cNvGrpSpPr>
      </xdr:nvGrpSpPr>
      <xdr:grpSpPr>
        <a:xfrm>
          <a:off x="74295" y="69290565"/>
          <a:ext cx="306000" cy="306000"/>
          <a:chOff x="9191625" y="3009900"/>
          <a:chExt cx="324000" cy="325465"/>
        </a:xfrm>
      </xdr:grpSpPr>
      <xdr:sp macro="" textlink="">
        <xdr:nvSpPr>
          <xdr:cNvPr id="93" name="Rechteck 92">
            <a:extLst>
              <a:ext uri="{FF2B5EF4-FFF2-40B4-BE49-F238E27FC236}">
                <a16:creationId xmlns:a16="http://schemas.microsoft.com/office/drawing/2014/main" id="{00000000-0008-0000-2300-00005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4" name="Pfeil nach links 93">
            <a:extLst>
              <a:ext uri="{FF2B5EF4-FFF2-40B4-BE49-F238E27FC236}">
                <a16:creationId xmlns:a16="http://schemas.microsoft.com/office/drawing/2014/main" id="{00000000-0008-0000-2300-00005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376</xdr:row>
      <xdr:rowOff>9525</xdr:rowOff>
    </xdr:from>
    <xdr:to>
      <xdr:col>1</xdr:col>
      <xdr:colOff>372675</xdr:colOff>
      <xdr:row>377</xdr:row>
      <xdr:rowOff>10725</xdr:rowOff>
    </xdr:to>
    <xdr:grpSp>
      <xdr:nvGrpSpPr>
        <xdr:cNvPr id="95" name="Gruppieren 94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00000000-0008-0000-2300-00005F000000}"/>
            </a:ext>
          </a:extLst>
        </xdr:cNvPr>
        <xdr:cNvGrpSpPr>
          <a:grpSpLocks noChangeAspect="1"/>
        </xdr:cNvGrpSpPr>
      </xdr:nvGrpSpPr>
      <xdr:grpSpPr>
        <a:xfrm>
          <a:off x="74295" y="71546085"/>
          <a:ext cx="306000" cy="306000"/>
          <a:chOff x="9191625" y="3009900"/>
          <a:chExt cx="324000" cy="325465"/>
        </a:xfrm>
      </xdr:grpSpPr>
      <xdr:sp macro="" textlink="">
        <xdr:nvSpPr>
          <xdr:cNvPr id="96" name="Rechteck 95">
            <a:extLst>
              <a:ext uri="{FF2B5EF4-FFF2-40B4-BE49-F238E27FC236}">
                <a16:creationId xmlns:a16="http://schemas.microsoft.com/office/drawing/2014/main" id="{00000000-0008-0000-2300-00006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7" name="Pfeil nach links 96">
            <a:extLst>
              <a:ext uri="{FF2B5EF4-FFF2-40B4-BE49-F238E27FC236}">
                <a16:creationId xmlns:a16="http://schemas.microsoft.com/office/drawing/2014/main" id="{00000000-0008-0000-2300-00006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388</xdr:row>
      <xdr:rowOff>9525</xdr:rowOff>
    </xdr:from>
    <xdr:to>
      <xdr:col>1</xdr:col>
      <xdr:colOff>372675</xdr:colOff>
      <xdr:row>389</xdr:row>
      <xdr:rowOff>10725</xdr:rowOff>
    </xdr:to>
    <xdr:grpSp>
      <xdr:nvGrpSpPr>
        <xdr:cNvPr id="98" name="Gruppieren 97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0000000-0008-0000-2300-000062000000}"/>
            </a:ext>
          </a:extLst>
        </xdr:cNvPr>
        <xdr:cNvGrpSpPr>
          <a:grpSpLocks noChangeAspect="1"/>
        </xdr:cNvGrpSpPr>
      </xdr:nvGrpSpPr>
      <xdr:grpSpPr>
        <a:xfrm>
          <a:off x="74295" y="73801605"/>
          <a:ext cx="306000" cy="306000"/>
          <a:chOff x="9191625" y="3009900"/>
          <a:chExt cx="324000" cy="325465"/>
        </a:xfrm>
      </xdr:grpSpPr>
      <xdr:sp macro="" textlink="">
        <xdr:nvSpPr>
          <xdr:cNvPr id="99" name="Rechteck 98">
            <a:extLst>
              <a:ext uri="{FF2B5EF4-FFF2-40B4-BE49-F238E27FC236}">
                <a16:creationId xmlns:a16="http://schemas.microsoft.com/office/drawing/2014/main" id="{00000000-0008-0000-2300-00006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0" name="Pfeil nach links 99">
            <a:extLst>
              <a:ext uri="{FF2B5EF4-FFF2-40B4-BE49-F238E27FC236}">
                <a16:creationId xmlns:a16="http://schemas.microsoft.com/office/drawing/2014/main" id="{00000000-0008-0000-2300-00006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400</xdr:row>
      <xdr:rowOff>9525</xdr:rowOff>
    </xdr:from>
    <xdr:to>
      <xdr:col>1</xdr:col>
      <xdr:colOff>372675</xdr:colOff>
      <xdr:row>401</xdr:row>
      <xdr:rowOff>10725</xdr:rowOff>
    </xdr:to>
    <xdr:grpSp>
      <xdr:nvGrpSpPr>
        <xdr:cNvPr id="101" name="Gruppieren 100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00000000-0008-0000-2300-000065000000}"/>
            </a:ext>
          </a:extLst>
        </xdr:cNvPr>
        <xdr:cNvGrpSpPr>
          <a:grpSpLocks noChangeAspect="1"/>
        </xdr:cNvGrpSpPr>
      </xdr:nvGrpSpPr>
      <xdr:grpSpPr>
        <a:xfrm>
          <a:off x="74295" y="76057125"/>
          <a:ext cx="306000" cy="306000"/>
          <a:chOff x="9191625" y="3009900"/>
          <a:chExt cx="324000" cy="325465"/>
        </a:xfrm>
      </xdr:grpSpPr>
      <xdr:sp macro="" textlink="">
        <xdr:nvSpPr>
          <xdr:cNvPr id="102" name="Rechteck 101">
            <a:extLst>
              <a:ext uri="{FF2B5EF4-FFF2-40B4-BE49-F238E27FC236}">
                <a16:creationId xmlns:a16="http://schemas.microsoft.com/office/drawing/2014/main" id="{00000000-0008-0000-2300-00006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3" name="Pfeil nach links 102">
            <a:extLst>
              <a:ext uri="{FF2B5EF4-FFF2-40B4-BE49-F238E27FC236}">
                <a16:creationId xmlns:a16="http://schemas.microsoft.com/office/drawing/2014/main" id="{00000000-0008-0000-2300-00006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412</xdr:row>
      <xdr:rowOff>9525</xdr:rowOff>
    </xdr:from>
    <xdr:to>
      <xdr:col>1</xdr:col>
      <xdr:colOff>372675</xdr:colOff>
      <xdr:row>413</xdr:row>
      <xdr:rowOff>10725</xdr:rowOff>
    </xdr:to>
    <xdr:grpSp>
      <xdr:nvGrpSpPr>
        <xdr:cNvPr id="104" name="Gruppieren 103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0000000-0008-0000-2300-000068000000}"/>
            </a:ext>
          </a:extLst>
        </xdr:cNvPr>
        <xdr:cNvGrpSpPr>
          <a:grpSpLocks noChangeAspect="1"/>
        </xdr:cNvGrpSpPr>
      </xdr:nvGrpSpPr>
      <xdr:grpSpPr>
        <a:xfrm>
          <a:off x="74295" y="78312645"/>
          <a:ext cx="306000" cy="306000"/>
          <a:chOff x="9191625" y="3009900"/>
          <a:chExt cx="324000" cy="325465"/>
        </a:xfrm>
      </xdr:grpSpPr>
      <xdr:sp macro="" textlink="">
        <xdr:nvSpPr>
          <xdr:cNvPr id="105" name="Rechteck 104">
            <a:extLst>
              <a:ext uri="{FF2B5EF4-FFF2-40B4-BE49-F238E27FC236}">
                <a16:creationId xmlns:a16="http://schemas.microsoft.com/office/drawing/2014/main" id="{00000000-0008-0000-2300-00006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6" name="Pfeil nach links 105">
            <a:extLst>
              <a:ext uri="{FF2B5EF4-FFF2-40B4-BE49-F238E27FC236}">
                <a16:creationId xmlns:a16="http://schemas.microsoft.com/office/drawing/2014/main" id="{00000000-0008-0000-2300-00006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424</xdr:row>
      <xdr:rowOff>9525</xdr:rowOff>
    </xdr:from>
    <xdr:to>
      <xdr:col>1</xdr:col>
      <xdr:colOff>372675</xdr:colOff>
      <xdr:row>425</xdr:row>
      <xdr:rowOff>10725</xdr:rowOff>
    </xdr:to>
    <xdr:grpSp>
      <xdr:nvGrpSpPr>
        <xdr:cNvPr id="107" name="Gruppieren 106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00000000-0008-0000-2300-00006B000000}"/>
            </a:ext>
          </a:extLst>
        </xdr:cNvPr>
        <xdr:cNvGrpSpPr>
          <a:grpSpLocks noChangeAspect="1"/>
        </xdr:cNvGrpSpPr>
      </xdr:nvGrpSpPr>
      <xdr:grpSpPr>
        <a:xfrm>
          <a:off x="74295" y="80568165"/>
          <a:ext cx="306000" cy="306000"/>
          <a:chOff x="9191625" y="3009900"/>
          <a:chExt cx="324000" cy="325465"/>
        </a:xfrm>
      </xdr:grpSpPr>
      <xdr:sp macro="" textlink="">
        <xdr:nvSpPr>
          <xdr:cNvPr id="108" name="Rechteck 107">
            <a:extLst>
              <a:ext uri="{FF2B5EF4-FFF2-40B4-BE49-F238E27FC236}">
                <a16:creationId xmlns:a16="http://schemas.microsoft.com/office/drawing/2014/main" id="{00000000-0008-0000-2300-00006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9" name="Pfeil nach links 108">
            <a:extLst>
              <a:ext uri="{FF2B5EF4-FFF2-40B4-BE49-F238E27FC236}">
                <a16:creationId xmlns:a16="http://schemas.microsoft.com/office/drawing/2014/main" id="{00000000-0008-0000-2300-00006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436</xdr:row>
      <xdr:rowOff>9525</xdr:rowOff>
    </xdr:from>
    <xdr:to>
      <xdr:col>1</xdr:col>
      <xdr:colOff>372675</xdr:colOff>
      <xdr:row>437</xdr:row>
      <xdr:rowOff>10725</xdr:rowOff>
    </xdr:to>
    <xdr:grpSp>
      <xdr:nvGrpSpPr>
        <xdr:cNvPr id="110" name="Gruppieren 109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00000000-0008-0000-2300-00006E000000}"/>
            </a:ext>
          </a:extLst>
        </xdr:cNvPr>
        <xdr:cNvGrpSpPr>
          <a:grpSpLocks noChangeAspect="1"/>
        </xdr:cNvGrpSpPr>
      </xdr:nvGrpSpPr>
      <xdr:grpSpPr>
        <a:xfrm>
          <a:off x="74295" y="82823685"/>
          <a:ext cx="306000" cy="306000"/>
          <a:chOff x="9191625" y="3009900"/>
          <a:chExt cx="324000" cy="325465"/>
        </a:xfrm>
      </xdr:grpSpPr>
      <xdr:sp macro="" textlink="">
        <xdr:nvSpPr>
          <xdr:cNvPr id="111" name="Rechteck 110">
            <a:extLst>
              <a:ext uri="{FF2B5EF4-FFF2-40B4-BE49-F238E27FC236}">
                <a16:creationId xmlns:a16="http://schemas.microsoft.com/office/drawing/2014/main" id="{00000000-0008-0000-2300-00006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2" name="Pfeil nach links 111">
            <a:extLst>
              <a:ext uri="{FF2B5EF4-FFF2-40B4-BE49-F238E27FC236}">
                <a16:creationId xmlns:a16="http://schemas.microsoft.com/office/drawing/2014/main" id="{00000000-0008-0000-2300-00007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448</xdr:row>
      <xdr:rowOff>9525</xdr:rowOff>
    </xdr:from>
    <xdr:to>
      <xdr:col>1</xdr:col>
      <xdr:colOff>372675</xdr:colOff>
      <xdr:row>449</xdr:row>
      <xdr:rowOff>10725</xdr:rowOff>
    </xdr:to>
    <xdr:grpSp>
      <xdr:nvGrpSpPr>
        <xdr:cNvPr id="113" name="Gruppieren 112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00000000-0008-0000-2300-000071000000}"/>
            </a:ext>
          </a:extLst>
        </xdr:cNvPr>
        <xdr:cNvGrpSpPr>
          <a:grpSpLocks noChangeAspect="1"/>
        </xdr:cNvGrpSpPr>
      </xdr:nvGrpSpPr>
      <xdr:grpSpPr>
        <a:xfrm>
          <a:off x="74295" y="85079205"/>
          <a:ext cx="306000" cy="306000"/>
          <a:chOff x="9191625" y="3009900"/>
          <a:chExt cx="324000" cy="325465"/>
        </a:xfrm>
      </xdr:grpSpPr>
      <xdr:sp macro="" textlink="">
        <xdr:nvSpPr>
          <xdr:cNvPr id="114" name="Rechteck 113">
            <a:extLst>
              <a:ext uri="{FF2B5EF4-FFF2-40B4-BE49-F238E27FC236}">
                <a16:creationId xmlns:a16="http://schemas.microsoft.com/office/drawing/2014/main" id="{00000000-0008-0000-2300-00007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5" name="Pfeil nach links 114">
            <a:extLst>
              <a:ext uri="{FF2B5EF4-FFF2-40B4-BE49-F238E27FC236}">
                <a16:creationId xmlns:a16="http://schemas.microsoft.com/office/drawing/2014/main" id="{00000000-0008-0000-2300-00007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460</xdr:row>
      <xdr:rowOff>9525</xdr:rowOff>
    </xdr:from>
    <xdr:to>
      <xdr:col>1</xdr:col>
      <xdr:colOff>372675</xdr:colOff>
      <xdr:row>461</xdr:row>
      <xdr:rowOff>10725</xdr:rowOff>
    </xdr:to>
    <xdr:grpSp>
      <xdr:nvGrpSpPr>
        <xdr:cNvPr id="116" name="Gruppieren 115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00000000-0008-0000-2300-000074000000}"/>
            </a:ext>
          </a:extLst>
        </xdr:cNvPr>
        <xdr:cNvGrpSpPr>
          <a:grpSpLocks noChangeAspect="1"/>
        </xdr:cNvGrpSpPr>
      </xdr:nvGrpSpPr>
      <xdr:grpSpPr>
        <a:xfrm>
          <a:off x="74295" y="87334725"/>
          <a:ext cx="306000" cy="306000"/>
          <a:chOff x="9191625" y="3009900"/>
          <a:chExt cx="324000" cy="325465"/>
        </a:xfrm>
      </xdr:grpSpPr>
      <xdr:sp macro="" textlink="">
        <xdr:nvSpPr>
          <xdr:cNvPr id="117" name="Rechteck 116">
            <a:extLst>
              <a:ext uri="{FF2B5EF4-FFF2-40B4-BE49-F238E27FC236}">
                <a16:creationId xmlns:a16="http://schemas.microsoft.com/office/drawing/2014/main" id="{00000000-0008-0000-2300-00007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8" name="Pfeil nach links 117">
            <a:extLst>
              <a:ext uri="{FF2B5EF4-FFF2-40B4-BE49-F238E27FC236}">
                <a16:creationId xmlns:a16="http://schemas.microsoft.com/office/drawing/2014/main" id="{00000000-0008-0000-2300-00007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472</xdr:row>
      <xdr:rowOff>9525</xdr:rowOff>
    </xdr:from>
    <xdr:to>
      <xdr:col>1</xdr:col>
      <xdr:colOff>372675</xdr:colOff>
      <xdr:row>473</xdr:row>
      <xdr:rowOff>10725</xdr:rowOff>
    </xdr:to>
    <xdr:grpSp>
      <xdr:nvGrpSpPr>
        <xdr:cNvPr id="119" name="Gruppieren 118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00000000-0008-0000-2300-000077000000}"/>
            </a:ext>
          </a:extLst>
        </xdr:cNvPr>
        <xdr:cNvGrpSpPr>
          <a:grpSpLocks noChangeAspect="1"/>
        </xdr:cNvGrpSpPr>
      </xdr:nvGrpSpPr>
      <xdr:grpSpPr>
        <a:xfrm>
          <a:off x="74295" y="89590245"/>
          <a:ext cx="306000" cy="306000"/>
          <a:chOff x="9191625" y="3009900"/>
          <a:chExt cx="324000" cy="325465"/>
        </a:xfrm>
      </xdr:grpSpPr>
      <xdr:sp macro="" textlink="">
        <xdr:nvSpPr>
          <xdr:cNvPr id="120" name="Rechteck 119">
            <a:extLst>
              <a:ext uri="{FF2B5EF4-FFF2-40B4-BE49-F238E27FC236}">
                <a16:creationId xmlns:a16="http://schemas.microsoft.com/office/drawing/2014/main" id="{00000000-0008-0000-2300-00007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1" name="Pfeil nach links 120">
            <a:extLst>
              <a:ext uri="{FF2B5EF4-FFF2-40B4-BE49-F238E27FC236}">
                <a16:creationId xmlns:a16="http://schemas.microsoft.com/office/drawing/2014/main" id="{00000000-0008-0000-2300-00007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496</xdr:row>
      <xdr:rowOff>9525</xdr:rowOff>
    </xdr:from>
    <xdr:to>
      <xdr:col>1</xdr:col>
      <xdr:colOff>372675</xdr:colOff>
      <xdr:row>497</xdr:row>
      <xdr:rowOff>10725</xdr:rowOff>
    </xdr:to>
    <xdr:grpSp>
      <xdr:nvGrpSpPr>
        <xdr:cNvPr id="122" name="Gruppieren 121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00000000-0008-0000-2300-00007A000000}"/>
            </a:ext>
          </a:extLst>
        </xdr:cNvPr>
        <xdr:cNvGrpSpPr>
          <a:grpSpLocks noChangeAspect="1"/>
        </xdr:cNvGrpSpPr>
      </xdr:nvGrpSpPr>
      <xdr:grpSpPr>
        <a:xfrm>
          <a:off x="74295" y="94101285"/>
          <a:ext cx="306000" cy="306000"/>
          <a:chOff x="9191625" y="3009900"/>
          <a:chExt cx="324000" cy="325465"/>
        </a:xfrm>
      </xdr:grpSpPr>
      <xdr:sp macro="" textlink="">
        <xdr:nvSpPr>
          <xdr:cNvPr id="123" name="Rechteck 122">
            <a:extLst>
              <a:ext uri="{FF2B5EF4-FFF2-40B4-BE49-F238E27FC236}">
                <a16:creationId xmlns:a16="http://schemas.microsoft.com/office/drawing/2014/main" id="{00000000-0008-0000-2300-00007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4" name="Pfeil nach links 123">
            <a:extLst>
              <a:ext uri="{FF2B5EF4-FFF2-40B4-BE49-F238E27FC236}">
                <a16:creationId xmlns:a16="http://schemas.microsoft.com/office/drawing/2014/main" id="{00000000-0008-0000-2300-00007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508</xdr:row>
      <xdr:rowOff>9525</xdr:rowOff>
    </xdr:from>
    <xdr:to>
      <xdr:col>1</xdr:col>
      <xdr:colOff>372675</xdr:colOff>
      <xdr:row>509</xdr:row>
      <xdr:rowOff>10725</xdr:rowOff>
    </xdr:to>
    <xdr:grpSp>
      <xdr:nvGrpSpPr>
        <xdr:cNvPr id="125" name="Gruppieren 124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00000000-0008-0000-2300-00007D000000}"/>
            </a:ext>
          </a:extLst>
        </xdr:cNvPr>
        <xdr:cNvGrpSpPr>
          <a:grpSpLocks noChangeAspect="1"/>
        </xdr:cNvGrpSpPr>
      </xdr:nvGrpSpPr>
      <xdr:grpSpPr>
        <a:xfrm>
          <a:off x="74295" y="96356805"/>
          <a:ext cx="306000" cy="306000"/>
          <a:chOff x="9191625" y="3009900"/>
          <a:chExt cx="324000" cy="325465"/>
        </a:xfrm>
      </xdr:grpSpPr>
      <xdr:sp macro="" textlink="">
        <xdr:nvSpPr>
          <xdr:cNvPr id="126" name="Rechteck 125">
            <a:extLst>
              <a:ext uri="{FF2B5EF4-FFF2-40B4-BE49-F238E27FC236}">
                <a16:creationId xmlns:a16="http://schemas.microsoft.com/office/drawing/2014/main" id="{00000000-0008-0000-2300-00007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7" name="Pfeil nach links 126">
            <a:extLst>
              <a:ext uri="{FF2B5EF4-FFF2-40B4-BE49-F238E27FC236}">
                <a16:creationId xmlns:a16="http://schemas.microsoft.com/office/drawing/2014/main" id="{00000000-0008-0000-2300-00007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520</xdr:row>
      <xdr:rowOff>9525</xdr:rowOff>
    </xdr:from>
    <xdr:to>
      <xdr:col>1</xdr:col>
      <xdr:colOff>372675</xdr:colOff>
      <xdr:row>521</xdr:row>
      <xdr:rowOff>10725</xdr:rowOff>
    </xdr:to>
    <xdr:grpSp>
      <xdr:nvGrpSpPr>
        <xdr:cNvPr id="128" name="Gruppieren 127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00000000-0008-0000-2300-000080000000}"/>
            </a:ext>
          </a:extLst>
        </xdr:cNvPr>
        <xdr:cNvGrpSpPr>
          <a:grpSpLocks noChangeAspect="1"/>
        </xdr:cNvGrpSpPr>
      </xdr:nvGrpSpPr>
      <xdr:grpSpPr>
        <a:xfrm>
          <a:off x="74295" y="98612325"/>
          <a:ext cx="306000" cy="306000"/>
          <a:chOff x="9191625" y="3009900"/>
          <a:chExt cx="324000" cy="325465"/>
        </a:xfrm>
      </xdr:grpSpPr>
      <xdr:sp macro="" textlink="">
        <xdr:nvSpPr>
          <xdr:cNvPr id="129" name="Rechteck 128">
            <a:extLst>
              <a:ext uri="{FF2B5EF4-FFF2-40B4-BE49-F238E27FC236}">
                <a16:creationId xmlns:a16="http://schemas.microsoft.com/office/drawing/2014/main" id="{00000000-0008-0000-2300-00008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0" name="Pfeil nach links 129">
            <a:extLst>
              <a:ext uri="{FF2B5EF4-FFF2-40B4-BE49-F238E27FC236}">
                <a16:creationId xmlns:a16="http://schemas.microsoft.com/office/drawing/2014/main" id="{00000000-0008-0000-2300-00008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532</xdr:row>
      <xdr:rowOff>9525</xdr:rowOff>
    </xdr:from>
    <xdr:to>
      <xdr:col>1</xdr:col>
      <xdr:colOff>372675</xdr:colOff>
      <xdr:row>533</xdr:row>
      <xdr:rowOff>10725</xdr:rowOff>
    </xdr:to>
    <xdr:grpSp>
      <xdr:nvGrpSpPr>
        <xdr:cNvPr id="131" name="Gruppieren 130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00000000-0008-0000-2300-000083000000}"/>
            </a:ext>
          </a:extLst>
        </xdr:cNvPr>
        <xdr:cNvGrpSpPr>
          <a:grpSpLocks noChangeAspect="1"/>
        </xdr:cNvGrpSpPr>
      </xdr:nvGrpSpPr>
      <xdr:grpSpPr>
        <a:xfrm>
          <a:off x="74295" y="100867845"/>
          <a:ext cx="306000" cy="306000"/>
          <a:chOff x="9191625" y="3009900"/>
          <a:chExt cx="324000" cy="325465"/>
        </a:xfrm>
      </xdr:grpSpPr>
      <xdr:sp macro="" textlink="">
        <xdr:nvSpPr>
          <xdr:cNvPr id="132" name="Rechteck 131">
            <a:extLst>
              <a:ext uri="{FF2B5EF4-FFF2-40B4-BE49-F238E27FC236}">
                <a16:creationId xmlns:a16="http://schemas.microsoft.com/office/drawing/2014/main" id="{00000000-0008-0000-2300-00008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3" name="Pfeil nach links 132">
            <a:extLst>
              <a:ext uri="{FF2B5EF4-FFF2-40B4-BE49-F238E27FC236}">
                <a16:creationId xmlns:a16="http://schemas.microsoft.com/office/drawing/2014/main" id="{00000000-0008-0000-2300-00008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544</xdr:row>
      <xdr:rowOff>9525</xdr:rowOff>
    </xdr:from>
    <xdr:to>
      <xdr:col>1</xdr:col>
      <xdr:colOff>372675</xdr:colOff>
      <xdr:row>545</xdr:row>
      <xdr:rowOff>10725</xdr:rowOff>
    </xdr:to>
    <xdr:grpSp>
      <xdr:nvGrpSpPr>
        <xdr:cNvPr id="134" name="Gruppieren 133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00000000-0008-0000-2300-000086000000}"/>
            </a:ext>
          </a:extLst>
        </xdr:cNvPr>
        <xdr:cNvGrpSpPr>
          <a:grpSpLocks noChangeAspect="1"/>
        </xdr:cNvGrpSpPr>
      </xdr:nvGrpSpPr>
      <xdr:grpSpPr>
        <a:xfrm>
          <a:off x="74295" y="103123365"/>
          <a:ext cx="306000" cy="306000"/>
          <a:chOff x="9191625" y="3009900"/>
          <a:chExt cx="324000" cy="325465"/>
        </a:xfrm>
      </xdr:grpSpPr>
      <xdr:sp macro="" textlink="">
        <xdr:nvSpPr>
          <xdr:cNvPr id="135" name="Rechteck 134">
            <a:extLst>
              <a:ext uri="{FF2B5EF4-FFF2-40B4-BE49-F238E27FC236}">
                <a16:creationId xmlns:a16="http://schemas.microsoft.com/office/drawing/2014/main" id="{00000000-0008-0000-2300-00008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6" name="Pfeil nach links 135">
            <a:extLst>
              <a:ext uri="{FF2B5EF4-FFF2-40B4-BE49-F238E27FC236}">
                <a16:creationId xmlns:a16="http://schemas.microsoft.com/office/drawing/2014/main" id="{00000000-0008-0000-2300-00008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556</xdr:row>
      <xdr:rowOff>9525</xdr:rowOff>
    </xdr:from>
    <xdr:to>
      <xdr:col>1</xdr:col>
      <xdr:colOff>372675</xdr:colOff>
      <xdr:row>557</xdr:row>
      <xdr:rowOff>10725</xdr:rowOff>
    </xdr:to>
    <xdr:grpSp>
      <xdr:nvGrpSpPr>
        <xdr:cNvPr id="137" name="Gruppieren 136">
          <a:hlinkClick xmlns:r="http://schemas.openxmlformats.org/officeDocument/2006/relationships" r:id="rId46"/>
          <a:extLst>
            <a:ext uri="{FF2B5EF4-FFF2-40B4-BE49-F238E27FC236}">
              <a16:creationId xmlns:a16="http://schemas.microsoft.com/office/drawing/2014/main" id="{00000000-0008-0000-2300-000089000000}"/>
            </a:ext>
          </a:extLst>
        </xdr:cNvPr>
        <xdr:cNvGrpSpPr>
          <a:grpSpLocks noChangeAspect="1"/>
        </xdr:cNvGrpSpPr>
      </xdr:nvGrpSpPr>
      <xdr:grpSpPr>
        <a:xfrm>
          <a:off x="74295" y="105378885"/>
          <a:ext cx="306000" cy="306000"/>
          <a:chOff x="9191625" y="3009900"/>
          <a:chExt cx="324000" cy="325465"/>
        </a:xfrm>
      </xdr:grpSpPr>
      <xdr:sp macro="" textlink="">
        <xdr:nvSpPr>
          <xdr:cNvPr id="138" name="Rechteck 137">
            <a:extLst>
              <a:ext uri="{FF2B5EF4-FFF2-40B4-BE49-F238E27FC236}">
                <a16:creationId xmlns:a16="http://schemas.microsoft.com/office/drawing/2014/main" id="{00000000-0008-0000-2300-00008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9" name="Pfeil nach links 138">
            <a:extLst>
              <a:ext uri="{FF2B5EF4-FFF2-40B4-BE49-F238E27FC236}">
                <a16:creationId xmlns:a16="http://schemas.microsoft.com/office/drawing/2014/main" id="{00000000-0008-0000-2300-00008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568</xdr:row>
      <xdr:rowOff>9525</xdr:rowOff>
    </xdr:from>
    <xdr:to>
      <xdr:col>1</xdr:col>
      <xdr:colOff>372675</xdr:colOff>
      <xdr:row>569</xdr:row>
      <xdr:rowOff>10725</xdr:rowOff>
    </xdr:to>
    <xdr:grpSp>
      <xdr:nvGrpSpPr>
        <xdr:cNvPr id="140" name="Gruppieren 139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00000000-0008-0000-2300-00008C000000}"/>
            </a:ext>
          </a:extLst>
        </xdr:cNvPr>
        <xdr:cNvGrpSpPr>
          <a:grpSpLocks noChangeAspect="1"/>
        </xdr:cNvGrpSpPr>
      </xdr:nvGrpSpPr>
      <xdr:grpSpPr>
        <a:xfrm>
          <a:off x="74295" y="107634405"/>
          <a:ext cx="306000" cy="306000"/>
          <a:chOff x="9191625" y="3009900"/>
          <a:chExt cx="324000" cy="325465"/>
        </a:xfrm>
      </xdr:grpSpPr>
      <xdr:sp macro="" textlink="">
        <xdr:nvSpPr>
          <xdr:cNvPr id="141" name="Rechteck 140">
            <a:extLst>
              <a:ext uri="{FF2B5EF4-FFF2-40B4-BE49-F238E27FC236}">
                <a16:creationId xmlns:a16="http://schemas.microsoft.com/office/drawing/2014/main" id="{00000000-0008-0000-2300-00008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2" name="Pfeil nach links 141">
            <a:extLst>
              <a:ext uri="{FF2B5EF4-FFF2-40B4-BE49-F238E27FC236}">
                <a16:creationId xmlns:a16="http://schemas.microsoft.com/office/drawing/2014/main" id="{00000000-0008-0000-2300-00008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580</xdr:row>
      <xdr:rowOff>9525</xdr:rowOff>
    </xdr:from>
    <xdr:to>
      <xdr:col>1</xdr:col>
      <xdr:colOff>372675</xdr:colOff>
      <xdr:row>581</xdr:row>
      <xdr:rowOff>10725</xdr:rowOff>
    </xdr:to>
    <xdr:grpSp>
      <xdr:nvGrpSpPr>
        <xdr:cNvPr id="143" name="Gruppieren 142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id="{00000000-0008-0000-2300-00008F000000}"/>
            </a:ext>
          </a:extLst>
        </xdr:cNvPr>
        <xdr:cNvGrpSpPr>
          <a:grpSpLocks noChangeAspect="1"/>
        </xdr:cNvGrpSpPr>
      </xdr:nvGrpSpPr>
      <xdr:grpSpPr>
        <a:xfrm>
          <a:off x="74295" y="109889925"/>
          <a:ext cx="306000" cy="306000"/>
          <a:chOff x="9191625" y="3009900"/>
          <a:chExt cx="324000" cy="325465"/>
        </a:xfrm>
      </xdr:grpSpPr>
      <xdr:sp macro="" textlink="">
        <xdr:nvSpPr>
          <xdr:cNvPr id="144" name="Rechteck 143">
            <a:extLst>
              <a:ext uri="{FF2B5EF4-FFF2-40B4-BE49-F238E27FC236}">
                <a16:creationId xmlns:a16="http://schemas.microsoft.com/office/drawing/2014/main" id="{00000000-0008-0000-2300-00009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5" name="Pfeil nach links 144">
            <a:extLst>
              <a:ext uri="{FF2B5EF4-FFF2-40B4-BE49-F238E27FC236}">
                <a16:creationId xmlns:a16="http://schemas.microsoft.com/office/drawing/2014/main" id="{00000000-0008-0000-2300-00009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592</xdr:row>
      <xdr:rowOff>9525</xdr:rowOff>
    </xdr:from>
    <xdr:to>
      <xdr:col>1</xdr:col>
      <xdr:colOff>372675</xdr:colOff>
      <xdr:row>593</xdr:row>
      <xdr:rowOff>10725</xdr:rowOff>
    </xdr:to>
    <xdr:grpSp>
      <xdr:nvGrpSpPr>
        <xdr:cNvPr id="146" name="Gruppieren 145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00000000-0008-0000-2300-000092000000}"/>
            </a:ext>
          </a:extLst>
        </xdr:cNvPr>
        <xdr:cNvGrpSpPr>
          <a:grpSpLocks noChangeAspect="1"/>
        </xdr:cNvGrpSpPr>
      </xdr:nvGrpSpPr>
      <xdr:grpSpPr>
        <a:xfrm>
          <a:off x="74295" y="112145445"/>
          <a:ext cx="306000" cy="306000"/>
          <a:chOff x="9191625" y="3009900"/>
          <a:chExt cx="324000" cy="325465"/>
        </a:xfrm>
      </xdr:grpSpPr>
      <xdr:sp macro="" textlink="">
        <xdr:nvSpPr>
          <xdr:cNvPr id="147" name="Rechteck 146">
            <a:extLst>
              <a:ext uri="{FF2B5EF4-FFF2-40B4-BE49-F238E27FC236}">
                <a16:creationId xmlns:a16="http://schemas.microsoft.com/office/drawing/2014/main" id="{00000000-0008-0000-2300-00009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48" name="Pfeil nach links 147">
            <a:extLst>
              <a:ext uri="{FF2B5EF4-FFF2-40B4-BE49-F238E27FC236}">
                <a16:creationId xmlns:a16="http://schemas.microsoft.com/office/drawing/2014/main" id="{00000000-0008-0000-2300-00009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604</xdr:row>
      <xdr:rowOff>9525</xdr:rowOff>
    </xdr:from>
    <xdr:to>
      <xdr:col>1</xdr:col>
      <xdr:colOff>372675</xdr:colOff>
      <xdr:row>605</xdr:row>
      <xdr:rowOff>10725</xdr:rowOff>
    </xdr:to>
    <xdr:grpSp>
      <xdr:nvGrpSpPr>
        <xdr:cNvPr id="149" name="Gruppieren 148">
          <a:hlinkClick xmlns:r="http://schemas.openxmlformats.org/officeDocument/2006/relationships" r:id="rId50"/>
          <a:extLst>
            <a:ext uri="{FF2B5EF4-FFF2-40B4-BE49-F238E27FC236}">
              <a16:creationId xmlns:a16="http://schemas.microsoft.com/office/drawing/2014/main" id="{00000000-0008-0000-2300-000095000000}"/>
            </a:ext>
          </a:extLst>
        </xdr:cNvPr>
        <xdr:cNvGrpSpPr>
          <a:grpSpLocks noChangeAspect="1"/>
        </xdr:cNvGrpSpPr>
      </xdr:nvGrpSpPr>
      <xdr:grpSpPr>
        <a:xfrm>
          <a:off x="74295" y="114400965"/>
          <a:ext cx="306000" cy="306000"/>
          <a:chOff x="9191625" y="3009900"/>
          <a:chExt cx="324000" cy="325465"/>
        </a:xfrm>
      </xdr:grpSpPr>
      <xdr:sp macro="" textlink="">
        <xdr:nvSpPr>
          <xdr:cNvPr id="150" name="Rechteck 149">
            <a:extLst>
              <a:ext uri="{FF2B5EF4-FFF2-40B4-BE49-F238E27FC236}">
                <a16:creationId xmlns:a16="http://schemas.microsoft.com/office/drawing/2014/main" id="{00000000-0008-0000-2300-00009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1" name="Pfeil nach links 150">
            <a:extLst>
              <a:ext uri="{FF2B5EF4-FFF2-40B4-BE49-F238E27FC236}">
                <a16:creationId xmlns:a16="http://schemas.microsoft.com/office/drawing/2014/main" id="{00000000-0008-0000-2300-00009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616</xdr:row>
      <xdr:rowOff>9525</xdr:rowOff>
    </xdr:from>
    <xdr:to>
      <xdr:col>1</xdr:col>
      <xdr:colOff>372675</xdr:colOff>
      <xdr:row>617</xdr:row>
      <xdr:rowOff>10725</xdr:rowOff>
    </xdr:to>
    <xdr:grpSp>
      <xdr:nvGrpSpPr>
        <xdr:cNvPr id="152" name="Gruppieren 151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00000000-0008-0000-2300-000098000000}"/>
            </a:ext>
          </a:extLst>
        </xdr:cNvPr>
        <xdr:cNvGrpSpPr>
          <a:grpSpLocks noChangeAspect="1"/>
        </xdr:cNvGrpSpPr>
      </xdr:nvGrpSpPr>
      <xdr:grpSpPr>
        <a:xfrm>
          <a:off x="74295" y="116656485"/>
          <a:ext cx="306000" cy="306000"/>
          <a:chOff x="9191625" y="3009900"/>
          <a:chExt cx="324000" cy="325465"/>
        </a:xfrm>
      </xdr:grpSpPr>
      <xdr:sp macro="" textlink="">
        <xdr:nvSpPr>
          <xdr:cNvPr id="153" name="Rechteck 152">
            <a:extLst>
              <a:ext uri="{FF2B5EF4-FFF2-40B4-BE49-F238E27FC236}">
                <a16:creationId xmlns:a16="http://schemas.microsoft.com/office/drawing/2014/main" id="{00000000-0008-0000-2300-00009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4" name="Pfeil nach links 153">
            <a:extLst>
              <a:ext uri="{FF2B5EF4-FFF2-40B4-BE49-F238E27FC236}">
                <a16:creationId xmlns:a16="http://schemas.microsoft.com/office/drawing/2014/main" id="{00000000-0008-0000-2300-00009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628</xdr:row>
      <xdr:rowOff>9525</xdr:rowOff>
    </xdr:from>
    <xdr:to>
      <xdr:col>1</xdr:col>
      <xdr:colOff>372675</xdr:colOff>
      <xdr:row>629</xdr:row>
      <xdr:rowOff>10725</xdr:rowOff>
    </xdr:to>
    <xdr:grpSp>
      <xdr:nvGrpSpPr>
        <xdr:cNvPr id="155" name="Gruppieren 154">
          <a:hlinkClick xmlns:r="http://schemas.openxmlformats.org/officeDocument/2006/relationships" r:id="rId52"/>
          <a:extLst>
            <a:ext uri="{FF2B5EF4-FFF2-40B4-BE49-F238E27FC236}">
              <a16:creationId xmlns:a16="http://schemas.microsoft.com/office/drawing/2014/main" id="{00000000-0008-0000-2300-00009B000000}"/>
            </a:ext>
          </a:extLst>
        </xdr:cNvPr>
        <xdr:cNvGrpSpPr>
          <a:grpSpLocks noChangeAspect="1"/>
        </xdr:cNvGrpSpPr>
      </xdr:nvGrpSpPr>
      <xdr:grpSpPr>
        <a:xfrm>
          <a:off x="74295" y="118912005"/>
          <a:ext cx="306000" cy="306000"/>
          <a:chOff x="9191625" y="3009900"/>
          <a:chExt cx="324000" cy="325465"/>
        </a:xfrm>
      </xdr:grpSpPr>
      <xdr:sp macro="" textlink="">
        <xdr:nvSpPr>
          <xdr:cNvPr id="156" name="Rechteck 155">
            <a:extLst>
              <a:ext uri="{FF2B5EF4-FFF2-40B4-BE49-F238E27FC236}">
                <a16:creationId xmlns:a16="http://schemas.microsoft.com/office/drawing/2014/main" id="{00000000-0008-0000-2300-00009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57" name="Pfeil nach links 156">
            <a:extLst>
              <a:ext uri="{FF2B5EF4-FFF2-40B4-BE49-F238E27FC236}">
                <a16:creationId xmlns:a16="http://schemas.microsoft.com/office/drawing/2014/main" id="{00000000-0008-0000-2300-00009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640</xdr:row>
      <xdr:rowOff>9525</xdr:rowOff>
    </xdr:from>
    <xdr:to>
      <xdr:col>1</xdr:col>
      <xdr:colOff>372675</xdr:colOff>
      <xdr:row>641</xdr:row>
      <xdr:rowOff>10725</xdr:rowOff>
    </xdr:to>
    <xdr:grpSp>
      <xdr:nvGrpSpPr>
        <xdr:cNvPr id="158" name="Gruppieren 157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id="{00000000-0008-0000-2300-00009E000000}"/>
            </a:ext>
          </a:extLst>
        </xdr:cNvPr>
        <xdr:cNvGrpSpPr>
          <a:grpSpLocks noChangeAspect="1"/>
        </xdr:cNvGrpSpPr>
      </xdr:nvGrpSpPr>
      <xdr:grpSpPr>
        <a:xfrm>
          <a:off x="74295" y="121167525"/>
          <a:ext cx="306000" cy="306000"/>
          <a:chOff x="9191625" y="3009900"/>
          <a:chExt cx="324000" cy="325465"/>
        </a:xfrm>
      </xdr:grpSpPr>
      <xdr:sp macro="" textlink="">
        <xdr:nvSpPr>
          <xdr:cNvPr id="159" name="Rechteck 158">
            <a:extLst>
              <a:ext uri="{FF2B5EF4-FFF2-40B4-BE49-F238E27FC236}">
                <a16:creationId xmlns:a16="http://schemas.microsoft.com/office/drawing/2014/main" id="{00000000-0008-0000-2300-00009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0" name="Pfeil nach links 159">
            <a:extLst>
              <a:ext uri="{FF2B5EF4-FFF2-40B4-BE49-F238E27FC236}">
                <a16:creationId xmlns:a16="http://schemas.microsoft.com/office/drawing/2014/main" id="{00000000-0008-0000-2300-0000A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652</xdr:row>
      <xdr:rowOff>9525</xdr:rowOff>
    </xdr:from>
    <xdr:to>
      <xdr:col>1</xdr:col>
      <xdr:colOff>372675</xdr:colOff>
      <xdr:row>653</xdr:row>
      <xdr:rowOff>10725</xdr:rowOff>
    </xdr:to>
    <xdr:grpSp>
      <xdr:nvGrpSpPr>
        <xdr:cNvPr id="161" name="Gruppieren 160">
          <a:hlinkClick xmlns:r="http://schemas.openxmlformats.org/officeDocument/2006/relationships" r:id="rId54"/>
          <a:extLst>
            <a:ext uri="{FF2B5EF4-FFF2-40B4-BE49-F238E27FC236}">
              <a16:creationId xmlns:a16="http://schemas.microsoft.com/office/drawing/2014/main" id="{00000000-0008-0000-2300-0000A1000000}"/>
            </a:ext>
          </a:extLst>
        </xdr:cNvPr>
        <xdr:cNvGrpSpPr>
          <a:grpSpLocks noChangeAspect="1"/>
        </xdr:cNvGrpSpPr>
      </xdr:nvGrpSpPr>
      <xdr:grpSpPr>
        <a:xfrm>
          <a:off x="74295" y="123423045"/>
          <a:ext cx="306000" cy="306000"/>
          <a:chOff x="9191625" y="3009900"/>
          <a:chExt cx="324000" cy="325465"/>
        </a:xfrm>
      </xdr:grpSpPr>
      <xdr:sp macro="" textlink="">
        <xdr:nvSpPr>
          <xdr:cNvPr id="162" name="Rechteck 161">
            <a:extLst>
              <a:ext uri="{FF2B5EF4-FFF2-40B4-BE49-F238E27FC236}">
                <a16:creationId xmlns:a16="http://schemas.microsoft.com/office/drawing/2014/main" id="{00000000-0008-0000-2300-0000A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3" name="Pfeil nach links 162">
            <a:extLst>
              <a:ext uri="{FF2B5EF4-FFF2-40B4-BE49-F238E27FC236}">
                <a16:creationId xmlns:a16="http://schemas.microsoft.com/office/drawing/2014/main" id="{00000000-0008-0000-2300-0000A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664</xdr:row>
      <xdr:rowOff>9525</xdr:rowOff>
    </xdr:from>
    <xdr:to>
      <xdr:col>1</xdr:col>
      <xdr:colOff>372675</xdr:colOff>
      <xdr:row>665</xdr:row>
      <xdr:rowOff>10725</xdr:rowOff>
    </xdr:to>
    <xdr:grpSp>
      <xdr:nvGrpSpPr>
        <xdr:cNvPr id="164" name="Gruppieren 163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id="{00000000-0008-0000-2300-0000A4000000}"/>
            </a:ext>
          </a:extLst>
        </xdr:cNvPr>
        <xdr:cNvGrpSpPr>
          <a:grpSpLocks noChangeAspect="1"/>
        </xdr:cNvGrpSpPr>
      </xdr:nvGrpSpPr>
      <xdr:grpSpPr>
        <a:xfrm>
          <a:off x="74295" y="125678565"/>
          <a:ext cx="306000" cy="306000"/>
          <a:chOff x="9191625" y="3009900"/>
          <a:chExt cx="324000" cy="325465"/>
        </a:xfrm>
      </xdr:grpSpPr>
      <xdr:sp macro="" textlink="">
        <xdr:nvSpPr>
          <xdr:cNvPr id="165" name="Rechteck 164">
            <a:extLst>
              <a:ext uri="{FF2B5EF4-FFF2-40B4-BE49-F238E27FC236}">
                <a16:creationId xmlns:a16="http://schemas.microsoft.com/office/drawing/2014/main" id="{00000000-0008-0000-2300-0000A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6" name="Pfeil nach links 165">
            <a:extLst>
              <a:ext uri="{FF2B5EF4-FFF2-40B4-BE49-F238E27FC236}">
                <a16:creationId xmlns:a16="http://schemas.microsoft.com/office/drawing/2014/main" id="{00000000-0008-0000-2300-0000A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676</xdr:row>
      <xdr:rowOff>9525</xdr:rowOff>
    </xdr:from>
    <xdr:to>
      <xdr:col>1</xdr:col>
      <xdr:colOff>372675</xdr:colOff>
      <xdr:row>677</xdr:row>
      <xdr:rowOff>10725</xdr:rowOff>
    </xdr:to>
    <xdr:grpSp>
      <xdr:nvGrpSpPr>
        <xdr:cNvPr id="167" name="Gruppieren 166">
          <a:hlinkClick xmlns:r="http://schemas.openxmlformats.org/officeDocument/2006/relationships" r:id="rId56"/>
          <a:extLst>
            <a:ext uri="{FF2B5EF4-FFF2-40B4-BE49-F238E27FC236}">
              <a16:creationId xmlns:a16="http://schemas.microsoft.com/office/drawing/2014/main" id="{00000000-0008-0000-2300-0000A7000000}"/>
            </a:ext>
          </a:extLst>
        </xdr:cNvPr>
        <xdr:cNvGrpSpPr>
          <a:grpSpLocks noChangeAspect="1"/>
        </xdr:cNvGrpSpPr>
      </xdr:nvGrpSpPr>
      <xdr:grpSpPr>
        <a:xfrm>
          <a:off x="74295" y="127934085"/>
          <a:ext cx="306000" cy="306000"/>
          <a:chOff x="9191625" y="3009900"/>
          <a:chExt cx="324000" cy="325465"/>
        </a:xfrm>
      </xdr:grpSpPr>
      <xdr:sp macro="" textlink="">
        <xdr:nvSpPr>
          <xdr:cNvPr id="168" name="Rechteck 167">
            <a:extLst>
              <a:ext uri="{FF2B5EF4-FFF2-40B4-BE49-F238E27FC236}">
                <a16:creationId xmlns:a16="http://schemas.microsoft.com/office/drawing/2014/main" id="{00000000-0008-0000-2300-0000A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9" name="Pfeil nach links 168">
            <a:extLst>
              <a:ext uri="{FF2B5EF4-FFF2-40B4-BE49-F238E27FC236}">
                <a16:creationId xmlns:a16="http://schemas.microsoft.com/office/drawing/2014/main" id="{00000000-0008-0000-2300-0000A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688</xdr:row>
      <xdr:rowOff>9525</xdr:rowOff>
    </xdr:from>
    <xdr:to>
      <xdr:col>1</xdr:col>
      <xdr:colOff>372675</xdr:colOff>
      <xdr:row>689</xdr:row>
      <xdr:rowOff>10725</xdr:rowOff>
    </xdr:to>
    <xdr:grpSp>
      <xdr:nvGrpSpPr>
        <xdr:cNvPr id="170" name="Gruppieren 169">
          <a:hlinkClick xmlns:r="http://schemas.openxmlformats.org/officeDocument/2006/relationships" r:id="rId57"/>
          <a:extLst>
            <a:ext uri="{FF2B5EF4-FFF2-40B4-BE49-F238E27FC236}">
              <a16:creationId xmlns:a16="http://schemas.microsoft.com/office/drawing/2014/main" id="{00000000-0008-0000-2300-0000AA000000}"/>
            </a:ext>
          </a:extLst>
        </xdr:cNvPr>
        <xdr:cNvGrpSpPr>
          <a:grpSpLocks noChangeAspect="1"/>
        </xdr:cNvGrpSpPr>
      </xdr:nvGrpSpPr>
      <xdr:grpSpPr>
        <a:xfrm>
          <a:off x="74295" y="130189605"/>
          <a:ext cx="306000" cy="306000"/>
          <a:chOff x="9191625" y="3009900"/>
          <a:chExt cx="324000" cy="325465"/>
        </a:xfrm>
      </xdr:grpSpPr>
      <xdr:sp macro="" textlink="">
        <xdr:nvSpPr>
          <xdr:cNvPr id="171" name="Rechteck 170">
            <a:extLst>
              <a:ext uri="{FF2B5EF4-FFF2-40B4-BE49-F238E27FC236}">
                <a16:creationId xmlns:a16="http://schemas.microsoft.com/office/drawing/2014/main" id="{00000000-0008-0000-2300-0000A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2" name="Pfeil nach links 171">
            <a:extLst>
              <a:ext uri="{FF2B5EF4-FFF2-40B4-BE49-F238E27FC236}">
                <a16:creationId xmlns:a16="http://schemas.microsoft.com/office/drawing/2014/main" id="{00000000-0008-0000-2300-0000A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700</xdr:row>
      <xdr:rowOff>9525</xdr:rowOff>
    </xdr:from>
    <xdr:to>
      <xdr:col>1</xdr:col>
      <xdr:colOff>372675</xdr:colOff>
      <xdr:row>701</xdr:row>
      <xdr:rowOff>10725</xdr:rowOff>
    </xdr:to>
    <xdr:grpSp>
      <xdr:nvGrpSpPr>
        <xdr:cNvPr id="173" name="Gruppieren 172">
          <a:hlinkClick xmlns:r="http://schemas.openxmlformats.org/officeDocument/2006/relationships" r:id="rId58"/>
          <a:extLst>
            <a:ext uri="{FF2B5EF4-FFF2-40B4-BE49-F238E27FC236}">
              <a16:creationId xmlns:a16="http://schemas.microsoft.com/office/drawing/2014/main" id="{00000000-0008-0000-2300-0000AD000000}"/>
            </a:ext>
          </a:extLst>
        </xdr:cNvPr>
        <xdr:cNvGrpSpPr>
          <a:grpSpLocks noChangeAspect="1"/>
        </xdr:cNvGrpSpPr>
      </xdr:nvGrpSpPr>
      <xdr:grpSpPr>
        <a:xfrm>
          <a:off x="74295" y="132445125"/>
          <a:ext cx="306000" cy="306000"/>
          <a:chOff x="9191625" y="3009900"/>
          <a:chExt cx="324000" cy="325465"/>
        </a:xfrm>
      </xdr:grpSpPr>
      <xdr:sp macro="" textlink="">
        <xdr:nvSpPr>
          <xdr:cNvPr id="174" name="Rechteck 173">
            <a:extLst>
              <a:ext uri="{FF2B5EF4-FFF2-40B4-BE49-F238E27FC236}">
                <a16:creationId xmlns:a16="http://schemas.microsoft.com/office/drawing/2014/main" id="{00000000-0008-0000-2300-0000A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5" name="Pfeil nach links 174">
            <a:extLst>
              <a:ext uri="{FF2B5EF4-FFF2-40B4-BE49-F238E27FC236}">
                <a16:creationId xmlns:a16="http://schemas.microsoft.com/office/drawing/2014/main" id="{00000000-0008-0000-2300-0000A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712</xdr:row>
      <xdr:rowOff>9525</xdr:rowOff>
    </xdr:from>
    <xdr:to>
      <xdr:col>1</xdr:col>
      <xdr:colOff>372675</xdr:colOff>
      <xdr:row>713</xdr:row>
      <xdr:rowOff>10725</xdr:rowOff>
    </xdr:to>
    <xdr:grpSp>
      <xdr:nvGrpSpPr>
        <xdr:cNvPr id="176" name="Gruppieren 175">
          <a:hlinkClick xmlns:r="http://schemas.openxmlformats.org/officeDocument/2006/relationships" r:id="rId59"/>
          <a:extLst>
            <a:ext uri="{FF2B5EF4-FFF2-40B4-BE49-F238E27FC236}">
              <a16:creationId xmlns:a16="http://schemas.microsoft.com/office/drawing/2014/main" id="{00000000-0008-0000-2300-0000B0000000}"/>
            </a:ext>
          </a:extLst>
        </xdr:cNvPr>
        <xdr:cNvGrpSpPr>
          <a:grpSpLocks noChangeAspect="1"/>
        </xdr:cNvGrpSpPr>
      </xdr:nvGrpSpPr>
      <xdr:grpSpPr>
        <a:xfrm>
          <a:off x="74295" y="134700645"/>
          <a:ext cx="306000" cy="306000"/>
          <a:chOff x="9191625" y="3009900"/>
          <a:chExt cx="324000" cy="325465"/>
        </a:xfrm>
      </xdr:grpSpPr>
      <xdr:sp macro="" textlink="">
        <xdr:nvSpPr>
          <xdr:cNvPr id="177" name="Rechteck 176">
            <a:extLst>
              <a:ext uri="{FF2B5EF4-FFF2-40B4-BE49-F238E27FC236}">
                <a16:creationId xmlns:a16="http://schemas.microsoft.com/office/drawing/2014/main" id="{00000000-0008-0000-2300-0000B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78" name="Pfeil nach links 177">
            <a:extLst>
              <a:ext uri="{FF2B5EF4-FFF2-40B4-BE49-F238E27FC236}">
                <a16:creationId xmlns:a16="http://schemas.microsoft.com/office/drawing/2014/main" id="{00000000-0008-0000-2300-0000B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724</xdr:row>
      <xdr:rowOff>9525</xdr:rowOff>
    </xdr:from>
    <xdr:to>
      <xdr:col>1</xdr:col>
      <xdr:colOff>372675</xdr:colOff>
      <xdr:row>725</xdr:row>
      <xdr:rowOff>10725</xdr:rowOff>
    </xdr:to>
    <xdr:grpSp>
      <xdr:nvGrpSpPr>
        <xdr:cNvPr id="179" name="Gruppieren 178">
          <a:hlinkClick xmlns:r="http://schemas.openxmlformats.org/officeDocument/2006/relationships" r:id="rId60"/>
          <a:extLst>
            <a:ext uri="{FF2B5EF4-FFF2-40B4-BE49-F238E27FC236}">
              <a16:creationId xmlns:a16="http://schemas.microsoft.com/office/drawing/2014/main" id="{00000000-0008-0000-2300-0000B3000000}"/>
            </a:ext>
          </a:extLst>
        </xdr:cNvPr>
        <xdr:cNvGrpSpPr>
          <a:grpSpLocks noChangeAspect="1"/>
        </xdr:cNvGrpSpPr>
      </xdr:nvGrpSpPr>
      <xdr:grpSpPr>
        <a:xfrm>
          <a:off x="74295" y="136956165"/>
          <a:ext cx="306000" cy="306000"/>
          <a:chOff x="9191625" y="3009900"/>
          <a:chExt cx="324000" cy="325465"/>
        </a:xfrm>
      </xdr:grpSpPr>
      <xdr:sp macro="" textlink="">
        <xdr:nvSpPr>
          <xdr:cNvPr id="180" name="Rechteck 179">
            <a:extLst>
              <a:ext uri="{FF2B5EF4-FFF2-40B4-BE49-F238E27FC236}">
                <a16:creationId xmlns:a16="http://schemas.microsoft.com/office/drawing/2014/main" id="{00000000-0008-0000-2300-0000B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1" name="Pfeil nach links 180">
            <a:extLst>
              <a:ext uri="{FF2B5EF4-FFF2-40B4-BE49-F238E27FC236}">
                <a16:creationId xmlns:a16="http://schemas.microsoft.com/office/drawing/2014/main" id="{00000000-0008-0000-2300-0000B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736</xdr:row>
      <xdr:rowOff>9525</xdr:rowOff>
    </xdr:from>
    <xdr:to>
      <xdr:col>1</xdr:col>
      <xdr:colOff>372675</xdr:colOff>
      <xdr:row>737</xdr:row>
      <xdr:rowOff>10725</xdr:rowOff>
    </xdr:to>
    <xdr:grpSp>
      <xdr:nvGrpSpPr>
        <xdr:cNvPr id="182" name="Gruppieren 181">
          <a:hlinkClick xmlns:r="http://schemas.openxmlformats.org/officeDocument/2006/relationships" r:id="rId61"/>
          <a:extLst>
            <a:ext uri="{FF2B5EF4-FFF2-40B4-BE49-F238E27FC236}">
              <a16:creationId xmlns:a16="http://schemas.microsoft.com/office/drawing/2014/main" id="{00000000-0008-0000-2300-0000B6000000}"/>
            </a:ext>
          </a:extLst>
        </xdr:cNvPr>
        <xdr:cNvGrpSpPr>
          <a:grpSpLocks noChangeAspect="1"/>
        </xdr:cNvGrpSpPr>
      </xdr:nvGrpSpPr>
      <xdr:grpSpPr>
        <a:xfrm>
          <a:off x="74295" y="139211685"/>
          <a:ext cx="306000" cy="306000"/>
          <a:chOff x="9191625" y="3009900"/>
          <a:chExt cx="324000" cy="325465"/>
        </a:xfrm>
      </xdr:grpSpPr>
      <xdr:sp macro="" textlink="">
        <xdr:nvSpPr>
          <xdr:cNvPr id="183" name="Rechteck 182">
            <a:extLst>
              <a:ext uri="{FF2B5EF4-FFF2-40B4-BE49-F238E27FC236}">
                <a16:creationId xmlns:a16="http://schemas.microsoft.com/office/drawing/2014/main" id="{00000000-0008-0000-2300-0000B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4" name="Pfeil nach links 183">
            <a:extLst>
              <a:ext uri="{FF2B5EF4-FFF2-40B4-BE49-F238E27FC236}">
                <a16:creationId xmlns:a16="http://schemas.microsoft.com/office/drawing/2014/main" id="{00000000-0008-0000-2300-0000B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748</xdr:row>
      <xdr:rowOff>9525</xdr:rowOff>
    </xdr:from>
    <xdr:to>
      <xdr:col>1</xdr:col>
      <xdr:colOff>372675</xdr:colOff>
      <xdr:row>749</xdr:row>
      <xdr:rowOff>10725</xdr:rowOff>
    </xdr:to>
    <xdr:grpSp>
      <xdr:nvGrpSpPr>
        <xdr:cNvPr id="185" name="Gruppieren 184">
          <a:hlinkClick xmlns:r="http://schemas.openxmlformats.org/officeDocument/2006/relationships" r:id="rId62"/>
          <a:extLst>
            <a:ext uri="{FF2B5EF4-FFF2-40B4-BE49-F238E27FC236}">
              <a16:creationId xmlns:a16="http://schemas.microsoft.com/office/drawing/2014/main" id="{00000000-0008-0000-2300-0000B9000000}"/>
            </a:ext>
          </a:extLst>
        </xdr:cNvPr>
        <xdr:cNvGrpSpPr>
          <a:grpSpLocks noChangeAspect="1"/>
        </xdr:cNvGrpSpPr>
      </xdr:nvGrpSpPr>
      <xdr:grpSpPr>
        <a:xfrm>
          <a:off x="74295" y="141467205"/>
          <a:ext cx="306000" cy="306000"/>
          <a:chOff x="9191625" y="3009900"/>
          <a:chExt cx="324000" cy="325465"/>
        </a:xfrm>
      </xdr:grpSpPr>
      <xdr:sp macro="" textlink="">
        <xdr:nvSpPr>
          <xdr:cNvPr id="186" name="Rechteck 185">
            <a:extLst>
              <a:ext uri="{FF2B5EF4-FFF2-40B4-BE49-F238E27FC236}">
                <a16:creationId xmlns:a16="http://schemas.microsoft.com/office/drawing/2014/main" id="{00000000-0008-0000-2300-0000B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87" name="Pfeil nach links 186">
            <a:extLst>
              <a:ext uri="{FF2B5EF4-FFF2-40B4-BE49-F238E27FC236}">
                <a16:creationId xmlns:a16="http://schemas.microsoft.com/office/drawing/2014/main" id="{00000000-0008-0000-2300-0000B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760</xdr:row>
      <xdr:rowOff>9525</xdr:rowOff>
    </xdr:from>
    <xdr:to>
      <xdr:col>1</xdr:col>
      <xdr:colOff>372675</xdr:colOff>
      <xdr:row>761</xdr:row>
      <xdr:rowOff>10725</xdr:rowOff>
    </xdr:to>
    <xdr:grpSp>
      <xdr:nvGrpSpPr>
        <xdr:cNvPr id="188" name="Gruppieren 187">
          <a:hlinkClick xmlns:r="http://schemas.openxmlformats.org/officeDocument/2006/relationships" r:id="rId63"/>
          <a:extLst>
            <a:ext uri="{FF2B5EF4-FFF2-40B4-BE49-F238E27FC236}">
              <a16:creationId xmlns:a16="http://schemas.microsoft.com/office/drawing/2014/main" id="{00000000-0008-0000-2300-0000BC000000}"/>
            </a:ext>
          </a:extLst>
        </xdr:cNvPr>
        <xdr:cNvGrpSpPr>
          <a:grpSpLocks noChangeAspect="1"/>
        </xdr:cNvGrpSpPr>
      </xdr:nvGrpSpPr>
      <xdr:grpSpPr>
        <a:xfrm>
          <a:off x="74295" y="143722725"/>
          <a:ext cx="306000" cy="306000"/>
          <a:chOff x="9191625" y="3009900"/>
          <a:chExt cx="324000" cy="325465"/>
        </a:xfrm>
      </xdr:grpSpPr>
      <xdr:sp macro="" textlink="">
        <xdr:nvSpPr>
          <xdr:cNvPr id="189" name="Rechteck 188">
            <a:extLst>
              <a:ext uri="{FF2B5EF4-FFF2-40B4-BE49-F238E27FC236}">
                <a16:creationId xmlns:a16="http://schemas.microsoft.com/office/drawing/2014/main" id="{00000000-0008-0000-2300-0000B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0" name="Pfeil nach links 189">
            <a:extLst>
              <a:ext uri="{FF2B5EF4-FFF2-40B4-BE49-F238E27FC236}">
                <a16:creationId xmlns:a16="http://schemas.microsoft.com/office/drawing/2014/main" id="{00000000-0008-0000-2300-0000B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772</xdr:row>
      <xdr:rowOff>9525</xdr:rowOff>
    </xdr:from>
    <xdr:to>
      <xdr:col>1</xdr:col>
      <xdr:colOff>372675</xdr:colOff>
      <xdr:row>773</xdr:row>
      <xdr:rowOff>10725</xdr:rowOff>
    </xdr:to>
    <xdr:grpSp>
      <xdr:nvGrpSpPr>
        <xdr:cNvPr id="191" name="Gruppieren 190">
          <a:hlinkClick xmlns:r="http://schemas.openxmlformats.org/officeDocument/2006/relationships" r:id="rId64"/>
          <a:extLst>
            <a:ext uri="{FF2B5EF4-FFF2-40B4-BE49-F238E27FC236}">
              <a16:creationId xmlns:a16="http://schemas.microsoft.com/office/drawing/2014/main" id="{00000000-0008-0000-2300-0000BF000000}"/>
            </a:ext>
          </a:extLst>
        </xdr:cNvPr>
        <xdr:cNvGrpSpPr>
          <a:grpSpLocks noChangeAspect="1"/>
        </xdr:cNvGrpSpPr>
      </xdr:nvGrpSpPr>
      <xdr:grpSpPr>
        <a:xfrm>
          <a:off x="74295" y="145978245"/>
          <a:ext cx="306000" cy="306000"/>
          <a:chOff x="9191625" y="3009900"/>
          <a:chExt cx="324000" cy="325465"/>
        </a:xfrm>
      </xdr:grpSpPr>
      <xdr:sp macro="" textlink="">
        <xdr:nvSpPr>
          <xdr:cNvPr id="192" name="Rechteck 191">
            <a:extLst>
              <a:ext uri="{FF2B5EF4-FFF2-40B4-BE49-F238E27FC236}">
                <a16:creationId xmlns:a16="http://schemas.microsoft.com/office/drawing/2014/main" id="{00000000-0008-0000-2300-0000C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3" name="Pfeil nach links 192">
            <a:extLst>
              <a:ext uri="{FF2B5EF4-FFF2-40B4-BE49-F238E27FC236}">
                <a16:creationId xmlns:a16="http://schemas.microsoft.com/office/drawing/2014/main" id="{00000000-0008-0000-2300-0000C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784</xdr:row>
      <xdr:rowOff>9525</xdr:rowOff>
    </xdr:from>
    <xdr:to>
      <xdr:col>1</xdr:col>
      <xdr:colOff>372675</xdr:colOff>
      <xdr:row>785</xdr:row>
      <xdr:rowOff>10725</xdr:rowOff>
    </xdr:to>
    <xdr:grpSp>
      <xdr:nvGrpSpPr>
        <xdr:cNvPr id="194" name="Gruppieren 193">
          <a:hlinkClick xmlns:r="http://schemas.openxmlformats.org/officeDocument/2006/relationships" r:id="rId65"/>
          <a:extLst>
            <a:ext uri="{FF2B5EF4-FFF2-40B4-BE49-F238E27FC236}">
              <a16:creationId xmlns:a16="http://schemas.microsoft.com/office/drawing/2014/main" id="{00000000-0008-0000-2300-0000C2000000}"/>
            </a:ext>
          </a:extLst>
        </xdr:cNvPr>
        <xdr:cNvGrpSpPr>
          <a:grpSpLocks noChangeAspect="1"/>
        </xdr:cNvGrpSpPr>
      </xdr:nvGrpSpPr>
      <xdr:grpSpPr>
        <a:xfrm>
          <a:off x="74295" y="148233765"/>
          <a:ext cx="306000" cy="306000"/>
          <a:chOff x="9191625" y="3009900"/>
          <a:chExt cx="324000" cy="325465"/>
        </a:xfrm>
      </xdr:grpSpPr>
      <xdr:sp macro="" textlink="">
        <xdr:nvSpPr>
          <xdr:cNvPr id="195" name="Rechteck 194">
            <a:extLst>
              <a:ext uri="{FF2B5EF4-FFF2-40B4-BE49-F238E27FC236}">
                <a16:creationId xmlns:a16="http://schemas.microsoft.com/office/drawing/2014/main" id="{00000000-0008-0000-2300-0000C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6" name="Pfeil nach links 195">
            <a:extLst>
              <a:ext uri="{FF2B5EF4-FFF2-40B4-BE49-F238E27FC236}">
                <a16:creationId xmlns:a16="http://schemas.microsoft.com/office/drawing/2014/main" id="{00000000-0008-0000-2300-0000C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796</xdr:row>
      <xdr:rowOff>9525</xdr:rowOff>
    </xdr:from>
    <xdr:to>
      <xdr:col>1</xdr:col>
      <xdr:colOff>372675</xdr:colOff>
      <xdr:row>797</xdr:row>
      <xdr:rowOff>10725</xdr:rowOff>
    </xdr:to>
    <xdr:grpSp>
      <xdr:nvGrpSpPr>
        <xdr:cNvPr id="197" name="Gruppieren 196">
          <a:hlinkClick xmlns:r="http://schemas.openxmlformats.org/officeDocument/2006/relationships" r:id="rId66"/>
          <a:extLst>
            <a:ext uri="{FF2B5EF4-FFF2-40B4-BE49-F238E27FC236}">
              <a16:creationId xmlns:a16="http://schemas.microsoft.com/office/drawing/2014/main" id="{00000000-0008-0000-2300-0000C5000000}"/>
            </a:ext>
          </a:extLst>
        </xdr:cNvPr>
        <xdr:cNvGrpSpPr>
          <a:grpSpLocks noChangeAspect="1"/>
        </xdr:cNvGrpSpPr>
      </xdr:nvGrpSpPr>
      <xdr:grpSpPr>
        <a:xfrm>
          <a:off x="74295" y="150489285"/>
          <a:ext cx="306000" cy="306000"/>
          <a:chOff x="9191625" y="3009900"/>
          <a:chExt cx="324000" cy="325465"/>
        </a:xfrm>
      </xdr:grpSpPr>
      <xdr:sp macro="" textlink="">
        <xdr:nvSpPr>
          <xdr:cNvPr id="198" name="Rechteck 197">
            <a:extLst>
              <a:ext uri="{FF2B5EF4-FFF2-40B4-BE49-F238E27FC236}">
                <a16:creationId xmlns:a16="http://schemas.microsoft.com/office/drawing/2014/main" id="{00000000-0008-0000-2300-0000C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9" name="Pfeil nach links 198">
            <a:extLst>
              <a:ext uri="{FF2B5EF4-FFF2-40B4-BE49-F238E27FC236}">
                <a16:creationId xmlns:a16="http://schemas.microsoft.com/office/drawing/2014/main" id="{00000000-0008-0000-2300-0000C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808</xdr:row>
      <xdr:rowOff>9525</xdr:rowOff>
    </xdr:from>
    <xdr:to>
      <xdr:col>1</xdr:col>
      <xdr:colOff>372675</xdr:colOff>
      <xdr:row>809</xdr:row>
      <xdr:rowOff>10725</xdr:rowOff>
    </xdr:to>
    <xdr:grpSp>
      <xdr:nvGrpSpPr>
        <xdr:cNvPr id="200" name="Gruppieren 199">
          <a:hlinkClick xmlns:r="http://schemas.openxmlformats.org/officeDocument/2006/relationships" r:id="rId67"/>
          <a:extLst>
            <a:ext uri="{FF2B5EF4-FFF2-40B4-BE49-F238E27FC236}">
              <a16:creationId xmlns:a16="http://schemas.microsoft.com/office/drawing/2014/main" id="{00000000-0008-0000-2300-0000C8000000}"/>
            </a:ext>
          </a:extLst>
        </xdr:cNvPr>
        <xdr:cNvGrpSpPr>
          <a:grpSpLocks noChangeAspect="1"/>
        </xdr:cNvGrpSpPr>
      </xdr:nvGrpSpPr>
      <xdr:grpSpPr>
        <a:xfrm>
          <a:off x="74295" y="152744805"/>
          <a:ext cx="306000" cy="306000"/>
          <a:chOff x="9191625" y="3009900"/>
          <a:chExt cx="324000" cy="325465"/>
        </a:xfrm>
      </xdr:grpSpPr>
      <xdr:sp macro="" textlink="">
        <xdr:nvSpPr>
          <xdr:cNvPr id="201" name="Rechteck 200">
            <a:extLst>
              <a:ext uri="{FF2B5EF4-FFF2-40B4-BE49-F238E27FC236}">
                <a16:creationId xmlns:a16="http://schemas.microsoft.com/office/drawing/2014/main" id="{00000000-0008-0000-2300-0000C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2" name="Pfeil nach links 201">
            <a:extLst>
              <a:ext uri="{FF2B5EF4-FFF2-40B4-BE49-F238E27FC236}">
                <a16:creationId xmlns:a16="http://schemas.microsoft.com/office/drawing/2014/main" id="{00000000-0008-0000-2300-0000C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820</xdr:row>
      <xdr:rowOff>9525</xdr:rowOff>
    </xdr:from>
    <xdr:to>
      <xdr:col>1</xdr:col>
      <xdr:colOff>372675</xdr:colOff>
      <xdr:row>821</xdr:row>
      <xdr:rowOff>10725</xdr:rowOff>
    </xdr:to>
    <xdr:grpSp>
      <xdr:nvGrpSpPr>
        <xdr:cNvPr id="203" name="Gruppieren 202">
          <a:hlinkClick xmlns:r="http://schemas.openxmlformats.org/officeDocument/2006/relationships" r:id="rId68"/>
          <a:extLst>
            <a:ext uri="{FF2B5EF4-FFF2-40B4-BE49-F238E27FC236}">
              <a16:creationId xmlns:a16="http://schemas.microsoft.com/office/drawing/2014/main" id="{00000000-0008-0000-2300-0000CB000000}"/>
            </a:ext>
          </a:extLst>
        </xdr:cNvPr>
        <xdr:cNvGrpSpPr>
          <a:grpSpLocks noChangeAspect="1"/>
        </xdr:cNvGrpSpPr>
      </xdr:nvGrpSpPr>
      <xdr:grpSpPr>
        <a:xfrm>
          <a:off x="74295" y="155000325"/>
          <a:ext cx="306000" cy="306000"/>
          <a:chOff x="9191625" y="3009900"/>
          <a:chExt cx="324000" cy="325465"/>
        </a:xfrm>
      </xdr:grpSpPr>
      <xdr:sp macro="" textlink="">
        <xdr:nvSpPr>
          <xdr:cNvPr id="204" name="Rechteck 203">
            <a:extLst>
              <a:ext uri="{FF2B5EF4-FFF2-40B4-BE49-F238E27FC236}">
                <a16:creationId xmlns:a16="http://schemas.microsoft.com/office/drawing/2014/main" id="{00000000-0008-0000-2300-0000C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5" name="Pfeil nach links 204">
            <a:extLst>
              <a:ext uri="{FF2B5EF4-FFF2-40B4-BE49-F238E27FC236}">
                <a16:creationId xmlns:a16="http://schemas.microsoft.com/office/drawing/2014/main" id="{00000000-0008-0000-2300-0000C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832</xdr:row>
      <xdr:rowOff>9525</xdr:rowOff>
    </xdr:from>
    <xdr:to>
      <xdr:col>1</xdr:col>
      <xdr:colOff>372675</xdr:colOff>
      <xdr:row>833</xdr:row>
      <xdr:rowOff>10725</xdr:rowOff>
    </xdr:to>
    <xdr:grpSp>
      <xdr:nvGrpSpPr>
        <xdr:cNvPr id="206" name="Gruppieren 205">
          <a:hlinkClick xmlns:r="http://schemas.openxmlformats.org/officeDocument/2006/relationships" r:id="rId69"/>
          <a:extLst>
            <a:ext uri="{FF2B5EF4-FFF2-40B4-BE49-F238E27FC236}">
              <a16:creationId xmlns:a16="http://schemas.microsoft.com/office/drawing/2014/main" id="{00000000-0008-0000-2300-0000CE000000}"/>
            </a:ext>
          </a:extLst>
        </xdr:cNvPr>
        <xdr:cNvGrpSpPr>
          <a:grpSpLocks noChangeAspect="1"/>
        </xdr:cNvGrpSpPr>
      </xdr:nvGrpSpPr>
      <xdr:grpSpPr>
        <a:xfrm>
          <a:off x="74295" y="157255845"/>
          <a:ext cx="306000" cy="306000"/>
          <a:chOff x="9191625" y="3009900"/>
          <a:chExt cx="324000" cy="325465"/>
        </a:xfrm>
      </xdr:grpSpPr>
      <xdr:sp macro="" textlink="">
        <xdr:nvSpPr>
          <xdr:cNvPr id="207" name="Rechteck 206">
            <a:extLst>
              <a:ext uri="{FF2B5EF4-FFF2-40B4-BE49-F238E27FC236}">
                <a16:creationId xmlns:a16="http://schemas.microsoft.com/office/drawing/2014/main" id="{00000000-0008-0000-2300-0000C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08" name="Pfeil nach links 207">
            <a:extLst>
              <a:ext uri="{FF2B5EF4-FFF2-40B4-BE49-F238E27FC236}">
                <a16:creationId xmlns:a16="http://schemas.microsoft.com/office/drawing/2014/main" id="{00000000-0008-0000-2300-0000D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844</xdr:row>
      <xdr:rowOff>9525</xdr:rowOff>
    </xdr:from>
    <xdr:to>
      <xdr:col>1</xdr:col>
      <xdr:colOff>372675</xdr:colOff>
      <xdr:row>845</xdr:row>
      <xdr:rowOff>10725</xdr:rowOff>
    </xdr:to>
    <xdr:grpSp>
      <xdr:nvGrpSpPr>
        <xdr:cNvPr id="209" name="Gruppieren 208">
          <a:hlinkClick xmlns:r="http://schemas.openxmlformats.org/officeDocument/2006/relationships" r:id="rId70"/>
          <a:extLst>
            <a:ext uri="{FF2B5EF4-FFF2-40B4-BE49-F238E27FC236}">
              <a16:creationId xmlns:a16="http://schemas.microsoft.com/office/drawing/2014/main" id="{00000000-0008-0000-2300-0000D1000000}"/>
            </a:ext>
          </a:extLst>
        </xdr:cNvPr>
        <xdr:cNvGrpSpPr>
          <a:grpSpLocks noChangeAspect="1"/>
        </xdr:cNvGrpSpPr>
      </xdr:nvGrpSpPr>
      <xdr:grpSpPr>
        <a:xfrm>
          <a:off x="74295" y="159511365"/>
          <a:ext cx="306000" cy="306000"/>
          <a:chOff x="9191625" y="3009900"/>
          <a:chExt cx="324000" cy="325465"/>
        </a:xfrm>
      </xdr:grpSpPr>
      <xdr:sp macro="" textlink="">
        <xdr:nvSpPr>
          <xdr:cNvPr id="210" name="Rechteck 209">
            <a:extLst>
              <a:ext uri="{FF2B5EF4-FFF2-40B4-BE49-F238E27FC236}">
                <a16:creationId xmlns:a16="http://schemas.microsoft.com/office/drawing/2014/main" id="{00000000-0008-0000-2300-0000D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1" name="Pfeil nach links 210">
            <a:extLst>
              <a:ext uri="{FF2B5EF4-FFF2-40B4-BE49-F238E27FC236}">
                <a16:creationId xmlns:a16="http://schemas.microsoft.com/office/drawing/2014/main" id="{00000000-0008-0000-2300-0000D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856</xdr:row>
      <xdr:rowOff>9525</xdr:rowOff>
    </xdr:from>
    <xdr:to>
      <xdr:col>1</xdr:col>
      <xdr:colOff>372675</xdr:colOff>
      <xdr:row>857</xdr:row>
      <xdr:rowOff>10725</xdr:rowOff>
    </xdr:to>
    <xdr:grpSp>
      <xdr:nvGrpSpPr>
        <xdr:cNvPr id="212" name="Gruppieren 211">
          <a:hlinkClick xmlns:r="http://schemas.openxmlformats.org/officeDocument/2006/relationships" r:id="rId71"/>
          <a:extLst>
            <a:ext uri="{FF2B5EF4-FFF2-40B4-BE49-F238E27FC236}">
              <a16:creationId xmlns:a16="http://schemas.microsoft.com/office/drawing/2014/main" id="{00000000-0008-0000-2300-0000D4000000}"/>
            </a:ext>
          </a:extLst>
        </xdr:cNvPr>
        <xdr:cNvGrpSpPr>
          <a:grpSpLocks noChangeAspect="1"/>
        </xdr:cNvGrpSpPr>
      </xdr:nvGrpSpPr>
      <xdr:grpSpPr>
        <a:xfrm>
          <a:off x="74295" y="161766885"/>
          <a:ext cx="306000" cy="306000"/>
          <a:chOff x="9191625" y="3009900"/>
          <a:chExt cx="324000" cy="325465"/>
        </a:xfrm>
      </xdr:grpSpPr>
      <xdr:sp macro="" textlink="">
        <xdr:nvSpPr>
          <xdr:cNvPr id="213" name="Rechteck 212">
            <a:extLst>
              <a:ext uri="{FF2B5EF4-FFF2-40B4-BE49-F238E27FC236}">
                <a16:creationId xmlns:a16="http://schemas.microsoft.com/office/drawing/2014/main" id="{00000000-0008-0000-2300-0000D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4" name="Pfeil nach links 213">
            <a:extLst>
              <a:ext uri="{FF2B5EF4-FFF2-40B4-BE49-F238E27FC236}">
                <a16:creationId xmlns:a16="http://schemas.microsoft.com/office/drawing/2014/main" id="{00000000-0008-0000-2300-0000D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868</xdr:row>
      <xdr:rowOff>9525</xdr:rowOff>
    </xdr:from>
    <xdr:to>
      <xdr:col>1</xdr:col>
      <xdr:colOff>372675</xdr:colOff>
      <xdr:row>869</xdr:row>
      <xdr:rowOff>10725</xdr:rowOff>
    </xdr:to>
    <xdr:grpSp>
      <xdr:nvGrpSpPr>
        <xdr:cNvPr id="215" name="Gruppieren 214">
          <a:hlinkClick xmlns:r="http://schemas.openxmlformats.org/officeDocument/2006/relationships" r:id="rId72"/>
          <a:extLst>
            <a:ext uri="{FF2B5EF4-FFF2-40B4-BE49-F238E27FC236}">
              <a16:creationId xmlns:a16="http://schemas.microsoft.com/office/drawing/2014/main" id="{00000000-0008-0000-2300-0000D7000000}"/>
            </a:ext>
          </a:extLst>
        </xdr:cNvPr>
        <xdr:cNvGrpSpPr>
          <a:grpSpLocks noChangeAspect="1"/>
        </xdr:cNvGrpSpPr>
      </xdr:nvGrpSpPr>
      <xdr:grpSpPr>
        <a:xfrm>
          <a:off x="74295" y="164022405"/>
          <a:ext cx="306000" cy="306000"/>
          <a:chOff x="9191625" y="3009900"/>
          <a:chExt cx="324000" cy="325465"/>
        </a:xfrm>
      </xdr:grpSpPr>
      <xdr:sp macro="" textlink="">
        <xdr:nvSpPr>
          <xdr:cNvPr id="216" name="Rechteck 215">
            <a:extLst>
              <a:ext uri="{FF2B5EF4-FFF2-40B4-BE49-F238E27FC236}">
                <a16:creationId xmlns:a16="http://schemas.microsoft.com/office/drawing/2014/main" id="{00000000-0008-0000-2300-0000D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7" name="Pfeil nach links 216">
            <a:extLst>
              <a:ext uri="{FF2B5EF4-FFF2-40B4-BE49-F238E27FC236}">
                <a16:creationId xmlns:a16="http://schemas.microsoft.com/office/drawing/2014/main" id="{00000000-0008-0000-2300-0000D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880</xdr:row>
      <xdr:rowOff>9525</xdr:rowOff>
    </xdr:from>
    <xdr:to>
      <xdr:col>1</xdr:col>
      <xdr:colOff>372675</xdr:colOff>
      <xdr:row>881</xdr:row>
      <xdr:rowOff>10725</xdr:rowOff>
    </xdr:to>
    <xdr:grpSp>
      <xdr:nvGrpSpPr>
        <xdr:cNvPr id="218" name="Gruppieren 217">
          <a:hlinkClick xmlns:r="http://schemas.openxmlformats.org/officeDocument/2006/relationships" r:id="rId73"/>
          <a:extLst>
            <a:ext uri="{FF2B5EF4-FFF2-40B4-BE49-F238E27FC236}">
              <a16:creationId xmlns:a16="http://schemas.microsoft.com/office/drawing/2014/main" id="{00000000-0008-0000-2300-0000DA000000}"/>
            </a:ext>
          </a:extLst>
        </xdr:cNvPr>
        <xdr:cNvGrpSpPr>
          <a:grpSpLocks noChangeAspect="1"/>
        </xdr:cNvGrpSpPr>
      </xdr:nvGrpSpPr>
      <xdr:grpSpPr>
        <a:xfrm>
          <a:off x="74295" y="166277925"/>
          <a:ext cx="306000" cy="306000"/>
          <a:chOff x="9191625" y="3009900"/>
          <a:chExt cx="324000" cy="325465"/>
        </a:xfrm>
      </xdr:grpSpPr>
      <xdr:sp macro="" textlink="">
        <xdr:nvSpPr>
          <xdr:cNvPr id="219" name="Rechteck 218">
            <a:extLst>
              <a:ext uri="{FF2B5EF4-FFF2-40B4-BE49-F238E27FC236}">
                <a16:creationId xmlns:a16="http://schemas.microsoft.com/office/drawing/2014/main" id="{00000000-0008-0000-2300-0000D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0" name="Pfeil nach links 219">
            <a:extLst>
              <a:ext uri="{FF2B5EF4-FFF2-40B4-BE49-F238E27FC236}">
                <a16:creationId xmlns:a16="http://schemas.microsoft.com/office/drawing/2014/main" id="{00000000-0008-0000-2300-0000D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892</xdr:row>
      <xdr:rowOff>9525</xdr:rowOff>
    </xdr:from>
    <xdr:to>
      <xdr:col>1</xdr:col>
      <xdr:colOff>372675</xdr:colOff>
      <xdr:row>893</xdr:row>
      <xdr:rowOff>10725</xdr:rowOff>
    </xdr:to>
    <xdr:grpSp>
      <xdr:nvGrpSpPr>
        <xdr:cNvPr id="221" name="Gruppieren 220">
          <a:hlinkClick xmlns:r="http://schemas.openxmlformats.org/officeDocument/2006/relationships" r:id="rId74"/>
          <a:extLst>
            <a:ext uri="{FF2B5EF4-FFF2-40B4-BE49-F238E27FC236}">
              <a16:creationId xmlns:a16="http://schemas.microsoft.com/office/drawing/2014/main" id="{00000000-0008-0000-2300-0000DD000000}"/>
            </a:ext>
          </a:extLst>
        </xdr:cNvPr>
        <xdr:cNvGrpSpPr>
          <a:grpSpLocks noChangeAspect="1"/>
        </xdr:cNvGrpSpPr>
      </xdr:nvGrpSpPr>
      <xdr:grpSpPr>
        <a:xfrm>
          <a:off x="74295" y="168533445"/>
          <a:ext cx="306000" cy="306000"/>
          <a:chOff x="9191625" y="3009900"/>
          <a:chExt cx="324000" cy="325465"/>
        </a:xfrm>
      </xdr:grpSpPr>
      <xdr:sp macro="" textlink="">
        <xdr:nvSpPr>
          <xdr:cNvPr id="222" name="Rechteck 221">
            <a:extLst>
              <a:ext uri="{FF2B5EF4-FFF2-40B4-BE49-F238E27FC236}">
                <a16:creationId xmlns:a16="http://schemas.microsoft.com/office/drawing/2014/main" id="{00000000-0008-0000-2300-0000D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3" name="Pfeil nach links 222">
            <a:extLst>
              <a:ext uri="{FF2B5EF4-FFF2-40B4-BE49-F238E27FC236}">
                <a16:creationId xmlns:a16="http://schemas.microsoft.com/office/drawing/2014/main" id="{00000000-0008-0000-2300-0000D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904</xdr:row>
      <xdr:rowOff>9525</xdr:rowOff>
    </xdr:from>
    <xdr:to>
      <xdr:col>1</xdr:col>
      <xdr:colOff>372675</xdr:colOff>
      <xdr:row>905</xdr:row>
      <xdr:rowOff>10725</xdr:rowOff>
    </xdr:to>
    <xdr:grpSp>
      <xdr:nvGrpSpPr>
        <xdr:cNvPr id="224" name="Gruppieren 223">
          <a:hlinkClick xmlns:r="http://schemas.openxmlformats.org/officeDocument/2006/relationships" r:id="rId75"/>
          <a:extLst>
            <a:ext uri="{FF2B5EF4-FFF2-40B4-BE49-F238E27FC236}">
              <a16:creationId xmlns:a16="http://schemas.microsoft.com/office/drawing/2014/main" id="{00000000-0008-0000-2300-0000E0000000}"/>
            </a:ext>
          </a:extLst>
        </xdr:cNvPr>
        <xdr:cNvGrpSpPr>
          <a:grpSpLocks noChangeAspect="1"/>
        </xdr:cNvGrpSpPr>
      </xdr:nvGrpSpPr>
      <xdr:grpSpPr>
        <a:xfrm>
          <a:off x="74295" y="170788965"/>
          <a:ext cx="306000" cy="306000"/>
          <a:chOff x="9191625" y="3009900"/>
          <a:chExt cx="324000" cy="325465"/>
        </a:xfrm>
      </xdr:grpSpPr>
      <xdr:sp macro="" textlink="">
        <xdr:nvSpPr>
          <xdr:cNvPr id="225" name="Rechteck 224">
            <a:extLst>
              <a:ext uri="{FF2B5EF4-FFF2-40B4-BE49-F238E27FC236}">
                <a16:creationId xmlns:a16="http://schemas.microsoft.com/office/drawing/2014/main" id="{00000000-0008-0000-2300-0000E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6" name="Pfeil nach links 225">
            <a:extLst>
              <a:ext uri="{FF2B5EF4-FFF2-40B4-BE49-F238E27FC236}">
                <a16:creationId xmlns:a16="http://schemas.microsoft.com/office/drawing/2014/main" id="{00000000-0008-0000-2300-0000E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916</xdr:row>
      <xdr:rowOff>9525</xdr:rowOff>
    </xdr:from>
    <xdr:to>
      <xdr:col>1</xdr:col>
      <xdr:colOff>372675</xdr:colOff>
      <xdr:row>917</xdr:row>
      <xdr:rowOff>10725</xdr:rowOff>
    </xdr:to>
    <xdr:grpSp>
      <xdr:nvGrpSpPr>
        <xdr:cNvPr id="227" name="Gruppieren 226">
          <a:hlinkClick xmlns:r="http://schemas.openxmlformats.org/officeDocument/2006/relationships" r:id="rId76"/>
          <a:extLst>
            <a:ext uri="{FF2B5EF4-FFF2-40B4-BE49-F238E27FC236}">
              <a16:creationId xmlns:a16="http://schemas.microsoft.com/office/drawing/2014/main" id="{00000000-0008-0000-2300-0000E3000000}"/>
            </a:ext>
          </a:extLst>
        </xdr:cNvPr>
        <xdr:cNvGrpSpPr>
          <a:grpSpLocks noChangeAspect="1"/>
        </xdr:cNvGrpSpPr>
      </xdr:nvGrpSpPr>
      <xdr:grpSpPr>
        <a:xfrm>
          <a:off x="74295" y="173044485"/>
          <a:ext cx="306000" cy="306000"/>
          <a:chOff x="9191625" y="3009900"/>
          <a:chExt cx="324000" cy="325465"/>
        </a:xfrm>
      </xdr:grpSpPr>
      <xdr:sp macro="" textlink="">
        <xdr:nvSpPr>
          <xdr:cNvPr id="228" name="Rechteck 227">
            <a:extLst>
              <a:ext uri="{FF2B5EF4-FFF2-40B4-BE49-F238E27FC236}">
                <a16:creationId xmlns:a16="http://schemas.microsoft.com/office/drawing/2014/main" id="{00000000-0008-0000-2300-0000E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9" name="Pfeil nach links 228">
            <a:extLst>
              <a:ext uri="{FF2B5EF4-FFF2-40B4-BE49-F238E27FC236}">
                <a16:creationId xmlns:a16="http://schemas.microsoft.com/office/drawing/2014/main" id="{00000000-0008-0000-2300-0000E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928</xdr:row>
      <xdr:rowOff>9525</xdr:rowOff>
    </xdr:from>
    <xdr:to>
      <xdr:col>1</xdr:col>
      <xdr:colOff>372675</xdr:colOff>
      <xdr:row>929</xdr:row>
      <xdr:rowOff>10725</xdr:rowOff>
    </xdr:to>
    <xdr:grpSp>
      <xdr:nvGrpSpPr>
        <xdr:cNvPr id="230" name="Gruppieren 229">
          <a:hlinkClick xmlns:r="http://schemas.openxmlformats.org/officeDocument/2006/relationships" r:id="rId77"/>
          <a:extLst>
            <a:ext uri="{FF2B5EF4-FFF2-40B4-BE49-F238E27FC236}">
              <a16:creationId xmlns:a16="http://schemas.microsoft.com/office/drawing/2014/main" id="{00000000-0008-0000-2300-0000E6000000}"/>
            </a:ext>
          </a:extLst>
        </xdr:cNvPr>
        <xdr:cNvGrpSpPr>
          <a:grpSpLocks noChangeAspect="1"/>
        </xdr:cNvGrpSpPr>
      </xdr:nvGrpSpPr>
      <xdr:grpSpPr>
        <a:xfrm>
          <a:off x="74295" y="175300005"/>
          <a:ext cx="306000" cy="306000"/>
          <a:chOff x="9191625" y="3009900"/>
          <a:chExt cx="324000" cy="325465"/>
        </a:xfrm>
      </xdr:grpSpPr>
      <xdr:sp macro="" textlink="">
        <xdr:nvSpPr>
          <xdr:cNvPr id="231" name="Rechteck 230">
            <a:extLst>
              <a:ext uri="{FF2B5EF4-FFF2-40B4-BE49-F238E27FC236}">
                <a16:creationId xmlns:a16="http://schemas.microsoft.com/office/drawing/2014/main" id="{00000000-0008-0000-2300-0000E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32" name="Pfeil nach links 231">
            <a:extLst>
              <a:ext uri="{FF2B5EF4-FFF2-40B4-BE49-F238E27FC236}">
                <a16:creationId xmlns:a16="http://schemas.microsoft.com/office/drawing/2014/main" id="{00000000-0008-0000-2300-0000E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940</xdr:row>
      <xdr:rowOff>9525</xdr:rowOff>
    </xdr:from>
    <xdr:to>
      <xdr:col>1</xdr:col>
      <xdr:colOff>372675</xdr:colOff>
      <xdr:row>941</xdr:row>
      <xdr:rowOff>10725</xdr:rowOff>
    </xdr:to>
    <xdr:grpSp>
      <xdr:nvGrpSpPr>
        <xdr:cNvPr id="233" name="Gruppieren 232">
          <a:hlinkClick xmlns:r="http://schemas.openxmlformats.org/officeDocument/2006/relationships" r:id="rId78"/>
          <a:extLst>
            <a:ext uri="{FF2B5EF4-FFF2-40B4-BE49-F238E27FC236}">
              <a16:creationId xmlns:a16="http://schemas.microsoft.com/office/drawing/2014/main" id="{00000000-0008-0000-2300-0000E9000000}"/>
            </a:ext>
          </a:extLst>
        </xdr:cNvPr>
        <xdr:cNvGrpSpPr>
          <a:grpSpLocks noChangeAspect="1"/>
        </xdr:cNvGrpSpPr>
      </xdr:nvGrpSpPr>
      <xdr:grpSpPr>
        <a:xfrm>
          <a:off x="74295" y="177555525"/>
          <a:ext cx="306000" cy="306000"/>
          <a:chOff x="9191625" y="3009900"/>
          <a:chExt cx="324000" cy="325465"/>
        </a:xfrm>
      </xdr:grpSpPr>
      <xdr:sp macro="" textlink="">
        <xdr:nvSpPr>
          <xdr:cNvPr id="234" name="Rechteck 233">
            <a:extLst>
              <a:ext uri="{FF2B5EF4-FFF2-40B4-BE49-F238E27FC236}">
                <a16:creationId xmlns:a16="http://schemas.microsoft.com/office/drawing/2014/main" id="{00000000-0008-0000-2300-0000E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35" name="Pfeil nach links 234">
            <a:extLst>
              <a:ext uri="{FF2B5EF4-FFF2-40B4-BE49-F238E27FC236}">
                <a16:creationId xmlns:a16="http://schemas.microsoft.com/office/drawing/2014/main" id="{00000000-0008-0000-2300-0000E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952</xdr:row>
      <xdr:rowOff>9525</xdr:rowOff>
    </xdr:from>
    <xdr:to>
      <xdr:col>1</xdr:col>
      <xdr:colOff>372675</xdr:colOff>
      <xdr:row>953</xdr:row>
      <xdr:rowOff>10725</xdr:rowOff>
    </xdr:to>
    <xdr:grpSp>
      <xdr:nvGrpSpPr>
        <xdr:cNvPr id="236" name="Gruppieren 235">
          <a:hlinkClick xmlns:r="http://schemas.openxmlformats.org/officeDocument/2006/relationships" r:id="rId79"/>
          <a:extLst>
            <a:ext uri="{FF2B5EF4-FFF2-40B4-BE49-F238E27FC236}">
              <a16:creationId xmlns:a16="http://schemas.microsoft.com/office/drawing/2014/main" id="{00000000-0008-0000-2300-0000EC000000}"/>
            </a:ext>
          </a:extLst>
        </xdr:cNvPr>
        <xdr:cNvGrpSpPr>
          <a:grpSpLocks noChangeAspect="1"/>
        </xdr:cNvGrpSpPr>
      </xdr:nvGrpSpPr>
      <xdr:grpSpPr>
        <a:xfrm>
          <a:off x="74295" y="179811045"/>
          <a:ext cx="306000" cy="306000"/>
          <a:chOff x="9191625" y="3009900"/>
          <a:chExt cx="324000" cy="325465"/>
        </a:xfrm>
      </xdr:grpSpPr>
      <xdr:sp macro="" textlink="">
        <xdr:nvSpPr>
          <xdr:cNvPr id="237" name="Rechteck 236">
            <a:extLst>
              <a:ext uri="{FF2B5EF4-FFF2-40B4-BE49-F238E27FC236}">
                <a16:creationId xmlns:a16="http://schemas.microsoft.com/office/drawing/2014/main" id="{00000000-0008-0000-2300-0000E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38" name="Pfeil nach links 237">
            <a:extLst>
              <a:ext uri="{FF2B5EF4-FFF2-40B4-BE49-F238E27FC236}">
                <a16:creationId xmlns:a16="http://schemas.microsoft.com/office/drawing/2014/main" id="{00000000-0008-0000-2300-0000E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>
    <xdr:from>
      <xdr:col>1</xdr:col>
      <xdr:colOff>66675</xdr:colOff>
      <xdr:row>484</xdr:row>
      <xdr:rowOff>0</xdr:rowOff>
    </xdr:from>
    <xdr:to>
      <xdr:col>1</xdr:col>
      <xdr:colOff>372675</xdr:colOff>
      <xdr:row>485</xdr:row>
      <xdr:rowOff>1200</xdr:rowOff>
    </xdr:to>
    <xdr:grpSp>
      <xdr:nvGrpSpPr>
        <xdr:cNvPr id="239" name="Gruppieren 238">
          <a:hlinkClick xmlns:r="http://schemas.openxmlformats.org/officeDocument/2006/relationships" r:id="rId80"/>
          <a:extLst>
            <a:ext uri="{FF2B5EF4-FFF2-40B4-BE49-F238E27FC236}">
              <a16:creationId xmlns:a16="http://schemas.microsoft.com/office/drawing/2014/main" id="{00000000-0008-0000-2300-0000EF000000}"/>
            </a:ext>
          </a:extLst>
        </xdr:cNvPr>
        <xdr:cNvGrpSpPr>
          <a:grpSpLocks noChangeAspect="1"/>
        </xdr:cNvGrpSpPr>
      </xdr:nvGrpSpPr>
      <xdr:grpSpPr>
        <a:xfrm>
          <a:off x="74295" y="91836240"/>
          <a:ext cx="306000" cy="306000"/>
          <a:chOff x="9191625" y="3009900"/>
          <a:chExt cx="324000" cy="325465"/>
        </a:xfrm>
      </xdr:grpSpPr>
      <xdr:sp macro="" textlink="">
        <xdr:nvSpPr>
          <xdr:cNvPr id="240" name="Rechteck 239">
            <a:extLst>
              <a:ext uri="{FF2B5EF4-FFF2-40B4-BE49-F238E27FC236}">
                <a16:creationId xmlns:a16="http://schemas.microsoft.com/office/drawing/2014/main" id="{00000000-0008-0000-2300-0000F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1" name="Pfeil nach links 240">
            <a:extLst>
              <a:ext uri="{FF2B5EF4-FFF2-40B4-BE49-F238E27FC236}">
                <a16:creationId xmlns:a16="http://schemas.microsoft.com/office/drawing/2014/main" id="{00000000-0008-0000-2300-0000F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2</xdr:col>
      <xdr:colOff>228600</xdr:colOff>
      <xdr:row>9</xdr:row>
      <xdr:rowOff>161925</xdr:rowOff>
    </xdr:from>
    <xdr:ext cx="2689575" cy="4508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42" name="Textfeld 241">
              <a:extLst>
                <a:ext uri="{FF2B5EF4-FFF2-40B4-BE49-F238E27FC236}">
                  <a16:creationId xmlns:a16="http://schemas.microsoft.com/office/drawing/2014/main" id="{00000000-0008-0000-2300-0000F2000000}"/>
                </a:ext>
              </a:extLst>
            </xdr:cNvPr>
            <xdr:cNvSpPr txBox="1"/>
          </xdr:nvSpPr>
          <xdr:spPr>
            <a:xfrm>
              <a:off x="666750" y="2114550"/>
              <a:ext cx="2689575" cy="4508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de-CH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de-CH" sz="1100" b="0" i="1">
                            <a:latin typeface="Cambria Math"/>
                          </a:rPr>
                          <m:t>𝐴𝑏𝑠𝑎𝑡𝑧</m:t>
                        </m:r>
                        <m:r>
                          <a:rPr lang="de-CH" sz="1100" b="0" i="1">
                            <a:latin typeface="Cambria Math"/>
                          </a:rPr>
                          <m:t> </m:t>
                        </m:r>
                        <m:d>
                          <m:dPr>
                            <m:ctrlPr>
                              <a:rPr lang="de-CH" sz="11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de-CH" sz="1100" b="0" i="1">
                                <a:latin typeface="Cambria Math"/>
                              </a:rPr>
                              <m:t>𝑛𝑒𝑢</m:t>
                            </m:r>
                          </m:e>
                        </m:d>
                        <m:r>
                          <a:rPr lang="de-CH" sz="1100" b="0" i="1">
                            <a:latin typeface="Cambria Math"/>
                          </a:rPr>
                          <m:t>−</m:t>
                        </m:r>
                        <m:r>
                          <a:rPr lang="de-CH" sz="1100" b="0" i="1">
                            <a:latin typeface="Cambria Math"/>
                          </a:rPr>
                          <m:t>𝐴𝑏𝑠𝑎𝑡𝑧</m:t>
                        </m:r>
                        <m:r>
                          <a:rPr lang="de-CH" sz="1100" b="0" i="1">
                            <a:latin typeface="Cambria Math"/>
                          </a:rPr>
                          <m:t> (</m:t>
                        </m:r>
                        <m:r>
                          <a:rPr lang="de-CH" sz="1100" b="0" i="1">
                            <a:latin typeface="Cambria Math"/>
                          </a:rPr>
                          <m:t>𝑎𝑙𝑡</m:t>
                        </m:r>
                        <m:r>
                          <a:rPr lang="de-CH" sz="1100" b="0" i="1">
                            <a:latin typeface="Cambria Math"/>
                          </a:rPr>
                          <m:t>)</m:t>
                        </m:r>
                      </m:num>
                      <m:den>
                        <m:r>
                          <a:rPr lang="de-CH" sz="1100" b="0" i="1">
                            <a:latin typeface="Cambria Math"/>
                          </a:rPr>
                          <m:t>𝐴𝑏𝑠𝑎𝑡𝑧</m:t>
                        </m:r>
                        <m:r>
                          <a:rPr lang="de-CH" sz="1100" b="0" i="1">
                            <a:latin typeface="Cambria Math"/>
                          </a:rPr>
                          <m:t> (</m:t>
                        </m:r>
                        <m:r>
                          <a:rPr lang="de-CH" sz="1100" b="0" i="1">
                            <a:latin typeface="Cambria Math"/>
                          </a:rPr>
                          <m:t>𝑎𝑙𝑡</m:t>
                        </m:r>
                        <m:r>
                          <a:rPr lang="de-CH" sz="1100" b="0" i="1">
                            <a:latin typeface="Cambria Math"/>
                          </a:rPr>
                          <m:t>)</m:t>
                        </m:r>
                      </m:den>
                    </m:f>
                    <m:r>
                      <a:rPr lang="de-CH" sz="1100" b="0" i="1">
                        <a:latin typeface="Cambria Math"/>
                      </a:rPr>
                      <m:t>∗100%</m:t>
                    </m:r>
                  </m:oMath>
                </m:oMathPara>
              </a14:m>
              <a:endParaRPr lang="de-CH" sz="1100"/>
            </a:p>
          </xdr:txBody>
        </xdr:sp>
      </mc:Choice>
      <mc:Fallback xmlns="">
        <xdr:sp macro="" textlink="">
          <xdr:nvSpPr>
            <xdr:cNvPr id="242" name="Textfeld 241"/>
            <xdr:cNvSpPr txBox="1"/>
          </xdr:nvSpPr>
          <xdr:spPr>
            <a:xfrm>
              <a:off x="666750" y="2114550"/>
              <a:ext cx="2689575" cy="4508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de-CH" sz="1100" i="0">
                  <a:latin typeface="Cambria Math" panose="02040503050406030204" pitchFamily="18" charset="0"/>
                </a:rPr>
                <a:t>(</a:t>
              </a:r>
              <a:r>
                <a:rPr lang="de-CH" sz="1100" b="0" i="0">
                  <a:latin typeface="Cambria Math"/>
                </a:rPr>
                <a:t>𝐴𝑏𝑠𝑎𝑡𝑧 </a:t>
              </a:r>
              <a:r>
                <a:rPr lang="de-CH" sz="1100" b="0" i="0">
                  <a:latin typeface="Cambria Math" panose="02040503050406030204" pitchFamily="18" charset="0"/>
                </a:rPr>
                <a:t>(</a:t>
              </a:r>
              <a:r>
                <a:rPr lang="de-CH" sz="1100" b="0" i="0">
                  <a:latin typeface="Cambria Math"/>
                </a:rPr>
                <a:t>𝑛𝑒𝑢</a:t>
              </a:r>
              <a:r>
                <a:rPr lang="de-CH" sz="1100" b="0" i="0">
                  <a:latin typeface="Cambria Math" panose="02040503050406030204" pitchFamily="18" charset="0"/>
                </a:rPr>
                <a:t>)</a:t>
              </a:r>
              <a:r>
                <a:rPr lang="de-CH" sz="1100" b="0" i="0">
                  <a:latin typeface="Cambria Math"/>
                </a:rPr>
                <a:t>−𝐴𝑏𝑠𝑎𝑡𝑧 (𝑎𝑙𝑡)</a:t>
              </a:r>
              <a:r>
                <a:rPr lang="de-CH" sz="1100" b="0" i="0">
                  <a:latin typeface="Cambria Math" panose="02040503050406030204" pitchFamily="18" charset="0"/>
                </a:rPr>
                <a:t>)/(</a:t>
              </a:r>
              <a:r>
                <a:rPr lang="de-CH" sz="1100" b="0" i="0">
                  <a:latin typeface="Cambria Math"/>
                </a:rPr>
                <a:t>𝐴𝑏𝑠𝑎𝑡𝑧 (𝑎𝑙𝑡)</a:t>
              </a:r>
              <a:r>
                <a:rPr lang="de-CH" sz="1100" b="0" i="0">
                  <a:latin typeface="Cambria Math" panose="02040503050406030204" pitchFamily="18" charset="0"/>
                </a:rPr>
                <a:t>)</a:t>
              </a:r>
              <a:r>
                <a:rPr lang="de-CH" sz="1100" b="0" i="0">
                  <a:latin typeface="Cambria Math"/>
                </a:rPr>
                <a:t>∗100%</a:t>
              </a:r>
              <a:endParaRPr lang="de-CH" sz="1100"/>
            </a:p>
          </xdr:txBody>
        </xdr:sp>
      </mc:Fallback>
    </mc:AlternateContent>
    <xdr:clientData/>
  </xdr:oneCellAnchor>
  <xdr:twoCellAnchor editAs="oneCell">
    <xdr:from>
      <xdr:col>5</xdr:col>
      <xdr:colOff>85725</xdr:colOff>
      <xdr:row>1</xdr:row>
      <xdr:rowOff>57149</xdr:rowOff>
    </xdr:from>
    <xdr:to>
      <xdr:col>5</xdr:col>
      <xdr:colOff>265725</xdr:colOff>
      <xdr:row>2</xdr:row>
      <xdr:rowOff>176189</xdr:rowOff>
    </xdr:to>
    <xdr:grpSp>
      <xdr:nvGrpSpPr>
        <xdr:cNvPr id="243" name="Gruppieren 242">
          <a:hlinkClick xmlns:r="http://schemas.openxmlformats.org/officeDocument/2006/relationships" r:id="rId81"/>
          <a:extLst>
            <a:ext uri="{FF2B5EF4-FFF2-40B4-BE49-F238E27FC236}">
              <a16:creationId xmlns:a16="http://schemas.microsoft.com/office/drawing/2014/main" id="{00000000-0008-0000-2300-0000F3000000}"/>
            </a:ext>
          </a:extLst>
        </xdr:cNvPr>
        <xdr:cNvGrpSpPr/>
      </xdr:nvGrpSpPr>
      <xdr:grpSpPr>
        <a:xfrm>
          <a:off x="7759065" y="621029"/>
          <a:ext cx="180000" cy="180000"/>
          <a:chOff x="8105775" y="571500"/>
          <a:chExt cx="172800" cy="172800"/>
        </a:xfrm>
      </xdr:grpSpPr>
      <xdr:sp macro="" textlink="">
        <xdr:nvSpPr>
          <xdr:cNvPr id="244" name="Rechteck 243">
            <a:extLst>
              <a:ext uri="{FF2B5EF4-FFF2-40B4-BE49-F238E27FC236}">
                <a16:creationId xmlns:a16="http://schemas.microsoft.com/office/drawing/2014/main" id="{00000000-0008-0000-2300-0000F4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45" name="Textfeld 244">
            <a:extLst>
              <a:ext uri="{FF2B5EF4-FFF2-40B4-BE49-F238E27FC236}">
                <a16:creationId xmlns:a16="http://schemas.microsoft.com/office/drawing/2014/main" id="{00000000-0008-0000-2300-0000F5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1524000</xdr:colOff>
          <xdr:row>0</xdr:row>
          <xdr:rowOff>9525</xdr:rowOff>
        </xdr:from>
        <xdr:to>
          <xdr:col>6</xdr:col>
          <xdr:colOff>3810</xdr:colOff>
          <xdr:row>0</xdr:row>
          <xdr:rowOff>542925</xdr:rowOff>
        </xdr:to>
        <xdr:pic>
          <xdr:nvPicPr>
            <xdr:cNvPr id="246" name="Grafik 45">
              <a:extLst>
                <a:ext uri="{FF2B5EF4-FFF2-40B4-BE49-F238E27FC236}">
                  <a16:creationId xmlns:a16="http://schemas.microsoft.com/office/drawing/2014/main" id="{00000000-0008-0000-2300-0000F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53605"/>
                </a:ext>
              </a:extLst>
            </xdr:cNvPicPr>
          </xdr:nvPicPr>
          <xdr:blipFill>
            <a:blip xmlns:r="http://schemas.openxmlformats.org/officeDocument/2006/relationships" r:embed="rId82"/>
            <a:srcRect/>
            <a:stretch>
              <a:fillRect/>
            </a:stretch>
          </xdr:blipFill>
          <xdr:spPr bwMode="auto">
            <a:xfrm>
              <a:off x="5553075" y="9525"/>
              <a:ext cx="217551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4</xdr:row>
      <xdr:rowOff>0</xdr:rowOff>
    </xdr:from>
    <xdr:to>
      <xdr:col>1</xdr:col>
      <xdr:colOff>372675</xdr:colOff>
      <xdr:row>5</xdr:row>
      <xdr:rowOff>1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GrpSpPr>
          <a:grpSpLocks noChangeAspect="1"/>
        </xdr:cNvGrpSpPr>
      </xdr:nvGrpSpPr>
      <xdr:grpSpPr>
        <a:xfrm>
          <a:off x="74295" y="891540"/>
          <a:ext cx="306000" cy="304801"/>
          <a:chOff x="9191625" y="3009900"/>
          <a:chExt cx="324000" cy="325465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2400-00000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" name="Pfeil nach links 3">
            <a:extLst>
              <a:ext uri="{FF2B5EF4-FFF2-40B4-BE49-F238E27FC236}">
                <a16:creationId xmlns:a16="http://schemas.microsoft.com/office/drawing/2014/main" id="{00000000-0008-0000-2400-00000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16</xdr:row>
      <xdr:rowOff>9525</xdr:rowOff>
    </xdr:from>
    <xdr:to>
      <xdr:col>1</xdr:col>
      <xdr:colOff>372675</xdr:colOff>
      <xdr:row>17</xdr:row>
      <xdr:rowOff>10724</xdr:rowOff>
    </xdr:to>
    <xdr:grpSp>
      <xdr:nvGrpSpPr>
        <xdr:cNvPr id="5" name="Gruppieren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GrpSpPr>
          <a:grpSpLocks noChangeAspect="1"/>
        </xdr:cNvGrpSpPr>
      </xdr:nvGrpSpPr>
      <xdr:grpSpPr>
        <a:xfrm>
          <a:off x="74295" y="3850005"/>
          <a:ext cx="306000" cy="305999"/>
          <a:chOff x="9191625" y="3009900"/>
          <a:chExt cx="324000" cy="325465"/>
        </a:xfrm>
      </xdr:grpSpPr>
      <xdr:sp macro="" textlink="">
        <xdr:nvSpPr>
          <xdr:cNvPr id="6" name="Rechteck 5">
            <a:extLst>
              <a:ext uri="{FF2B5EF4-FFF2-40B4-BE49-F238E27FC236}">
                <a16:creationId xmlns:a16="http://schemas.microsoft.com/office/drawing/2014/main" id="{00000000-0008-0000-2400-00000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" name="Pfeil nach links 6">
            <a:extLst>
              <a:ext uri="{FF2B5EF4-FFF2-40B4-BE49-F238E27FC236}">
                <a16:creationId xmlns:a16="http://schemas.microsoft.com/office/drawing/2014/main" id="{00000000-0008-0000-2400-00000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28</xdr:row>
      <xdr:rowOff>9525</xdr:rowOff>
    </xdr:from>
    <xdr:to>
      <xdr:col>1</xdr:col>
      <xdr:colOff>372675</xdr:colOff>
      <xdr:row>29</xdr:row>
      <xdr:rowOff>10724</xdr:rowOff>
    </xdr:to>
    <xdr:grpSp>
      <xdr:nvGrpSpPr>
        <xdr:cNvPr id="8" name="Gruppieren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400-000008000000}"/>
            </a:ext>
          </a:extLst>
        </xdr:cNvPr>
        <xdr:cNvGrpSpPr>
          <a:grpSpLocks noChangeAspect="1"/>
        </xdr:cNvGrpSpPr>
      </xdr:nvGrpSpPr>
      <xdr:grpSpPr>
        <a:xfrm>
          <a:off x="74295" y="6105525"/>
          <a:ext cx="306000" cy="305999"/>
          <a:chOff x="9191625" y="3009900"/>
          <a:chExt cx="324000" cy="325465"/>
        </a:xfrm>
      </xdr:grpSpPr>
      <xdr:sp macro="" textlink="">
        <xdr:nvSpPr>
          <xdr:cNvPr id="9" name="Rechteck 8">
            <a:extLst>
              <a:ext uri="{FF2B5EF4-FFF2-40B4-BE49-F238E27FC236}">
                <a16:creationId xmlns:a16="http://schemas.microsoft.com/office/drawing/2014/main" id="{00000000-0008-0000-2400-00000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" name="Pfeil nach links 9">
            <a:extLst>
              <a:ext uri="{FF2B5EF4-FFF2-40B4-BE49-F238E27FC236}">
                <a16:creationId xmlns:a16="http://schemas.microsoft.com/office/drawing/2014/main" id="{00000000-0008-0000-2400-00000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40</xdr:row>
      <xdr:rowOff>9525</xdr:rowOff>
    </xdr:from>
    <xdr:to>
      <xdr:col>1</xdr:col>
      <xdr:colOff>372675</xdr:colOff>
      <xdr:row>41</xdr:row>
      <xdr:rowOff>10725</xdr:rowOff>
    </xdr:to>
    <xdr:grpSp>
      <xdr:nvGrpSpPr>
        <xdr:cNvPr id="11" name="Gruppieren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2400-00000B000000}"/>
            </a:ext>
          </a:extLst>
        </xdr:cNvPr>
        <xdr:cNvGrpSpPr>
          <a:grpSpLocks noChangeAspect="1"/>
        </xdr:cNvGrpSpPr>
      </xdr:nvGrpSpPr>
      <xdr:grpSpPr>
        <a:xfrm>
          <a:off x="74295" y="8361045"/>
          <a:ext cx="306000" cy="306000"/>
          <a:chOff x="9191625" y="3009900"/>
          <a:chExt cx="324000" cy="325465"/>
        </a:xfrm>
      </xdr:grpSpPr>
      <xdr:sp macro="" textlink="">
        <xdr:nvSpPr>
          <xdr:cNvPr id="12" name="Rechteck 11">
            <a:extLst>
              <a:ext uri="{FF2B5EF4-FFF2-40B4-BE49-F238E27FC236}">
                <a16:creationId xmlns:a16="http://schemas.microsoft.com/office/drawing/2014/main" id="{00000000-0008-0000-2400-00000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3" name="Pfeil nach links 12">
            <a:extLst>
              <a:ext uri="{FF2B5EF4-FFF2-40B4-BE49-F238E27FC236}">
                <a16:creationId xmlns:a16="http://schemas.microsoft.com/office/drawing/2014/main" id="{00000000-0008-0000-2400-00000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52</xdr:row>
      <xdr:rowOff>9525</xdr:rowOff>
    </xdr:from>
    <xdr:to>
      <xdr:col>1</xdr:col>
      <xdr:colOff>372675</xdr:colOff>
      <xdr:row>53</xdr:row>
      <xdr:rowOff>10726</xdr:rowOff>
    </xdr:to>
    <xdr:grpSp>
      <xdr:nvGrpSpPr>
        <xdr:cNvPr id="14" name="Gruppieren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2400-00000E000000}"/>
            </a:ext>
          </a:extLst>
        </xdr:cNvPr>
        <xdr:cNvGrpSpPr>
          <a:grpSpLocks noChangeAspect="1"/>
        </xdr:cNvGrpSpPr>
      </xdr:nvGrpSpPr>
      <xdr:grpSpPr>
        <a:xfrm>
          <a:off x="74295" y="10616565"/>
          <a:ext cx="306000" cy="306001"/>
          <a:chOff x="9191625" y="3009900"/>
          <a:chExt cx="324000" cy="325465"/>
        </a:xfrm>
      </xdr:grpSpPr>
      <xdr:sp macro="" textlink="">
        <xdr:nvSpPr>
          <xdr:cNvPr id="15" name="Rechteck 14">
            <a:extLst>
              <a:ext uri="{FF2B5EF4-FFF2-40B4-BE49-F238E27FC236}">
                <a16:creationId xmlns:a16="http://schemas.microsoft.com/office/drawing/2014/main" id="{00000000-0008-0000-2400-00000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6" name="Pfeil nach links 15">
            <a:extLst>
              <a:ext uri="{FF2B5EF4-FFF2-40B4-BE49-F238E27FC236}">
                <a16:creationId xmlns:a16="http://schemas.microsoft.com/office/drawing/2014/main" id="{00000000-0008-0000-2400-00001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64</xdr:row>
      <xdr:rowOff>9525</xdr:rowOff>
    </xdr:from>
    <xdr:to>
      <xdr:col>1</xdr:col>
      <xdr:colOff>372675</xdr:colOff>
      <xdr:row>65</xdr:row>
      <xdr:rowOff>10724</xdr:rowOff>
    </xdr:to>
    <xdr:grpSp>
      <xdr:nvGrpSpPr>
        <xdr:cNvPr id="17" name="Gruppieren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2400-000011000000}"/>
            </a:ext>
          </a:extLst>
        </xdr:cNvPr>
        <xdr:cNvGrpSpPr>
          <a:grpSpLocks noChangeAspect="1"/>
        </xdr:cNvGrpSpPr>
      </xdr:nvGrpSpPr>
      <xdr:grpSpPr>
        <a:xfrm>
          <a:off x="74295" y="12872085"/>
          <a:ext cx="306000" cy="305999"/>
          <a:chOff x="9191625" y="3009900"/>
          <a:chExt cx="324000" cy="325465"/>
        </a:xfrm>
      </xdr:grpSpPr>
      <xdr:sp macro="" textlink="">
        <xdr:nvSpPr>
          <xdr:cNvPr id="18" name="Rechteck 17">
            <a:extLst>
              <a:ext uri="{FF2B5EF4-FFF2-40B4-BE49-F238E27FC236}">
                <a16:creationId xmlns:a16="http://schemas.microsoft.com/office/drawing/2014/main" id="{00000000-0008-0000-2400-00001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" name="Pfeil nach links 18">
            <a:extLst>
              <a:ext uri="{FF2B5EF4-FFF2-40B4-BE49-F238E27FC236}">
                <a16:creationId xmlns:a16="http://schemas.microsoft.com/office/drawing/2014/main" id="{00000000-0008-0000-2400-00001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76</xdr:row>
      <xdr:rowOff>9525</xdr:rowOff>
    </xdr:from>
    <xdr:to>
      <xdr:col>1</xdr:col>
      <xdr:colOff>372675</xdr:colOff>
      <xdr:row>77</xdr:row>
      <xdr:rowOff>10724</xdr:rowOff>
    </xdr:to>
    <xdr:grpSp>
      <xdr:nvGrpSpPr>
        <xdr:cNvPr id="20" name="Gruppieren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2400-000014000000}"/>
            </a:ext>
          </a:extLst>
        </xdr:cNvPr>
        <xdr:cNvGrpSpPr>
          <a:grpSpLocks noChangeAspect="1"/>
        </xdr:cNvGrpSpPr>
      </xdr:nvGrpSpPr>
      <xdr:grpSpPr>
        <a:xfrm>
          <a:off x="74295" y="15127605"/>
          <a:ext cx="306000" cy="305999"/>
          <a:chOff x="9191625" y="3009900"/>
          <a:chExt cx="324000" cy="325465"/>
        </a:xfrm>
      </xdr:grpSpPr>
      <xdr:sp macro="" textlink="">
        <xdr:nvSpPr>
          <xdr:cNvPr id="21" name="Rechteck 20">
            <a:extLst>
              <a:ext uri="{FF2B5EF4-FFF2-40B4-BE49-F238E27FC236}">
                <a16:creationId xmlns:a16="http://schemas.microsoft.com/office/drawing/2014/main" id="{00000000-0008-0000-2400-00001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2" name="Pfeil nach links 21">
            <a:extLst>
              <a:ext uri="{FF2B5EF4-FFF2-40B4-BE49-F238E27FC236}">
                <a16:creationId xmlns:a16="http://schemas.microsoft.com/office/drawing/2014/main" id="{00000000-0008-0000-2400-00001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88</xdr:row>
      <xdr:rowOff>9525</xdr:rowOff>
    </xdr:from>
    <xdr:to>
      <xdr:col>1</xdr:col>
      <xdr:colOff>372675</xdr:colOff>
      <xdr:row>89</xdr:row>
      <xdr:rowOff>10725</xdr:rowOff>
    </xdr:to>
    <xdr:grpSp>
      <xdr:nvGrpSpPr>
        <xdr:cNvPr id="23" name="Gruppieren 2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2400-000017000000}"/>
            </a:ext>
          </a:extLst>
        </xdr:cNvPr>
        <xdr:cNvGrpSpPr>
          <a:grpSpLocks noChangeAspect="1"/>
        </xdr:cNvGrpSpPr>
      </xdr:nvGrpSpPr>
      <xdr:grpSpPr>
        <a:xfrm>
          <a:off x="74295" y="17383125"/>
          <a:ext cx="306000" cy="306000"/>
          <a:chOff x="9191625" y="3009900"/>
          <a:chExt cx="324000" cy="325465"/>
        </a:xfrm>
      </xdr:grpSpPr>
      <xdr:sp macro="" textlink="">
        <xdr:nvSpPr>
          <xdr:cNvPr id="24" name="Rechteck 23">
            <a:extLst>
              <a:ext uri="{FF2B5EF4-FFF2-40B4-BE49-F238E27FC236}">
                <a16:creationId xmlns:a16="http://schemas.microsoft.com/office/drawing/2014/main" id="{00000000-0008-0000-2400-00001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5" name="Pfeil nach links 24">
            <a:extLst>
              <a:ext uri="{FF2B5EF4-FFF2-40B4-BE49-F238E27FC236}">
                <a16:creationId xmlns:a16="http://schemas.microsoft.com/office/drawing/2014/main" id="{00000000-0008-0000-2400-00001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100</xdr:row>
      <xdr:rowOff>9525</xdr:rowOff>
    </xdr:from>
    <xdr:to>
      <xdr:col>1</xdr:col>
      <xdr:colOff>372675</xdr:colOff>
      <xdr:row>101</xdr:row>
      <xdr:rowOff>10726</xdr:rowOff>
    </xdr:to>
    <xdr:grpSp>
      <xdr:nvGrpSpPr>
        <xdr:cNvPr id="26" name="Gruppieren 2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2400-00001A000000}"/>
            </a:ext>
          </a:extLst>
        </xdr:cNvPr>
        <xdr:cNvGrpSpPr>
          <a:grpSpLocks noChangeAspect="1"/>
        </xdr:cNvGrpSpPr>
      </xdr:nvGrpSpPr>
      <xdr:grpSpPr>
        <a:xfrm>
          <a:off x="74295" y="19638645"/>
          <a:ext cx="306000" cy="306001"/>
          <a:chOff x="9191625" y="3009900"/>
          <a:chExt cx="324000" cy="325465"/>
        </a:xfrm>
      </xdr:grpSpPr>
      <xdr:sp macro="" textlink="">
        <xdr:nvSpPr>
          <xdr:cNvPr id="27" name="Rechteck 26">
            <a:extLst>
              <a:ext uri="{FF2B5EF4-FFF2-40B4-BE49-F238E27FC236}">
                <a16:creationId xmlns:a16="http://schemas.microsoft.com/office/drawing/2014/main" id="{00000000-0008-0000-2400-00001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8" name="Pfeil nach links 27">
            <a:extLst>
              <a:ext uri="{FF2B5EF4-FFF2-40B4-BE49-F238E27FC236}">
                <a16:creationId xmlns:a16="http://schemas.microsoft.com/office/drawing/2014/main" id="{00000000-0008-0000-2400-00001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112</xdr:row>
      <xdr:rowOff>9525</xdr:rowOff>
    </xdr:from>
    <xdr:to>
      <xdr:col>1</xdr:col>
      <xdr:colOff>372675</xdr:colOff>
      <xdr:row>113</xdr:row>
      <xdr:rowOff>10724</xdr:rowOff>
    </xdr:to>
    <xdr:grpSp>
      <xdr:nvGrpSpPr>
        <xdr:cNvPr id="29" name="Gruppieren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2400-00001D000000}"/>
            </a:ext>
          </a:extLst>
        </xdr:cNvPr>
        <xdr:cNvGrpSpPr>
          <a:grpSpLocks noChangeAspect="1"/>
        </xdr:cNvGrpSpPr>
      </xdr:nvGrpSpPr>
      <xdr:grpSpPr>
        <a:xfrm>
          <a:off x="74295" y="21894165"/>
          <a:ext cx="306000" cy="305999"/>
          <a:chOff x="9191625" y="3009900"/>
          <a:chExt cx="324000" cy="325465"/>
        </a:xfrm>
      </xdr:grpSpPr>
      <xdr:sp macro="" textlink="">
        <xdr:nvSpPr>
          <xdr:cNvPr id="30" name="Rechteck 29">
            <a:extLst>
              <a:ext uri="{FF2B5EF4-FFF2-40B4-BE49-F238E27FC236}">
                <a16:creationId xmlns:a16="http://schemas.microsoft.com/office/drawing/2014/main" id="{00000000-0008-0000-2400-00001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1" name="Pfeil nach links 30">
            <a:extLst>
              <a:ext uri="{FF2B5EF4-FFF2-40B4-BE49-F238E27FC236}">
                <a16:creationId xmlns:a16="http://schemas.microsoft.com/office/drawing/2014/main" id="{00000000-0008-0000-2400-00001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124</xdr:row>
      <xdr:rowOff>9525</xdr:rowOff>
    </xdr:from>
    <xdr:to>
      <xdr:col>1</xdr:col>
      <xdr:colOff>372675</xdr:colOff>
      <xdr:row>125</xdr:row>
      <xdr:rowOff>10724</xdr:rowOff>
    </xdr:to>
    <xdr:grpSp>
      <xdr:nvGrpSpPr>
        <xdr:cNvPr id="32" name="Gruppieren 3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2400-000020000000}"/>
            </a:ext>
          </a:extLst>
        </xdr:cNvPr>
        <xdr:cNvGrpSpPr>
          <a:grpSpLocks noChangeAspect="1"/>
        </xdr:cNvGrpSpPr>
      </xdr:nvGrpSpPr>
      <xdr:grpSpPr>
        <a:xfrm>
          <a:off x="74295" y="24149685"/>
          <a:ext cx="306000" cy="305999"/>
          <a:chOff x="9191625" y="3009900"/>
          <a:chExt cx="324000" cy="325465"/>
        </a:xfrm>
      </xdr:grpSpPr>
      <xdr:sp macro="" textlink="">
        <xdr:nvSpPr>
          <xdr:cNvPr id="33" name="Rechteck 32">
            <a:extLst>
              <a:ext uri="{FF2B5EF4-FFF2-40B4-BE49-F238E27FC236}">
                <a16:creationId xmlns:a16="http://schemas.microsoft.com/office/drawing/2014/main" id="{00000000-0008-0000-2400-00002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4" name="Pfeil nach links 33">
            <a:extLst>
              <a:ext uri="{FF2B5EF4-FFF2-40B4-BE49-F238E27FC236}">
                <a16:creationId xmlns:a16="http://schemas.microsoft.com/office/drawing/2014/main" id="{00000000-0008-0000-2400-00002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136</xdr:row>
      <xdr:rowOff>9525</xdr:rowOff>
    </xdr:from>
    <xdr:to>
      <xdr:col>1</xdr:col>
      <xdr:colOff>372675</xdr:colOff>
      <xdr:row>137</xdr:row>
      <xdr:rowOff>10725</xdr:rowOff>
    </xdr:to>
    <xdr:grpSp>
      <xdr:nvGrpSpPr>
        <xdr:cNvPr id="35" name="Gruppieren 3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2400-000023000000}"/>
            </a:ext>
          </a:extLst>
        </xdr:cNvPr>
        <xdr:cNvGrpSpPr>
          <a:grpSpLocks noChangeAspect="1"/>
        </xdr:cNvGrpSpPr>
      </xdr:nvGrpSpPr>
      <xdr:grpSpPr>
        <a:xfrm>
          <a:off x="74295" y="26405205"/>
          <a:ext cx="306000" cy="306000"/>
          <a:chOff x="9191625" y="3009900"/>
          <a:chExt cx="324000" cy="325465"/>
        </a:xfrm>
      </xdr:grpSpPr>
      <xdr:sp macro="" textlink="">
        <xdr:nvSpPr>
          <xdr:cNvPr id="36" name="Rechteck 35">
            <a:extLst>
              <a:ext uri="{FF2B5EF4-FFF2-40B4-BE49-F238E27FC236}">
                <a16:creationId xmlns:a16="http://schemas.microsoft.com/office/drawing/2014/main" id="{00000000-0008-0000-2400-00002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7" name="Pfeil nach links 36">
            <a:extLst>
              <a:ext uri="{FF2B5EF4-FFF2-40B4-BE49-F238E27FC236}">
                <a16:creationId xmlns:a16="http://schemas.microsoft.com/office/drawing/2014/main" id="{00000000-0008-0000-2400-00002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148</xdr:row>
      <xdr:rowOff>9525</xdr:rowOff>
    </xdr:from>
    <xdr:to>
      <xdr:col>1</xdr:col>
      <xdr:colOff>372675</xdr:colOff>
      <xdr:row>149</xdr:row>
      <xdr:rowOff>10726</xdr:rowOff>
    </xdr:to>
    <xdr:grpSp>
      <xdr:nvGrpSpPr>
        <xdr:cNvPr id="38" name="Gruppieren 37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2400-000026000000}"/>
            </a:ext>
          </a:extLst>
        </xdr:cNvPr>
        <xdr:cNvGrpSpPr>
          <a:grpSpLocks noChangeAspect="1"/>
        </xdr:cNvGrpSpPr>
      </xdr:nvGrpSpPr>
      <xdr:grpSpPr>
        <a:xfrm>
          <a:off x="74295" y="28660725"/>
          <a:ext cx="306000" cy="306001"/>
          <a:chOff x="9191625" y="3009900"/>
          <a:chExt cx="324000" cy="325465"/>
        </a:xfrm>
      </xdr:grpSpPr>
      <xdr:sp macro="" textlink="">
        <xdr:nvSpPr>
          <xdr:cNvPr id="39" name="Rechteck 38">
            <a:extLst>
              <a:ext uri="{FF2B5EF4-FFF2-40B4-BE49-F238E27FC236}">
                <a16:creationId xmlns:a16="http://schemas.microsoft.com/office/drawing/2014/main" id="{00000000-0008-0000-2400-00002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0" name="Pfeil nach links 39">
            <a:extLst>
              <a:ext uri="{FF2B5EF4-FFF2-40B4-BE49-F238E27FC236}">
                <a16:creationId xmlns:a16="http://schemas.microsoft.com/office/drawing/2014/main" id="{00000000-0008-0000-2400-00002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160</xdr:row>
      <xdr:rowOff>9525</xdr:rowOff>
    </xdr:from>
    <xdr:to>
      <xdr:col>1</xdr:col>
      <xdr:colOff>372675</xdr:colOff>
      <xdr:row>161</xdr:row>
      <xdr:rowOff>10724</xdr:rowOff>
    </xdr:to>
    <xdr:grpSp>
      <xdr:nvGrpSpPr>
        <xdr:cNvPr id="41" name="Gruppieren 40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2400-000029000000}"/>
            </a:ext>
          </a:extLst>
        </xdr:cNvPr>
        <xdr:cNvGrpSpPr>
          <a:grpSpLocks noChangeAspect="1"/>
        </xdr:cNvGrpSpPr>
      </xdr:nvGrpSpPr>
      <xdr:grpSpPr>
        <a:xfrm>
          <a:off x="74295" y="30916245"/>
          <a:ext cx="306000" cy="305999"/>
          <a:chOff x="9191625" y="3009900"/>
          <a:chExt cx="324000" cy="325465"/>
        </a:xfrm>
      </xdr:grpSpPr>
      <xdr:sp macro="" textlink="">
        <xdr:nvSpPr>
          <xdr:cNvPr id="42" name="Rechteck 41">
            <a:extLst>
              <a:ext uri="{FF2B5EF4-FFF2-40B4-BE49-F238E27FC236}">
                <a16:creationId xmlns:a16="http://schemas.microsoft.com/office/drawing/2014/main" id="{00000000-0008-0000-2400-00002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3" name="Pfeil nach links 42">
            <a:extLst>
              <a:ext uri="{FF2B5EF4-FFF2-40B4-BE49-F238E27FC236}">
                <a16:creationId xmlns:a16="http://schemas.microsoft.com/office/drawing/2014/main" id="{00000000-0008-0000-2400-00002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172</xdr:row>
      <xdr:rowOff>9525</xdr:rowOff>
    </xdr:from>
    <xdr:to>
      <xdr:col>1</xdr:col>
      <xdr:colOff>372675</xdr:colOff>
      <xdr:row>173</xdr:row>
      <xdr:rowOff>10724</xdr:rowOff>
    </xdr:to>
    <xdr:grpSp>
      <xdr:nvGrpSpPr>
        <xdr:cNvPr id="44" name="Gruppieren 43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2400-00002C000000}"/>
            </a:ext>
          </a:extLst>
        </xdr:cNvPr>
        <xdr:cNvGrpSpPr>
          <a:grpSpLocks noChangeAspect="1"/>
        </xdr:cNvGrpSpPr>
      </xdr:nvGrpSpPr>
      <xdr:grpSpPr>
        <a:xfrm>
          <a:off x="74295" y="33171765"/>
          <a:ext cx="306000" cy="305999"/>
          <a:chOff x="9191625" y="3009900"/>
          <a:chExt cx="324000" cy="325465"/>
        </a:xfrm>
      </xdr:grpSpPr>
      <xdr:sp macro="" textlink="">
        <xdr:nvSpPr>
          <xdr:cNvPr id="45" name="Rechteck 44">
            <a:extLst>
              <a:ext uri="{FF2B5EF4-FFF2-40B4-BE49-F238E27FC236}">
                <a16:creationId xmlns:a16="http://schemas.microsoft.com/office/drawing/2014/main" id="{00000000-0008-0000-2400-00002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6" name="Pfeil nach links 45">
            <a:extLst>
              <a:ext uri="{FF2B5EF4-FFF2-40B4-BE49-F238E27FC236}">
                <a16:creationId xmlns:a16="http://schemas.microsoft.com/office/drawing/2014/main" id="{00000000-0008-0000-2400-00002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184</xdr:row>
      <xdr:rowOff>9525</xdr:rowOff>
    </xdr:from>
    <xdr:to>
      <xdr:col>1</xdr:col>
      <xdr:colOff>372675</xdr:colOff>
      <xdr:row>185</xdr:row>
      <xdr:rowOff>10725</xdr:rowOff>
    </xdr:to>
    <xdr:grpSp>
      <xdr:nvGrpSpPr>
        <xdr:cNvPr id="47" name="Gruppieren 46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2400-00002F000000}"/>
            </a:ext>
          </a:extLst>
        </xdr:cNvPr>
        <xdr:cNvGrpSpPr>
          <a:grpSpLocks noChangeAspect="1"/>
        </xdr:cNvGrpSpPr>
      </xdr:nvGrpSpPr>
      <xdr:grpSpPr>
        <a:xfrm>
          <a:off x="74295" y="35427285"/>
          <a:ext cx="306000" cy="306000"/>
          <a:chOff x="9191625" y="3009900"/>
          <a:chExt cx="324000" cy="325465"/>
        </a:xfrm>
      </xdr:grpSpPr>
      <xdr:sp macro="" textlink="">
        <xdr:nvSpPr>
          <xdr:cNvPr id="48" name="Rechteck 47">
            <a:extLst>
              <a:ext uri="{FF2B5EF4-FFF2-40B4-BE49-F238E27FC236}">
                <a16:creationId xmlns:a16="http://schemas.microsoft.com/office/drawing/2014/main" id="{00000000-0008-0000-2400-00003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49" name="Pfeil nach links 48">
            <a:extLst>
              <a:ext uri="{FF2B5EF4-FFF2-40B4-BE49-F238E27FC236}">
                <a16:creationId xmlns:a16="http://schemas.microsoft.com/office/drawing/2014/main" id="{00000000-0008-0000-2400-00003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196</xdr:row>
      <xdr:rowOff>9525</xdr:rowOff>
    </xdr:from>
    <xdr:to>
      <xdr:col>1</xdr:col>
      <xdr:colOff>372675</xdr:colOff>
      <xdr:row>197</xdr:row>
      <xdr:rowOff>10726</xdr:rowOff>
    </xdr:to>
    <xdr:grpSp>
      <xdr:nvGrpSpPr>
        <xdr:cNvPr id="50" name="Gruppieren 4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2400-000032000000}"/>
            </a:ext>
          </a:extLst>
        </xdr:cNvPr>
        <xdr:cNvGrpSpPr>
          <a:grpSpLocks noChangeAspect="1"/>
        </xdr:cNvGrpSpPr>
      </xdr:nvGrpSpPr>
      <xdr:grpSpPr>
        <a:xfrm>
          <a:off x="74295" y="37682805"/>
          <a:ext cx="306000" cy="306001"/>
          <a:chOff x="9191625" y="3009900"/>
          <a:chExt cx="324000" cy="325465"/>
        </a:xfrm>
      </xdr:grpSpPr>
      <xdr:sp macro="" textlink="">
        <xdr:nvSpPr>
          <xdr:cNvPr id="51" name="Rechteck 50">
            <a:extLst>
              <a:ext uri="{FF2B5EF4-FFF2-40B4-BE49-F238E27FC236}">
                <a16:creationId xmlns:a16="http://schemas.microsoft.com/office/drawing/2014/main" id="{00000000-0008-0000-2400-00003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2" name="Pfeil nach links 51">
            <a:extLst>
              <a:ext uri="{FF2B5EF4-FFF2-40B4-BE49-F238E27FC236}">
                <a16:creationId xmlns:a16="http://schemas.microsoft.com/office/drawing/2014/main" id="{00000000-0008-0000-2400-00003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208</xdr:row>
      <xdr:rowOff>9525</xdr:rowOff>
    </xdr:from>
    <xdr:to>
      <xdr:col>1</xdr:col>
      <xdr:colOff>372675</xdr:colOff>
      <xdr:row>209</xdr:row>
      <xdr:rowOff>10724</xdr:rowOff>
    </xdr:to>
    <xdr:grpSp>
      <xdr:nvGrpSpPr>
        <xdr:cNvPr id="53" name="Gruppieren 52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2400-000035000000}"/>
            </a:ext>
          </a:extLst>
        </xdr:cNvPr>
        <xdr:cNvGrpSpPr>
          <a:grpSpLocks noChangeAspect="1"/>
        </xdr:cNvGrpSpPr>
      </xdr:nvGrpSpPr>
      <xdr:grpSpPr>
        <a:xfrm>
          <a:off x="74295" y="39938325"/>
          <a:ext cx="306000" cy="305999"/>
          <a:chOff x="9191625" y="3009900"/>
          <a:chExt cx="324000" cy="325465"/>
        </a:xfrm>
      </xdr:grpSpPr>
      <xdr:sp macro="" textlink="">
        <xdr:nvSpPr>
          <xdr:cNvPr id="54" name="Rechteck 53">
            <a:extLst>
              <a:ext uri="{FF2B5EF4-FFF2-40B4-BE49-F238E27FC236}">
                <a16:creationId xmlns:a16="http://schemas.microsoft.com/office/drawing/2014/main" id="{00000000-0008-0000-2400-00003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5" name="Pfeil nach links 54">
            <a:extLst>
              <a:ext uri="{FF2B5EF4-FFF2-40B4-BE49-F238E27FC236}">
                <a16:creationId xmlns:a16="http://schemas.microsoft.com/office/drawing/2014/main" id="{00000000-0008-0000-2400-00003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220</xdr:row>
      <xdr:rowOff>9525</xdr:rowOff>
    </xdr:from>
    <xdr:to>
      <xdr:col>1</xdr:col>
      <xdr:colOff>372675</xdr:colOff>
      <xdr:row>221</xdr:row>
      <xdr:rowOff>10725</xdr:rowOff>
    </xdr:to>
    <xdr:grpSp>
      <xdr:nvGrpSpPr>
        <xdr:cNvPr id="56" name="Gruppieren 55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2400-000038000000}"/>
            </a:ext>
          </a:extLst>
        </xdr:cNvPr>
        <xdr:cNvGrpSpPr>
          <a:grpSpLocks noChangeAspect="1"/>
        </xdr:cNvGrpSpPr>
      </xdr:nvGrpSpPr>
      <xdr:grpSpPr>
        <a:xfrm>
          <a:off x="74295" y="42193845"/>
          <a:ext cx="306000" cy="306000"/>
          <a:chOff x="9191625" y="3009900"/>
          <a:chExt cx="324000" cy="325465"/>
        </a:xfrm>
      </xdr:grpSpPr>
      <xdr:sp macro="" textlink="">
        <xdr:nvSpPr>
          <xdr:cNvPr id="57" name="Rechteck 56">
            <a:extLst>
              <a:ext uri="{FF2B5EF4-FFF2-40B4-BE49-F238E27FC236}">
                <a16:creationId xmlns:a16="http://schemas.microsoft.com/office/drawing/2014/main" id="{00000000-0008-0000-2400-00003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8" name="Pfeil nach links 57">
            <a:extLst>
              <a:ext uri="{FF2B5EF4-FFF2-40B4-BE49-F238E27FC236}">
                <a16:creationId xmlns:a16="http://schemas.microsoft.com/office/drawing/2014/main" id="{00000000-0008-0000-2400-00003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232</xdr:row>
      <xdr:rowOff>9525</xdr:rowOff>
    </xdr:from>
    <xdr:to>
      <xdr:col>1</xdr:col>
      <xdr:colOff>372675</xdr:colOff>
      <xdr:row>233</xdr:row>
      <xdr:rowOff>10726</xdr:rowOff>
    </xdr:to>
    <xdr:grpSp>
      <xdr:nvGrpSpPr>
        <xdr:cNvPr id="59" name="Gruppieren 58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2400-00003B000000}"/>
            </a:ext>
          </a:extLst>
        </xdr:cNvPr>
        <xdr:cNvGrpSpPr>
          <a:grpSpLocks noChangeAspect="1"/>
        </xdr:cNvGrpSpPr>
      </xdr:nvGrpSpPr>
      <xdr:grpSpPr>
        <a:xfrm>
          <a:off x="74295" y="44449365"/>
          <a:ext cx="306000" cy="306001"/>
          <a:chOff x="9191625" y="3009900"/>
          <a:chExt cx="324000" cy="325465"/>
        </a:xfrm>
      </xdr:grpSpPr>
      <xdr:sp macro="" textlink="">
        <xdr:nvSpPr>
          <xdr:cNvPr id="60" name="Rechteck 59">
            <a:extLst>
              <a:ext uri="{FF2B5EF4-FFF2-40B4-BE49-F238E27FC236}">
                <a16:creationId xmlns:a16="http://schemas.microsoft.com/office/drawing/2014/main" id="{00000000-0008-0000-2400-00003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1" name="Pfeil nach links 60">
            <a:extLst>
              <a:ext uri="{FF2B5EF4-FFF2-40B4-BE49-F238E27FC236}">
                <a16:creationId xmlns:a16="http://schemas.microsoft.com/office/drawing/2014/main" id="{00000000-0008-0000-2400-00003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244</xdr:row>
      <xdr:rowOff>9525</xdr:rowOff>
    </xdr:from>
    <xdr:to>
      <xdr:col>1</xdr:col>
      <xdr:colOff>372675</xdr:colOff>
      <xdr:row>245</xdr:row>
      <xdr:rowOff>10726</xdr:rowOff>
    </xdr:to>
    <xdr:grpSp>
      <xdr:nvGrpSpPr>
        <xdr:cNvPr id="62" name="Gruppieren 61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2400-00003E000000}"/>
            </a:ext>
          </a:extLst>
        </xdr:cNvPr>
        <xdr:cNvGrpSpPr>
          <a:grpSpLocks noChangeAspect="1"/>
        </xdr:cNvGrpSpPr>
      </xdr:nvGrpSpPr>
      <xdr:grpSpPr>
        <a:xfrm>
          <a:off x="74295" y="46704885"/>
          <a:ext cx="306000" cy="306001"/>
          <a:chOff x="9191625" y="3009900"/>
          <a:chExt cx="324000" cy="325465"/>
        </a:xfrm>
      </xdr:grpSpPr>
      <xdr:sp macro="" textlink="">
        <xdr:nvSpPr>
          <xdr:cNvPr id="63" name="Rechteck 62">
            <a:extLst>
              <a:ext uri="{FF2B5EF4-FFF2-40B4-BE49-F238E27FC236}">
                <a16:creationId xmlns:a16="http://schemas.microsoft.com/office/drawing/2014/main" id="{00000000-0008-0000-2400-00003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4" name="Pfeil nach links 63">
            <a:extLst>
              <a:ext uri="{FF2B5EF4-FFF2-40B4-BE49-F238E27FC236}">
                <a16:creationId xmlns:a16="http://schemas.microsoft.com/office/drawing/2014/main" id="{00000000-0008-0000-2400-00004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256</xdr:row>
      <xdr:rowOff>9525</xdr:rowOff>
    </xdr:from>
    <xdr:to>
      <xdr:col>1</xdr:col>
      <xdr:colOff>372675</xdr:colOff>
      <xdr:row>257</xdr:row>
      <xdr:rowOff>10724</xdr:rowOff>
    </xdr:to>
    <xdr:grpSp>
      <xdr:nvGrpSpPr>
        <xdr:cNvPr id="65" name="Gruppieren 64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2400-000041000000}"/>
            </a:ext>
          </a:extLst>
        </xdr:cNvPr>
        <xdr:cNvGrpSpPr>
          <a:grpSpLocks noChangeAspect="1"/>
        </xdr:cNvGrpSpPr>
      </xdr:nvGrpSpPr>
      <xdr:grpSpPr>
        <a:xfrm>
          <a:off x="74295" y="48960405"/>
          <a:ext cx="306000" cy="305999"/>
          <a:chOff x="9191625" y="3009900"/>
          <a:chExt cx="324000" cy="325465"/>
        </a:xfrm>
      </xdr:grpSpPr>
      <xdr:sp macro="" textlink="">
        <xdr:nvSpPr>
          <xdr:cNvPr id="66" name="Rechteck 65">
            <a:extLst>
              <a:ext uri="{FF2B5EF4-FFF2-40B4-BE49-F238E27FC236}">
                <a16:creationId xmlns:a16="http://schemas.microsoft.com/office/drawing/2014/main" id="{00000000-0008-0000-2400-00004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67" name="Pfeil nach links 66">
            <a:extLst>
              <a:ext uri="{FF2B5EF4-FFF2-40B4-BE49-F238E27FC236}">
                <a16:creationId xmlns:a16="http://schemas.microsoft.com/office/drawing/2014/main" id="{00000000-0008-0000-2400-00004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268</xdr:row>
      <xdr:rowOff>9525</xdr:rowOff>
    </xdr:from>
    <xdr:to>
      <xdr:col>1</xdr:col>
      <xdr:colOff>372675</xdr:colOff>
      <xdr:row>269</xdr:row>
      <xdr:rowOff>10725</xdr:rowOff>
    </xdr:to>
    <xdr:grpSp>
      <xdr:nvGrpSpPr>
        <xdr:cNvPr id="68" name="Gruppieren 67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2400-000044000000}"/>
            </a:ext>
          </a:extLst>
        </xdr:cNvPr>
        <xdr:cNvGrpSpPr>
          <a:grpSpLocks noChangeAspect="1"/>
        </xdr:cNvGrpSpPr>
      </xdr:nvGrpSpPr>
      <xdr:grpSpPr>
        <a:xfrm>
          <a:off x="74295" y="51215925"/>
          <a:ext cx="306000" cy="306000"/>
          <a:chOff x="9191625" y="3009900"/>
          <a:chExt cx="324000" cy="325465"/>
        </a:xfrm>
      </xdr:grpSpPr>
      <xdr:sp macro="" textlink="">
        <xdr:nvSpPr>
          <xdr:cNvPr id="69" name="Rechteck 68">
            <a:extLst>
              <a:ext uri="{FF2B5EF4-FFF2-40B4-BE49-F238E27FC236}">
                <a16:creationId xmlns:a16="http://schemas.microsoft.com/office/drawing/2014/main" id="{00000000-0008-0000-2400-00004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0" name="Pfeil nach links 69">
            <a:extLst>
              <a:ext uri="{FF2B5EF4-FFF2-40B4-BE49-F238E27FC236}">
                <a16:creationId xmlns:a16="http://schemas.microsoft.com/office/drawing/2014/main" id="{00000000-0008-0000-2400-00004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280</xdr:row>
      <xdr:rowOff>9525</xdr:rowOff>
    </xdr:from>
    <xdr:to>
      <xdr:col>1</xdr:col>
      <xdr:colOff>372675</xdr:colOff>
      <xdr:row>281</xdr:row>
      <xdr:rowOff>10726</xdr:rowOff>
    </xdr:to>
    <xdr:grpSp>
      <xdr:nvGrpSpPr>
        <xdr:cNvPr id="71" name="Gruppieren 70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2400-000047000000}"/>
            </a:ext>
          </a:extLst>
        </xdr:cNvPr>
        <xdr:cNvGrpSpPr>
          <a:grpSpLocks noChangeAspect="1"/>
        </xdr:cNvGrpSpPr>
      </xdr:nvGrpSpPr>
      <xdr:grpSpPr>
        <a:xfrm>
          <a:off x="74295" y="53471445"/>
          <a:ext cx="306000" cy="306001"/>
          <a:chOff x="9191625" y="3009900"/>
          <a:chExt cx="324000" cy="325465"/>
        </a:xfrm>
      </xdr:grpSpPr>
      <xdr:sp macro="" textlink="">
        <xdr:nvSpPr>
          <xdr:cNvPr id="72" name="Rechteck 71">
            <a:extLst>
              <a:ext uri="{FF2B5EF4-FFF2-40B4-BE49-F238E27FC236}">
                <a16:creationId xmlns:a16="http://schemas.microsoft.com/office/drawing/2014/main" id="{00000000-0008-0000-2400-00004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3" name="Pfeil nach links 72">
            <a:extLst>
              <a:ext uri="{FF2B5EF4-FFF2-40B4-BE49-F238E27FC236}">
                <a16:creationId xmlns:a16="http://schemas.microsoft.com/office/drawing/2014/main" id="{00000000-0008-0000-2400-00004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292</xdr:row>
      <xdr:rowOff>9525</xdr:rowOff>
    </xdr:from>
    <xdr:to>
      <xdr:col>1</xdr:col>
      <xdr:colOff>372675</xdr:colOff>
      <xdr:row>293</xdr:row>
      <xdr:rowOff>10726</xdr:rowOff>
    </xdr:to>
    <xdr:grpSp>
      <xdr:nvGrpSpPr>
        <xdr:cNvPr id="74" name="Gruppieren 73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2400-00004A000000}"/>
            </a:ext>
          </a:extLst>
        </xdr:cNvPr>
        <xdr:cNvGrpSpPr>
          <a:grpSpLocks noChangeAspect="1"/>
        </xdr:cNvGrpSpPr>
      </xdr:nvGrpSpPr>
      <xdr:grpSpPr>
        <a:xfrm>
          <a:off x="74295" y="55726965"/>
          <a:ext cx="306000" cy="306001"/>
          <a:chOff x="9191625" y="3009900"/>
          <a:chExt cx="324000" cy="325465"/>
        </a:xfrm>
      </xdr:grpSpPr>
      <xdr:sp macro="" textlink="">
        <xdr:nvSpPr>
          <xdr:cNvPr id="75" name="Rechteck 74">
            <a:extLst>
              <a:ext uri="{FF2B5EF4-FFF2-40B4-BE49-F238E27FC236}">
                <a16:creationId xmlns:a16="http://schemas.microsoft.com/office/drawing/2014/main" id="{00000000-0008-0000-2400-00004B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6" name="Pfeil nach links 75">
            <a:extLst>
              <a:ext uri="{FF2B5EF4-FFF2-40B4-BE49-F238E27FC236}">
                <a16:creationId xmlns:a16="http://schemas.microsoft.com/office/drawing/2014/main" id="{00000000-0008-0000-2400-00004C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304</xdr:row>
      <xdr:rowOff>9525</xdr:rowOff>
    </xdr:from>
    <xdr:to>
      <xdr:col>1</xdr:col>
      <xdr:colOff>372675</xdr:colOff>
      <xdr:row>305</xdr:row>
      <xdr:rowOff>10724</xdr:rowOff>
    </xdr:to>
    <xdr:grpSp>
      <xdr:nvGrpSpPr>
        <xdr:cNvPr id="77" name="Gruppieren 76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2400-00004D000000}"/>
            </a:ext>
          </a:extLst>
        </xdr:cNvPr>
        <xdr:cNvGrpSpPr>
          <a:grpSpLocks noChangeAspect="1"/>
        </xdr:cNvGrpSpPr>
      </xdr:nvGrpSpPr>
      <xdr:grpSpPr>
        <a:xfrm>
          <a:off x="74295" y="57982485"/>
          <a:ext cx="306000" cy="305999"/>
          <a:chOff x="9191625" y="3009900"/>
          <a:chExt cx="324000" cy="325465"/>
        </a:xfrm>
      </xdr:grpSpPr>
      <xdr:sp macro="" textlink="">
        <xdr:nvSpPr>
          <xdr:cNvPr id="78" name="Rechteck 77">
            <a:extLst>
              <a:ext uri="{FF2B5EF4-FFF2-40B4-BE49-F238E27FC236}">
                <a16:creationId xmlns:a16="http://schemas.microsoft.com/office/drawing/2014/main" id="{00000000-0008-0000-2400-00004E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79" name="Pfeil nach links 78">
            <a:extLst>
              <a:ext uri="{FF2B5EF4-FFF2-40B4-BE49-F238E27FC236}">
                <a16:creationId xmlns:a16="http://schemas.microsoft.com/office/drawing/2014/main" id="{00000000-0008-0000-2400-00004F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316</xdr:row>
      <xdr:rowOff>9525</xdr:rowOff>
    </xdr:from>
    <xdr:to>
      <xdr:col>1</xdr:col>
      <xdr:colOff>372675</xdr:colOff>
      <xdr:row>317</xdr:row>
      <xdr:rowOff>10725</xdr:rowOff>
    </xdr:to>
    <xdr:grpSp>
      <xdr:nvGrpSpPr>
        <xdr:cNvPr id="80" name="Gruppieren 79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2400-000050000000}"/>
            </a:ext>
          </a:extLst>
        </xdr:cNvPr>
        <xdr:cNvGrpSpPr>
          <a:grpSpLocks noChangeAspect="1"/>
        </xdr:cNvGrpSpPr>
      </xdr:nvGrpSpPr>
      <xdr:grpSpPr>
        <a:xfrm>
          <a:off x="74295" y="60238005"/>
          <a:ext cx="306000" cy="306000"/>
          <a:chOff x="9191625" y="3009900"/>
          <a:chExt cx="324000" cy="325465"/>
        </a:xfrm>
      </xdr:grpSpPr>
      <xdr:sp macro="" textlink="">
        <xdr:nvSpPr>
          <xdr:cNvPr id="81" name="Rechteck 80">
            <a:extLst>
              <a:ext uri="{FF2B5EF4-FFF2-40B4-BE49-F238E27FC236}">
                <a16:creationId xmlns:a16="http://schemas.microsoft.com/office/drawing/2014/main" id="{00000000-0008-0000-2400-000051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2" name="Pfeil nach links 81">
            <a:extLst>
              <a:ext uri="{FF2B5EF4-FFF2-40B4-BE49-F238E27FC236}">
                <a16:creationId xmlns:a16="http://schemas.microsoft.com/office/drawing/2014/main" id="{00000000-0008-0000-2400-000052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328</xdr:row>
      <xdr:rowOff>9525</xdr:rowOff>
    </xdr:from>
    <xdr:to>
      <xdr:col>1</xdr:col>
      <xdr:colOff>372675</xdr:colOff>
      <xdr:row>329</xdr:row>
      <xdr:rowOff>10726</xdr:rowOff>
    </xdr:to>
    <xdr:grpSp>
      <xdr:nvGrpSpPr>
        <xdr:cNvPr id="83" name="Gruppieren 82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2400-000053000000}"/>
            </a:ext>
          </a:extLst>
        </xdr:cNvPr>
        <xdr:cNvGrpSpPr>
          <a:grpSpLocks noChangeAspect="1"/>
        </xdr:cNvGrpSpPr>
      </xdr:nvGrpSpPr>
      <xdr:grpSpPr>
        <a:xfrm>
          <a:off x="74295" y="62493525"/>
          <a:ext cx="306000" cy="306001"/>
          <a:chOff x="9191625" y="3009900"/>
          <a:chExt cx="324000" cy="325465"/>
        </a:xfrm>
      </xdr:grpSpPr>
      <xdr:sp macro="" textlink="">
        <xdr:nvSpPr>
          <xdr:cNvPr id="84" name="Rechteck 83">
            <a:extLst>
              <a:ext uri="{FF2B5EF4-FFF2-40B4-BE49-F238E27FC236}">
                <a16:creationId xmlns:a16="http://schemas.microsoft.com/office/drawing/2014/main" id="{00000000-0008-0000-2400-000054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5" name="Pfeil nach links 84">
            <a:extLst>
              <a:ext uri="{FF2B5EF4-FFF2-40B4-BE49-F238E27FC236}">
                <a16:creationId xmlns:a16="http://schemas.microsoft.com/office/drawing/2014/main" id="{00000000-0008-0000-2400-000055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340</xdr:row>
      <xdr:rowOff>9525</xdr:rowOff>
    </xdr:from>
    <xdr:to>
      <xdr:col>1</xdr:col>
      <xdr:colOff>372675</xdr:colOff>
      <xdr:row>341</xdr:row>
      <xdr:rowOff>10726</xdr:rowOff>
    </xdr:to>
    <xdr:grpSp>
      <xdr:nvGrpSpPr>
        <xdr:cNvPr id="86" name="Gruppieren 85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2400-000056000000}"/>
            </a:ext>
          </a:extLst>
        </xdr:cNvPr>
        <xdr:cNvGrpSpPr>
          <a:grpSpLocks noChangeAspect="1"/>
        </xdr:cNvGrpSpPr>
      </xdr:nvGrpSpPr>
      <xdr:grpSpPr>
        <a:xfrm>
          <a:off x="74295" y="64749045"/>
          <a:ext cx="306000" cy="306001"/>
          <a:chOff x="9191625" y="3009900"/>
          <a:chExt cx="324000" cy="325465"/>
        </a:xfrm>
      </xdr:grpSpPr>
      <xdr:sp macro="" textlink="">
        <xdr:nvSpPr>
          <xdr:cNvPr id="87" name="Rechteck 86">
            <a:extLst>
              <a:ext uri="{FF2B5EF4-FFF2-40B4-BE49-F238E27FC236}">
                <a16:creationId xmlns:a16="http://schemas.microsoft.com/office/drawing/2014/main" id="{00000000-0008-0000-2400-000057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88" name="Pfeil nach links 87">
            <a:extLst>
              <a:ext uri="{FF2B5EF4-FFF2-40B4-BE49-F238E27FC236}">
                <a16:creationId xmlns:a16="http://schemas.microsoft.com/office/drawing/2014/main" id="{00000000-0008-0000-2400-000058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352</xdr:row>
      <xdr:rowOff>9525</xdr:rowOff>
    </xdr:from>
    <xdr:to>
      <xdr:col>1</xdr:col>
      <xdr:colOff>372675</xdr:colOff>
      <xdr:row>353</xdr:row>
      <xdr:rowOff>10724</xdr:rowOff>
    </xdr:to>
    <xdr:grpSp>
      <xdr:nvGrpSpPr>
        <xdr:cNvPr id="89" name="Gruppieren 88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00000000-0008-0000-2400-000059000000}"/>
            </a:ext>
          </a:extLst>
        </xdr:cNvPr>
        <xdr:cNvGrpSpPr>
          <a:grpSpLocks noChangeAspect="1"/>
        </xdr:cNvGrpSpPr>
      </xdr:nvGrpSpPr>
      <xdr:grpSpPr>
        <a:xfrm>
          <a:off x="74295" y="67004565"/>
          <a:ext cx="306000" cy="305999"/>
          <a:chOff x="9191625" y="3009900"/>
          <a:chExt cx="324000" cy="325465"/>
        </a:xfrm>
      </xdr:grpSpPr>
      <xdr:sp macro="" textlink="">
        <xdr:nvSpPr>
          <xdr:cNvPr id="90" name="Rechteck 89">
            <a:extLst>
              <a:ext uri="{FF2B5EF4-FFF2-40B4-BE49-F238E27FC236}">
                <a16:creationId xmlns:a16="http://schemas.microsoft.com/office/drawing/2014/main" id="{00000000-0008-0000-2400-00005A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1" name="Pfeil nach links 90">
            <a:extLst>
              <a:ext uri="{FF2B5EF4-FFF2-40B4-BE49-F238E27FC236}">
                <a16:creationId xmlns:a16="http://schemas.microsoft.com/office/drawing/2014/main" id="{00000000-0008-0000-2400-00005B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364</xdr:row>
      <xdr:rowOff>9525</xdr:rowOff>
    </xdr:from>
    <xdr:to>
      <xdr:col>1</xdr:col>
      <xdr:colOff>372675</xdr:colOff>
      <xdr:row>365</xdr:row>
      <xdr:rowOff>10725</xdr:rowOff>
    </xdr:to>
    <xdr:grpSp>
      <xdr:nvGrpSpPr>
        <xdr:cNvPr id="92" name="Gruppieren 91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00000000-0008-0000-2400-00005C000000}"/>
            </a:ext>
          </a:extLst>
        </xdr:cNvPr>
        <xdr:cNvGrpSpPr>
          <a:grpSpLocks noChangeAspect="1"/>
        </xdr:cNvGrpSpPr>
      </xdr:nvGrpSpPr>
      <xdr:grpSpPr>
        <a:xfrm>
          <a:off x="74295" y="69260085"/>
          <a:ext cx="306000" cy="306000"/>
          <a:chOff x="9191625" y="3009900"/>
          <a:chExt cx="324000" cy="325465"/>
        </a:xfrm>
      </xdr:grpSpPr>
      <xdr:sp macro="" textlink="">
        <xdr:nvSpPr>
          <xdr:cNvPr id="93" name="Rechteck 92">
            <a:extLst>
              <a:ext uri="{FF2B5EF4-FFF2-40B4-BE49-F238E27FC236}">
                <a16:creationId xmlns:a16="http://schemas.microsoft.com/office/drawing/2014/main" id="{00000000-0008-0000-2400-00005D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4" name="Pfeil nach links 93">
            <a:extLst>
              <a:ext uri="{FF2B5EF4-FFF2-40B4-BE49-F238E27FC236}">
                <a16:creationId xmlns:a16="http://schemas.microsoft.com/office/drawing/2014/main" id="{00000000-0008-0000-2400-00005E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376</xdr:row>
      <xdr:rowOff>9525</xdr:rowOff>
    </xdr:from>
    <xdr:to>
      <xdr:col>1</xdr:col>
      <xdr:colOff>372675</xdr:colOff>
      <xdr:row>377</xdr:row>
      <xdr:rowOff>10726</xdr:rowOff>
    </xdr:to>
    <xdr:grpSp>
      <xdr:nvGrpSpPr>
        <xdr:cNvPr id="95" name="Gruppieren 94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00000000-0008-0000-2400-00005F000000}"/>
            </a:ext>
          </a:extLst>
        </xdr:cNvPr>
        <xdr:cNvGrpSpPr>
          <a:grpSpLocks noChangeAspect="1"/>
        </xdr:cNvGrpSpPr>
      </xdr:nvGrpSpPr>
      <xdr:grpSpPr>
        <a:xfrm>
          <a:off x="74295" y="71515605"/>
          <a:ext cx="306000" cy="306001"/>
          <a:chOff x="9191625" y="3009900"/>
          <a:chExt cx="324000" cy="325465"/>
        </a:xfrm>
      </xdr:grpSpPr>
      <xdr:sp macro="" textlink="">
        <xdr:nvSpPr>
          <xdr:cNvPr id="96" name="Rechteck 95">
            <a:extLst>
              <a:ext uri="{FF2B5EF4-FFF2-40B4-BE49-F238E27FC236}">
                <a16:creationId xmlns:a16="http://schemas.microsoft.com/office/drawing/2014/main" id="{00000000-0008-0000-2400-000060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97" name="Pfeil nach links 96">
            <a:extLst>
              <a:ext uri="{FF2B5EF4-FFF2-40B4-BE49-F238E27FC236}">
                <a16:creationId xmlns:a16="http://schemas.microsoft.com/office/drawing/2014/main" id="{00000000-0008-0000-2400-000061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388</xdr:row>
      <xdr:rowOff>9525</xdr:rowOff>
    </xdr:from>
    <xdr:to>
      <xdr:col>1</xdr:col>
      <xdr:colOff>372675</xdr:colOff>
      <xdr:row>389</xdr:row>
      <xdr:rowOff>10726</xdr:rowOff>
    </xdr:to>
    <xdr:grpSp>
      <xdr:nvGrpSpPr>
        <xdr:cNvPr id="98" name="Gruppieren 97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0000000-0008-0000-2400-000062000000}"/>
            </a:ext>
          </a:extLst>
        </xdr:cNvPr>
        <xdr:cNvGrpSpPr>
          <a:grpSpLocks noChangeAspect="1"/>
        </xdr:cNvGrpSpPr>
      </xdr:nvGrpSpPr>
      <xdr:grpSpPr>
        <a:xfrm>
          <a:off x="74295" y="73771125"/>
          <a:ext cx="306000" cy="306001"/>
          <a:chOff x="9191625" y="3009900"/>
          <a:chExt cx="324000" cy="325465"/>
        </a:xfrm>
      </xdr:grpSpPr>
      <xdr:sp macro="" textlink="">
        <xdr:nvSpPr>
          <xdr:cNvPr id="99" name="Rechteck 98">
            <a:extLst>
              <a:ext uri="{FF2B5EF4-FFF2-40B4-BE49-F238E27FC236}">
                <a16:creationId xmlns:a16="http://schemas.microsoft.com/office/drawing/2014/main" id="{00000000-0008-0000-2400-000063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0" name="Pfeil nach links 99">
            <a:extLst>
              <a:ext uri="{FF2B5EF4-FFF2-40B4-BE49-F238E27FC236}">
                <a16:creationId xmlns:a16="http://schemas.microsoft.com/office/drawing/2014/main" id="{00000000-0008-0000-2400-000064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400</xdr:row>
      <xdr:rowOff>9525</xdr:rowOff>
    </xdr:from>
    <xdr:to>
      <xdr:col>1</xdr:col>
      <xdr:colOff>372675</xdr:colOff>
      <xdr:row>401</xdr:row>
      <xdr:rowOff>10724</xdr:rowOff>
    </xdr:to>
    <xdr:grpSp>
      <xdr:nvGrpSpPr>
        <xdr:cNvPr id="101" name="Gruppieren 100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00000000-0008-0000-2400-000065000000}"/>
            </a:ext>
          </a:extLst>
        </xdr:cNvPr>
        <xdr:cNvGrpSpPr>
          <a:grpSpLocks noChangeAspect="1"/>
        </xdr:cNvGrpSpPr>
      </xdr:nvGrpSpPr>
      <xdr:grpSpPr>
        <a:xfrm>
          <a:off x="74295" y="76026645"/>
          <a:ext cx="306000" cy="305999"/>
          <a:chOff x="9191625" y="3009900"/>
          <a:chExt cx="324000" cy="325465"/>
        </a:xfrm>
      </xdr:grpSpPr>
      <xdr:sp macro="" textlink="">
        <xdr:nvSpPr>
          <xdr:cNvPr id="102" name="Rechteck 101">
            <a:extLst>
              <a:ext uri="{FF2B5EF4-FFF2-40B4-BE49-F238E27FC236}">
                <a16:creationId xmlns:a16="http://schemas.microsoft.com/office/drawing/2014/main" id="{00000000-0008-0000-2400-000066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3" name="Pfeil nach links 102">
            <a:extLst>
              <a:ext uri="{FF2B5EF4-FFF2-40B4-BE49-F238E27FC236}">
                <a16:creationId xmlns:a16="http://schemas.microsoft.com/office/drawing/2014/main" id="{00000000-0008-0000-2400-000067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412</xdr:row>
      <xdr:rowOff>9525</xdr:rowOff>
    </xdr:from>
    <xdr:to>
      <xdr:col>1</xdr:col>
      <xdr:colOff>372675</xdr:colOff>
      <xdr:row>413</xdr:row>
      <xdr:rowOff>10725</xdr:rowOff>
    </xdr:to>
    <xdr:grpSp>
      <xdr:nvGrpSpPr>
        <xdr:cNvPr id="104" name="Gruppieren 103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0000000-0008-0000-2400-000068000000}"/>
            </a:ext>
          </a:extLst>
        </xdr:cNvPr>
        <xdr:cNvGrpSpPr>
          <a:grpSpLocks noChangeAspect="1"/>
        </xdr:cNvGrpSpPr>
      </xdr:nvGrpSpPr>
      <xdr:grpSpPr>
        <a:xfrm>
          <a:off x="74295" y="78282165"/>
          <a:ext cx="306000" cy="306000"/>
          <a:chOff x="9191625" y="3009900"/>
          <a:chExt cx="324000" cy="325465"/>
        </a:xfrm>
      </xdr:grpSpPr>
      <xdr:sp macro="" textlink="">
        <xdr:nvSpPr>
          <xdr:cNvPr id="105" name="Rechteck 104">
            <a:extLst>
              <a:ext uri="{FF2B5EF4-FFF2-40B4-BE49-F238E27FC236}">
                <a16:creationId xmlns:a16="http://schemas.microsoft.com/office/drawing/2014/main" id="{00000000-0008-0000-2400-000069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6" name="Pfeil nach links 105">
            <a:extLst>
              <a:ext uri="{FF2B5EF4-FFF2-40B4-BE49-F238E27FC236}">
                <a16:creationId xmlns:a16="http://schemas.microsoft.com/office/drawing/2014/main" id="{00000000-0008-0000-2400-00006A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424</xdr:row>
      <xdr:rowOff>9525</xdr:rowOff>
    </xdr:from>
    <xdr:to>
      <xdr:col>1</xdr:col>
      <xdr:colOff>372675</xdr:colOff>
      <xdr:row>425</xdr:row>
      <xdr:rowOff>10726</xdr:rowOff>
    </xdr:to>
    <xdr:grpSp>
      <xdr:nvGrpSpPr>
        <xdr:cNvPr id="107" name="Gruppieren 106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00000000-0008-0000-2400-00006B000000}"/>
            </a:ext>
          </a:extLst>
        </xdr:cNvPr>
        <xdr:cNvGrpSpPr>
          <a:grpSpLocks noChangeAspect="1"/>
        </xdr:cNvGrpSpPr>
      </xdr:nvGrpSpPr>
      <xdr:grpSpPr>
        <a:xfrm>
          <a:off x="74295" y="80537685"/>
          <a:ext cx="306000" cy="306001"/>
          <a:chOff x="9191625" y="3009900"/>
          <a:chExt cx="324000" cy="325465"/>
        </a:xfrm>
      </xdr:grpSpPr>
      <xdr:sp macro="" textlink="">
        <xdr:nvSpPr>
          <xdr:cNvPr id="108" name="Rechteck 107">
            <a:extLst>
              <a:ext uri="{FF2B5EF4-FFF2-40B4-BE49-F238E27FC236}">
                <a16:creationId xmlns:a16="http://schemas.microsoft.com/office/drawing/2014/main" id="{00000000-0008-0000-2400-00006C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9" name="Pfeil nach links 108">
            <a:extLst>
              <a:ext uri="{FF2B5EF4-FFF2-40B4-BE49-F238E27FC236}">
                <a16:creationId xmlns:a16="http://schemas.microsoft.com/office/drawing/2014/main" id="{00000000-0008-0000-2400-00006D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436</xdr:row>
      <xdr:rowOff>9525</xdr:rowOff>
    </xdr:from>
    <xdr:to>
      <xdr:col>1</xdr:col>
      <xdr:colOff>372675</xdr:colOff>
      <xdr:row>437</xdr:row>
      <xdr:rowOff>10726</xdr:rowOff>
    </xdr:to>
    <xdr:grpSp>
      <xdr:nvGrpSpPr>
        <xdr:cNvPr id="110" name="Gruppieren 109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00000000-0008-0000-2400-00006E000000}"/>
            </a:ext>
          </a:extLst>
        </xdr:cNvPr>
        <xdr:cNvGrpSpPr>
          <a:grpSpLocks noChangeAspect="1"/>
        </xdr:cNvGrpSpPr>
      </xdr:nvGrpSpPr>
      <xdr:grpSpPr>
        <a:xfrm>
          <a:off x="74295" y="82793205"/>
          <a:ext cx="306000" cy="306001"/>
          <a:chOff x="9191625" y="3009900"/>
          <a:chExt cx="324000" cy="325465"/>
        </a:xfrm>
      </xdr:grpSpPr>
      <xdr:sp macro="" textlink="">
        <xdr:nvSpPr>
          <xdr:cNvPr id="111" name="Rechteck 110">
            <a:extLst>
              <a:ext uri="{FF2B5EF4-FFF2-40B4-BE49-F238E27FC236}">
                <a16:creationId xmlns:a16="http://schemas.microsoft.com/office/drawing/2014/main" id="{00000000-0008-0000-2400-00006F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2" name="Pfeil nach links 111">
            <a:extLst>
              <a:ext uri="{FF2B5EF4-FFF2-40B4-BE49-F238E27FC236}">
                <a16:creationId xmlns:a16="http://schemas.microsoft.com/office/drawing/2014/main" id="{00000000-0008-0000-2400-000070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448</xdr:row>
      <xdr:rowOff>9525</xdr:rowOff>
    </xdr:from>
    <xdr:to>
      <xdr:col>1</xdr:col>
      <xdr:colOff>372675</xdr:colOff>
      <xdr:row>449</xdr:row>
      <xdr:rowOff>10724</xdr:rowOff>
    </xdr:to>
    <xdr:grpSp>
      <xdr:nvGrpSpPr>
        <xdr:cNvPr id="113" name="Gruppieren 112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00000000-0008-0000-2400-000071000000}"/>
            </a:ext>
          </a:extLst>
        </xdr:cNvPr>
        <xdr:cNvGrpSpPr>
          <a:grpSpLocks noChangeAspect="1"/>
        </xdr:cNvGrpSpPr>
      </xdr:nvGrpSpPr>
      <xdr:grpSpPr>
        <a:xfrm>
          <a:off x="74295" y="85048725"/>
          <a:ext cx="306000" cy="305999"/>
          <a:chOff x="9191625" y="3009900"/>
          <a:chExt cx="324000" cy="325465"/>
        </a:xfrm>
      </xdr:grpSpPr>
      <xdr:sp macro="" textlink="">
        <xdr:nvSpPr>
          <xdr:cNvPr id="114" name="Rechteck 113">
            <a:extLst>
              <a:ext uri="{FF2B5EF4-FFF2-40B4-BE49-F238E27FC236}">
                <a16:creationId xmlns:a16="http://schemas.microsoft.com/office/drawing/2014/main" id="{00000000-0008-0000-2400-000072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5" name="Pfeil nach links 114">
            <a:extLst>
              <a:ext uri="{FF2B5EF4-FFF2-40B4-BE49-F238E27FC236}">
                <a16:creationId xmlns:a16="http://schemas.microsoft.com/office/drawing/2014/main" id="{00000000-0008-0000-2400-000073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460</xdr:row>
      <xdr:rowOff>9525</xdr:rowOff>
    </xdr:from>
    <xdr:to>
      <xdr:col>1</xdr:col>
      <xdr:colOff>372675</xdr:colOff>
      <xdr:row>461</xdr:row>
      <xdr:rowOff>10725</xdr:rowOff>
    </xdr:to>
    <xdr:grpSp>
      <xdr:nvGrpSpPr>
        <xdr:cNvPr id="116" name="Gruppieren 115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00000000-0008-0000-2400-000074000000}"/>
            </a:ext>
          </a:extLst>
        </xdr:cNvPr>
        <xdr:cNvGrpSpPr>
          <a:grpSpLocks noChangeAspect="1"/>
        </xdr:cNvGrpSpPr>
      </xdr:nvGrpSpPr>
      <xdr:grpSpPr>
        <a:xfrm>
          <a:off x="74295" y="87304245"/>
          <a:ext cx="306000" cy="306000"/>
          <a:chOff x="9191625" y="3009900"/>
          <a:chExt cx="324000" cy="325465"/>
        </a:xfrm>
      </xdr:grpSpPr>
      <xdr:sp macro="" textlink="">
        <xdr:nvSpPr>
          <xdr:cNvPr id="117" name="Rechteck 116">
            <a:extLst>
              <a:ext uri="{FF2B5EF4-FFF2-40B4-BE49-F238E27FC236}">
                <a16:creationId xmlns:a16="http://schemas.microsoft.com/office/drawing/2014/main" id="{00000000-0008-0000-2400-000075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18" name="Pfeil nach links 117">
            <a:extLst>
              <a:ext uri="{FF2B5EF4-FFF2-40B4-BE49-F238E27FC236}">
                <a16:creationId xmlns:a16="http://schemas.microsoft.com/office/drawing/2014/main" id="{00000000-0008-0000-2400-000076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twoCellAnchor editAs="oneCell">
    <xdr:from>
      <xdr:col>1</xdr:col>
      <xdr:colOff>66675</xdr:colOff>
      <xdr:row>472</xdr:row>
      <xdr:rowOff>9525</xdr:rowOff>
    </xdr:from>
    <xdr:to>
      <xdr:col>1</xdr:col>
      <xdr:colOff>372675</xdr:colOff>
      <xdr:row>473</xdr:row>
      <xdr:rowOff>10726</xdr:rowOff>
    </xdr:to>
    <xdr:grpSp>
      <xdr:nvGrpSpPr>
        <xdr:cNvPr id="119" name="Gruppieren 118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00000000-0008-0000-2400-000077000000}"/>
            </a:ext>
          </a:extLst>
        </xdr:cNvPr>
        <xdr:cNvGrpSpPr>
          <a:grpSpLocks noChangeAspect="1"/>
        </xdr:cNvGrpSpPr>
      </xdr:nvGrpSpPr>
      <xdr:grpSpPr>
        <a:xfrm>
          <a:off x="74295" y="89559765"/>
          <a:ext cx="306000" cy="306001"/>
          <a:chOff x="9191625" y="3009900"/>
          <a:chExt cx="324000" cy="325465"/>
        </a:xfrm>
      </xdr:grpSpPr>
      <xdr:sp macro="" textlink="">
        <xdr:nvSpPr>
          <xdr:cNvPr id="120" name="Rechteck 119">
            <a:extLst>
              <a:ext uri="{FF2B5EF4-FFF2-40B4-BE49-F238E27FC236}">
                <a16:creationId xmlns:a16="http://schemas.microsoft.com/office/drawing/2014/main" id="{00000000-0008-0000-2400-000078000000}"/>
              </a:ext>
            </a:extLst>
          </xdr:cNvPr>
          <xdr:cNvSpPr>
            <a:spLocks noChangeAspect="1"/>
          </xdr:cNvSpPr>
        </xdr:nvSpPr>
        <xdr:spPr>
          <a:xfrm>
            <a:off x="9191625" y="3009900"/>
            <a:ext cx="324000" cy="325465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1" name="Pfeil nach links 120">
            <a:extLst>
              <a:ext uri="{FF2B5EF4-FFF2-40B4-BE49-F238E27FC236}">
                <a16:creationId xmlns:a16="http://schemas.microsoft.com/office/drawing/2014/main" id="{00000000-0008-0000-2400-000079000000}"/>
              </a:ext>
            </a:extLst>
          </xdr:cNvPr>
          <xdr:cNvSpPr>
            <a:spLocks noChangeAspect="1"/>
          </xdr:cNvSpPr>
        </xdr:nvSpPr>
        <xdr:spPr>
          <a:xfrm>
            <a:off x="9277353" y="3086100"/>
            <a:ext cx="163333" cy="180000"/>
          </a:xfrm>
          <a:prstGeom prst="leftArrow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indent="0" algn="l"/>
            <a:endParaRPr lang="de-CH" sz="1100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</xdr:grpSp>
    <xdr:clientData fPrintsWithSheet="0"/>
  </xdr:twoCellAnchor>
  <xdr:oneCellAnchor>
    <xdr:from>
      <xdr:col>3</xdr:col>
      <xdr:colOff>33617</xdr:colOff>
      <xdr:row>9</xdr:row>
      <xdr:rowOff>145677</xdr:rowOff>
    </xdr:from>
    <xdr:ext cx="2689575" cy="4508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2" name="Textfeld 121">
              <a:extLst>
                <a:ext uri="{FF2B5EF4-FFF2-40B4-BE49-F238E27FC236}">
                  <a16:creationId xmlns:a16="http://schemas.microsoft.com/office/drawing/2014/main" id="{00000000-0008-0000-2400-00007A000000}"/>
                </a:ext>
              </a:extLst>
            </xdr:cNvPr>
            <xdr:cNvSpPr txBox="1"/>
          </xdr:nvSpPr>
          <xdr:spPr>
            <a:xfrm>
              <a:off x="767042" y="2203077"/>
              <a:ext cx="2689575" cy="4508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de-CH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de-CH" sz="1100" b="0" i="1">
                            <a:latin typeface="Cambria Math"/>
                          </a:rPr>
                          <m:t>𝐴𝑏𝑠𝑎𝑡𝑧</m:t>
                        </m:r>
                        <m:r>
                          <a:rPr lang="de-CH" sz="1100" b="0" i="1">
                            <a:latin typeface="Cambria Math"/>
                          </a:rPr>
                          <m:t> </m:t>
                        </m:r>
                        <m:d>
                          <m:dPr>
                            <m:ctrlPr>
                              <a:rPr lang="de-CH" sz="11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de-CH" sz="1100" b="0" i="1">
                                <a:latin typeface="Cambria Math"/>
                              </a:rPr>
                              <m:t>𝑛𝑒𝑢</m:t>
                            </m:r>
                          </m:e>
                        </m:d>
                        <m:r>
                          <a:rPr lang="de-CH" sz="1100" b="0" i="1">
                            <a:latin typeface="Cambria Math"/>
                          </a:rPr>
                          <m:t>−</m:t>
                        </m:r>
                        <m:r>
                          <a:rPr lang="de-CH" sz="1100" b="0" i="1">
                            <a:latin typeface="Cambria Math"/>
                          </a:rPr>
                          <m:t>𝐴𝑏𝑠𝑎𝑡𝑧</m:t>
                        </m:r>
                        <m:r>
                          <a:rPr lang="de-CH" sz="1100" b="0" i="1">
                            <a:latin typeface="Cambria Math"/>
                          </a:rPr>
                          <m:t> (</m:t>
                        </m:r>
                        <m:r>
                          <a:rPr lang="de-CH" sz="1100" b="0" i="1">
                            <a:latin typeface="Cambria Math"/>
                          </a:rPr>
                          <m:t>𝑎𝑙𝑡</m:t>
                        </m:r>
                        <m:r>
                          <a:rPr lang="de-CH" sz="1100" b="0" i="1">
                            <a:latin typeface="Cambria Math"/>
                          </a:rPr>
                          <m:t>)</m:t>
                        </m:r>
                      </m:num>
                      <m:den>
                        <m:r>
                          <a:rPr lang="de-CH" sz="1100" b="0" i="1">
                            <a:latin typeface="Cambria Math"/>
                          </a:rPr>
                          <m:t>𝐴𝑏𝑠𝑎𝑡𝑧</m:t>
                        </m:r>
                        <m:r>
                          <a:rPr lang="de-CH" sz="1100" b="0" i="1">
                            <a:latin typeface="Cambria Math"/>
                          </a:rPr>
                          <m:t> (</m:t>
                        </m:r>
                        <m:r>
                          <a:rPr lang="de-CH" sz="1100" b="0" i="1">
                            <a:latin typeface="Cambria Math"/>
                          </a:rPr>
                          <m:t>𝑎𝑙𝑡</m:t>
                        </m:r>
                        <m:r>
                          <a:rPr lang="de-CH" sz="1100" b="0" i="1">
                            <a:latin typeface="Cambria Math"/>
                          </a:rPr>
                          <m:t>)</m:t>
                        </m:r>
                      </m:den>
                    </m:f>
                    <m:r>
                      <a:rPr lang="de-CH" sz="1100" b="0" i="1">
                        <a:latin typeface="Cambria Math"/>
                      </a:rPr>
                      <m:t>∗100%</m:t>
                    </m:r>
                  </m:oMath>
                </m:oMathPara>
              </a14:m>
              <a:endParaRPr lang="de-CH" sz="1100"/>
            </a:p>
          </xdr:txBody>
        </xdr:sp>
      </mc:Choice>
      <mc:Fallback xmlns="">
        <xdr:sp macro="" textlink="">
          <xdr:nvSpPr>
            <xdr:cNvPr id="122" name="Textfeld 121"/>
            <xdr:cNvSpPr txBox="1"/>
          </xdr:nvSpPr>
          <xdr:spPr>
            <a:xfrm>
              <a:off x="767042" y="2203077"/>
              <a:ext cx="2689575" cy="4508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de-CH" sz="1100" i="0">
                  <a:latin typeface="Cambria Math" panose="02040503050406030204" pitchFamily="18" charset="0"/>
                </a:rPr>
                <a:t>(</a:t>
              </a:r>
              <a:r>
                <a:rPr lang="de-CH" sz="1100" b="0" i="0">
                  <a:latin typeface="Cambria Math"/>
                </a:rPr>
                <a:t>𝐴𝑏𝑠𝑎𝑡𝑧 </a:t>
              </a:r>
              <a:r>
                <a:rPr lang="de-CH" sz="1100" b="0" i="0">
                  <a:latin typeface="Cambria Math" panose="02040503050406030204" pitchFamily="18" charset="0"/>
                </a:rPr>
                <a:t>(</a:t>
              </a:r>
              <a:r>
                <a:rPr lang="de-CH" sz="1100" b="0" i="0">
                  <a:latin typeface="Cambria Math"/>
                </a:rPr>
                <a:t>𝑛𝑒𝑢</a:t>
              </a:r>
              <a:r>
                <a:rPr lang="de-CH" sz="1100" b="0" i="0">
                  <a:latin typeface="Cambria Math" panose="02040503050406030204" pitchFamily="18" charset="0"/>
                </a:rPr>
                <a:t>)</a:t>
              </a:r>
              <a:r>
                <a:rPr lang="de-CH" sz="1100" b="0" i="0">
                  <a:latin typeface="Cambria Math"/>
                </a:rPr>
                <a:t>−𝐴𝑏𝑠𝑎𝑡𝑧 (𝑎𝑙𝑡)</a:t>
              </a:r>
              <a:r>
                <a:rPr lang="de-CH" sz="1100" b="0" i="0">
                  <a:latin typeface="Cambria Math" panose="02040503050406030204" pitchFamily="18" charset="0"/>
                </a:rPr>
                <a:t>)/(</a:t>
              </a:r>
              <a:r>
                <a:rPr lang="de-CH" sz="1100" b="0" i="0">
                  <a:latin typeface="Cambria Math"/>
                </a:rPr>
                <a:t>𝐴𝑏𝑠𝑎𝑡𝑧 (𝑎𝑙𝑡)</a:t>
              </a:r>
              <a:r>
                <a:rPr lang="de-CH" sz="1100" b="0" i="0">
                  <a:latin typeface="Cambria Math" panose="02040503050406030204" pitchFamily="18" charset="0"/>
                </a:rPr>
                <a:t>)</a:t>
              </a:r>
              <a:r>
                <a:rPr lang="de-CH" sz="1100" b="0" i="0">
                  <a:latin typeface="Cambria Math"/>
                </a:rPr>
                <a:t>∗100%</a:t>
              </a:r>
              <a:endParaRPr lang="de-CH" sz="1100"/>
            </a:p>
          </xdr:txBody>
        </xdr:sp>
      </mc:Fallback>
    </mc:AlternateContent>
    <xdr:clientData/>
  </xdr:oneCellAnchor>
  <xdr:twoCellAnchor editAs="oneCell">
    <xdr:from>
      <xdr:col>5</xdr:col>
      <xdr:colOff>104775</xdr:colOff>
      <xdr:row>1</xdr:row>
      <xdr:rowOff>57149</xdr:rowOff>
    </xdr:from>
    <xdr:to>
      <xdr:col>6</xdr:col>
      <xdr:colOff>10875</xdr:colOff>
      <xdr:row>2</xdr:row>
      <xdr:rowOff>39029</xdr:rowOff>
    </xdr:to>
    <xdr:grpSp>
      <xdr:nvGrpSpPr>
        <xdr:cNvPr id="123" name="Gruppieren 122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00000000-0008-0000-2400-00007B000000}"/>
            </a:ext>
          </a:extLst>
        </xdr:cNvPr>
        <xdr:cNvGrpSpPr/>
      </xdr:nvGrpSpPr>
      <xdr:grpSpPr>
        <a:xfrm>
          <a:off x="7778115" y="621029"/>
          <a:ext cx="180420" cy="180000"/>
          <a:chOff x="8105775" y="571500"/>
          <a:chExt cx="172800" cy="172800"/>
        </a:xfrm>
      </xdr:grpSpPr>
      <xdr:sp macro="" textlink="">
        <xdr:nvSpPr>
          <xdr:cNvPr id="124" name="Rechteck 123">
            <a:extLst>
              <a:ext uri="{FF2B5EF4-FFF2-40B4-BE49-F238E27FC236}">
                <a16:creationId xmlns:a16="http://schemas.microsoft.com/office/drawing/2014/main" id="{00000000-0008-0000-2400-00007C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25" name="Textfeld 124">
            <a:extLst>
              <a:ext uri="{FF2B5EF4-FFF2-40B4-BE49-F238E27FC236}">
                <a16:creationId xmlns:a16="http://schemas.microsoft.com/office/drawing/2014/main" id="{00000000-0008-0000-2400-00007D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1514475</xdr:colOff>
          <xdr:row>0</xdr:row>
          <xdr:rowOff>9525</xdr:rowOff>
        </xdr:from>
        <xdr:to>
          <xdr:col>5</xdr:col>
          <xdr:colOff>260985</xdr:colOff>
          <xdr:row>0</xdr:row>
          <xdr:rowOff>542925</xdr:rowOff>
        </xdr:to>
        <xdr:pic>
          <xdr:nvPicPr>
            <xdr:cNvPr id="126" name="Grafik 45">
              <a:extLst>
                <a:ext uri="{FF2B5EF4-FFF2-40B4-BE49-F238E27FC236}">
                  <a16:creationId xmlns:a16="http://schemas.microsoft.com/office/drawing/2014/main" id="{00000000-0008-0000-2400-00007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54629"/>
                </a:ext>
              </a:extLst>
            </xdr:cNvPicPr>
          </xdr:nvPicPr>
          <xdr:blipFill>
            <a:blip xmlns:r="http://schemas.openxmlformats.org/officeDocument/2006/relationships" r:embed="rId42"/>
            <a:srcRect/>
            <a:stretch>
              <a:fillRect/>
            </a:stretch>
          </xdr:blipFill>
          <xdr:spPr bwMode="auto">
            <a:xfrm>
              <a:off x="5543550" y="9525"/>
              <a:ext cx="2175510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104775</xdr:rowOff>
    </xdr:from>
    <xdr:to>
      <xdr:col>0</xdr:col>
      <xdr:colOff>419250</xdr:colOff>
      <xdr:row>2</xdr:row>
      <xdr:rowOff>64480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GrpSpPr/>
      </xdr:nvGrpSpPr>
      <xdr:grpSpPr>
        <a:xfrm>
          <a:off x="95250" y="104775"/>
          <a:ext cx="324000" cy="325465"/>
          <a:chOff x="12729063" y="1298331"/>
          <a:chExt cx="324000" cy="323267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2500-00000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25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3</xdr:col>
      <xdr:colOff>676274</xdr:colOff>
      <xdr:row>5</xdr:row>
      <xdr:rowOff>142876</xdr:rowOff>
    </xdr:from>
    <xdr:to>
      <xdr:col>3</xdr:col>
      <xdr:colOff>2141117</xdr:colOff>
      <xdr:row>5</xdr:row>
      <xdr:rowOff>392524</xdr:rowOff>
    </xdr:to>
    <xdr:pic>
      <xdr:nvPicPr>
        <xdr:cNvPr id="5" name="Grafik 6">
          <a:extLst>
            <a:ext uri="{FF2B5EF4-FFF2-40B4-BE49-F238E27FC236}">
              <a16:creationId xmlns:a16="http://schemas.microsoft.com/office/drawing/2014/main" id="{00000000-0008-0000-2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7424" y="1019176"/>
          <a:ext cx="1464843" cy="24964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Serge\Dropbox\@fileswork\@iManagement\03_ProjectManag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"/>
      <sheetName val="Projektmgmt"/>
      <sheetName val="Projektauftrag"/>
      <sheetName val="Grobplan"/>
      <sheetName val="Detailplan"/>
      <sheetName val="Detailplan_Uebersicht"/>
      <sheetName val="Projektstand"/>
      <sheetName val="Projektabschluss"/>
      <sheetName val="Projektteam"/>
      <sheetName val="Adresses"/>
      <sheetName val="Organigramm"/>
      <sheetName val="Sitzungen"/>
      <sheetName val="Projektbudget"/>
      <sheetName val="Grobkonzept"/>
      <sheetName val="Detailkonzept"/>
      <sheetName val="Projektcontrolling"/>
      <sheetName val="Notizen"/>
      <sheetName val="Swot-Analyse"/>
      <sheetName val="Risikomgmt"/>
      <sheetName val="Kommunikation"/>
      <sheetName val="Machbarkeit"/>
      <sheetName val="Fishbone"/>
      <sheetName val="Kalender"/>
      <sheetName val="Help"/>
      <sheetName val="Logo"/>
    </sheetNames>
    <sheetDataSet>
      <sheetData sheetId="0">
        <row r="4">
          <cell r="Z4">
            <v>69763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Design1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ot="0" spcFirstLastPara="0" vertOverflow="clip" horzOverflow="clip" vert="horz" wrap="square" lIns="91440" tIns="45720" rIns="91440" bIns="45720" numCol="1" spcCol="0" rtlCol="0" fromWordArt="0" anchor="ctr" anchorCtr="0" forceAA="0" compatLnSpc="1">
        <a:prstTxWarp prst="textNoShape">
          <a:avLst/>
        </a:prstTxWarp>
        <a:noAutofit/>
      </a:bodyPr>
      <a:lstStyle>
        <a:defPPr algn="ctr">
          <a:defRPr sz="1100" baseline="0"/>
        </a:defPPr>
      </a:lstStyle>
      <a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a:style>
    </a:spDef>
    <a:lnDef>
      <a:spPr>
        <a:ln>
          <a:solidFill>
            <a:schemeClr val="tx2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2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8.xml"/><Relationship Id="rId21" Type="http://schemas.openxmlformats.org/officeDocument/2006/relationships/ctrlProp" Target="../ctrlProps/ctrlProp22.xml"/><Relationship Id="rId42" Type="http://schemas.openxmlformats.org/officeDocument/2006/relationships/ctrlProp" Target="../ctrlProps/ctrlProp43.xml"/><Relationship Id="rId63" Type="http://schemas.openxmlformats.org/officeDocument/2006/relationships/ctrlProp" Target="../ctrlProps/ctrlProp64.xml"/><Relationship Id="rId84" Type="http://schemas.openxmlformats.org/officeDocument/2006/relationships/ctrlProp" Target="../ctrlProps/ctrlProp85.xml"/><Relationship Id="rId138" Type="http://schemas.openxmlformats.org/officeDocument/2006/relationships/ctrlProp" Target="../ctrlProps/ctrlProp139.xml"/><Relationship Id="rId159" Type="http://schemas.openxmlformats.org/officeDocument/2006/relationships/ctrlProp" Target="../ctrlProps/ctrlProp160.xml"/><Relationship Id="rId170" Type="http://schemas.openxmlformats.org/officeDocument/2006/relationships/ctrlProp" Target="../ctrlProps/ctrlProp171.xml"/><Relationship Id="rId191" Type="http://schemas.openxmlformats.org/officeDocument/2006/relationships/ctrlProp" Target="../ctrlProps/ctrlProp192.xml"/><Relationship Id="rId205" Type="http://schemas.openxmlformats.org/officeDocument/2006/relationships/ctrlProp" Target="../ctrlProps/ctrlProp206.xml"/><Relationship Id="rId226" Type="http://schemas.openxmlformats.org/officeDocument/2006/relationships/ctrlProp" Target="../ctrlProps/ctrlProp227.xml"/><Relationship Id="rId107" Type="http://schemas.openxmlformats.org/officeDocument/2006/relationships/ctrlProp" Target="../ctrlProps/ctrlProp108.xml"/><Relationship Id="rId11" Type="http://schemas.openxmlformats.org/officeDocument/2006/relationships/ctrlProp" Target="../ctrlProps/ctrlProp12.xml"/><Relationship Id="rId32" Type="http://schemas.openxmlformats.org/officeDocument/2006/relationships/ctrlProp" Target="../ctrlProps/ctrlProp33.xml"/><Relationship Id="rId53" Type="http://schemas.openxmlformats.org/officeDocument/2006/relationships/ctrlProp" Target="../ctrlProps/ctrlProp54.xml"/><Relationship Id="rId74" Type="http://schemas.openxmlformats.org/officeDocument/2006/relationships/ctrlProp" Target="../ctrlProps/ctrlProp75.xml"/><Relationship Id="rId128" Type="http://schemas.openxmlformats.org/officeDocument/2006/relationships/ctrlProp" Target="../ctrlProps/ctrlProp129.xml"/><Relationship Id="rId149" Type="http://schemas.openxmlformats.org/officeDocument/2006/relationships/ctrlProp" Target="../ctrlProps/ctrlProp150.xml"/><Relationship Id="rId5" Type="http://schemas.openxmlformats.org/officeDocument/2006/relationships/ctrlProp" Target="../ctrlProps/ctrlProp6.xml"/><Relationship Id="rId95" Type="http://schemas.openxmlformats.org/officeDocument/2006/relationships/ctrlProp" Target="../ctrlProps/ctrlProp96.xml"/><Relationship Id="rId160" Type="http://schemas.openxmlformats.org/officeDocument/2006/relationships/ctrlProp" Target="../ctrlProps/ctrlProp161.xml"/><Relationship Id="rId181" Type="http://schemas.openxmlformats.org/officeDocument/2006/relationships/ctrlProp" Target="../ctrlProps/ctrlProp182.xml"/><Relationship Id="rId216" Type="http://schemas.openxmlformats.org/officeDocument/2006/relationships/ctrlProp" Target="../ctrlProps/ctrlProp217.xml"/><Relationship Id="rId237" Type="http://schemas.openxmlformats.org/officeDocument/2006/relationships/ctrlProp" Target="../ctrlProps/ctrlProp238.xml"/><Relationship Id="rId22" Type="http://schemas.openxmlformats.org/officeDocument/2006/relationships/ctrlProp" Target="../ctrlProps/ctrlProp23.xml"/><Relationship Id="rId43" Type="http://schemas.openxmlformats.org/officeDocument/2006/relationships/ctrlProp" Target="../ctrlProps/ctrlProp44.xml"/><Relationship Id="rId64" Type="http://schemas.openxmlformats.org/officeDocument/2006/relationships/ctrlProp" Target="../ctrlProps/ctrlProp65.xml"/><Relationship Id="rId118" Type="http://schemas.openxmlformats.org/officeDocument/2006/relationships/ctrlProp" Target="../ctrlProps/ctrlProp119.xml"/><Relationship Id="rId139" Type="http://schemas.openxmlformats.org/officeDocument/2006/relationships/ctrlProp" Target="../ctrlProps/ctrlProp140.xml"/><Relationship Id="rId85" Type="http://schemas.openxmlformats.org/officeDocument/2006/relationships/ctrlProp" Target="../ctrlProps/ctrlProp86.xml"/><Relationship Id="rId150" Type="http://schemas.openxmlformats.org/officeDocument/2006/relationships/ctrlProp" Target="../ctrlProps/ctrlProp151.xml"/><Relationship Id="rId171" Type="http://schemas.openxmlformats.org/officeDocument/2006/relationships/ctrlProp" Target="../ctrlProps/ctrlProp172.xml"/><Relationship Id="rId192" Type="http://schemas.openxmlformats.org/officeDocument/2006/relationships/ctrlProp" Target="../ctrlProps/ctrlProp193.xml"/><Relationship Id="rId206" Type="http://schemas.openxmlformats.org/officeDocument/2006/relationships/ctrlProp" Target="../ctrlProps/ctrlProp207.xml"/><Relationship Id="rId227" Type="http://schemas.openxmlformats.org/officeDocument/2006/relationships/ctrlProp" Target="../ctrlProps/ctrlProp228.xml"/><Relationship Id="rId12" Type="http://schemas.openxmlformats.org/officeDocument/2006/relationships/ctrlProp" Target="../ctrlProps/ctrlProp13.xml"/><Relationship Id="rId33" Type="http://schemas.openxmlformats.org/officeDocument/2006/relationships/ctrlProp" Target="../ctrlProps/ctrlProp34.xml"/><Relationship Id="rId108" Type="http://schemas.openxmlformats.org/officeDocument/2006/relationships/ctrlProp" Target="../ctrlProps/ctrlProp109.xml"/><Relationship Id="rId129" Type="http://schemas.openxmlformats.org/officeDocument/2006/relationships/ctrlProp" Target="../ctrlProps/ctrlProp130.xml"/><Relationship Id="rId54" Type="http://schemas.openxmlformats.org/officeDocument/2006/relationships/ctrlProp" Target="../ctrlProps/ctrlProp55.xml"/><Relationship Id="rId75" Type="http://schemas.openxmlformats.org/officeDocument/2006/relationships/ctrlProp" Target="../ctrlProps/ctrlProp76.xml"/><Relationship Id="rId96" Type="http://schemas.openxmlformats.org/officeDocument/2006/relationships/ctrlProp" Target="../ctrlProps/ctrlProp97.xml"/><Relationship Id="rId140" Type="http://schemas.openxmlformats.org/officeDocument/2006/relationships/ctrlProp" Target="../ctrlProps/ctrlProp141.xml"/><Relationship Id="rId161" Type="http://schemas.openxmlformats.org/officeDocument/2006/relationships/ctrlProp" Target="../ctrlProps/ctrlProp162.xml"/><Relationship Id="rId182" Type="http://schemas.openxmlformats.org/officeDocument/2006/relationships/ctrlProp" Target="../ctrlProps/ctrlProp183.xml"/><Relationship Id="rId217" Type="http://schemas.openxmlformats.org/officeDocument/2006/relationships/ctrlProp" Target="../ctrlProps/ctrlProp218.xml"/><Relationship Id="rId6" Type="http://schemas.openxmlformats.org/officeDocument/2006/relationships/ctrlProp" Target="../ctrlProps/ctrlProp7.xml"/><Relationship Id="rId238" Type="http://schemas.openxmlformats.org/officeDocument/2006/relationships/ctrlProp" Target="../ctrlProps/ctrlProp239.xml"/><Relationship Id="rId23" Type="http://schemas.openxmlformats.org/officeDocument/2006/relationships/ctrlProp" Target="../ctrlProps/ctrlProp24.xml"/><Relationship Id="rId119" Type="http://schemas.openxmlformats.org/officeDocument/2006/relationships/ctrlProp" Target="../ctrlProps/ctrlProp120.xml"/><Relationship Id="rId44" Type="http://schemas.openxmlformats.org/officeDocument/2006/relationships/ctrlProp" Target="../ctrlProps/ctrlProp45.xml"/><Relationship Id="rId65" Type="http://schemas.openxmlformats.org/officeDocument/2006/relationships/ctrlProp" Target="../ctrlProps/ctrlProp66.xml"/><Relationship Id="rId86" Type="http://schemas.openxmlformats.org/officeDocument/2006/relationships/ctrlProp" Target="../ctrlProps/ctrlProp87.xml"/><Relationship Id="rId130" Type="http://schemas.openxmlformats.org/officeDocument/2006/relationships/ctrlProp" Target="../ctrlProps/ctrlProp131.xml"/><Relationship Id="rId151" Type="http://schemas.openxmlformats.org/officeDocument/2006/relationships/ctrlProp" Target="../ctrlProps/ctrlProp152.xml"/><Relationship Id="rId172" Type="http://schemas.openxmlformats.org/officeDocument/2006/relationships/ctrlProp" Target="../ctrlProps/ctrlProp173.xml"/><Relationship Id="rId193" Type="http://schemas.openxmlformats.org/officeDocument/2006/relationships/ctrlProp" Target="../ctrlProps/ctrlProp194.xml"/><Relationship Id="rId207" Type="http://schemas.openxmlformats.org/officeDocument/2006/relationships/ctrlProp" Target="../ctrlProps/ctrlProp208.xml"/><Relationship Id="rId228" Type="http://schemas.openxmlformats.org/officeDocument/2006/relationships/ctrlProp" Target="../ctrlProps/ctrlProp229.xml"/><Relationship Id="rId13" Type="http://schemas.openxmlformats.org/officeDocument/2006/relationships/ctrlProp" Target="../ctrlProps/ctrlProp14.xml"/><Relationship Id="rId109" Type="http://schemas.openxmlformats.org/officeDocument/2006/relationships/ctrlProp" Target="../ctrlProps/ctrlProp110.xml"/><Relationship Id="rId34" Type="http://schemas.openxmlformats.org/officeDocument/2006/relationships/ctrlProp" Target="../ctrlProps/ctrlProp35.xml"/><Relationship Id="rId55" Type="http://schemas.openxmlformats.org/officeDocument/2006/relationships/ctrlProp" Target="../ctrlProps/ctrlProp56.xml"/><Relationship Id="rId76" Type="http://schemas.openxmlformats.org/officeDocument/2006/relationships/ctrlProp" Target="../ctrlProps/ctrlProp77.xml"/><Relationship Id="rId97" Type="http://schemas.openxmlformats.org/officeDocument/2006/relationships/ctrlProp" Target="../ctrlProps/ctrlProp98.xml"/><Relationship Id="rId120" Type="http://schemas.openxmlformats.org/officeDocument/2006/relationships/ctrlProp" Target="../ctrlProps/ctrlProp121.xml"/><Relationship Id="rId141" Type="http://schemas.openxmlformats.org/officeDocument/2006/relationships/ctrlProp" Target="../ctrlProps/ctrlProp142.xml"/><Relationship Id="rId7" Type="http://schemas.openxmlformats.org/officeDocument/2006/relationships/ctrlProp" Target="../ctrlProps/ctrlProp8.xml"/><Relationship Id="rId162" Type="http://schemas.openxmlformats.org/officeDocument/2006/relationships/ctrlProp" Target="../ctrlProps/ctrlProp163.xml"/><Relationship Id="rId183" Type="http://schemas.openxmlformats.org/officeDocument/2006/relationships/ctrlProp" Target="../ctrlProps/ctrlProp184.xml"/><Relationship Id="rId218" Type="http://schemas.openxmlformats.org/officeDocument/2006/relationships/ctrlProp" Target="../ctrlProps/ctrlProp219.xml"/><Relationship Id="rId239" Type="http://schemas.openxmlformats.org/officeDocument/2006/relationships/ctrlProp" Target="../ctrlProps/ctrlProp240.xml"/><Relationship Id="rId24" Type="http://schemas.openxmlformats.org/officeDocument/2006/relationships/ctrlProp" Target="../ctrlProps/ctrlProp25.xml"/><Relationship Id="rId45" Type="http://schemas.openxmlformats.org/officeDocument/2006/relationships/ctrlProp" Target="../ctrlProps/ctrlProp46.xml"/><Relationship Id="rId66" Type="http://schemas.openxmlformats.org/officeDocument/2006/relationships/ctrlProp" Target="../ctrlProps/ctrlProp67.xml"/><Relationship Id="rId87" Type="http://schemas.openxmlformats.org/officeDocument/2006/relationships/ctrlProp" Target="../ctrlProps/ctrlProp88.xml"/><Relationship Id="rId110" Type="http://schemas.openxmlformats.org/officeDocument/2006/relationships/ctrlProp" Target="../ctrlProps/ctrlProp111.xml"/><Relationship Id="rId131" Type="http://schemas.openxmlformats.org/officeDocument/2006/relationships/ctrlProp" Target="../ctrlProps/ctrlProp132.xml"/><Relationship Id="rId152" Type="http://schemas.openxmlformats.org/officeDocument/2006/relationships/ctrlProp" Target="../ctrlProps/ctrlProp153.xml"/><Relationship Id="rId173" Type="http://schemas.openxmlformats.org/officeDocument/2006/relationships/ctrlProp" Target="../ctrlProps/ctrlProp174.xml"/><Relationship Id="rId194" Type="http://schemas.openxmlformats.org/officeDocument/2006/relationships/ctrlProp" Target="../ctrlProps/ctrlProp195.xml"/><Relationship Id="rId208" Type="http://schemas.openxmlformats.org/officeDocument/2006/relationships/ctrlProp" Target="../ctrlProps/ctrlProp209.xml"/><Relationship Id="rId229" Type="http://schemas.openxmlformats.org/officeDocument/2006/relationships/ctrlProp" Target="../ctrlProps/ctrlProp230.xml"/><Relationship Id="rId14" Type="http://schemas.openxmlformats.org/officeDocument/2006/relationships/ctrlProp" Target="../ctrlProps/ctrlProp15.xml"/><Relationship Id="rId35" Type="http://schemas.openxmlformats.org/officeDocument/2006/relationships/ctrlProp" Target="../ctrlProps/ctrlProp36.xml"/><Relationship Id="rId56" Type="http://schemas.openxmlformats.org/officeDocument/2006/relationships/ctrlProp" Target="../ctrlProps/ctrlProp57.xml"/><Relationship Id="rId77" Type="http://schemas.openxmlformats.org/officeDocument/2006/relationships/ctrlProp" Target="../ctrlProps/ctrlProp78.xml"/><Relationship Id="rId100" Type="http://schemas.openxmlformats.org/officeDocument/2006/relationships/ctrlProp" Target="../ctrlProps/ctrlProp101.xml"/><Relationship Id="rId8" Type="http://schemas.openxmlformats.org/officeDocument/2006/relationships/ctrlProp" Target="../ctrlProps/ctrlProp9.xml"/><Relationship Id="rId98" Type="http://schemas.openxmlformats.org/officeDocument/2006/relationships/ctrlProp" Target="../ctrlProps/ctrlProp99.xml"/><Relationship Id="rId121" Type="http://schemas.openxmlformats.org/officeDocument/2006/relationships/ctrlProp" Target="../ctrlProps/ctrlProp122.xml"/><Relationship Id="rId142" Type="http://schemas.openxmlformats.org/officeDocument/2006/relationships/ctrlProp" Target="../ctrlProps/ctrlProp143.xml"/><Relationship Id="rId163" Type="http://schemas.openxmlformats.org/officeDocument/2006/relationships/ctrlProp" Target="../ctrlProps/ctrlProp164.xml"/><Relationship Id="rId184" Type="http://schemas.openxmlformats.org/officeDocument/2006/relationships/ctrlProp" Target="../ctrlProps/ctrlProp185.xml"/><Relationship Id="rId219" Type="http://schemas.openxmlformats.org/officeDocument/2006/relationships/ctrlProp" Target="../ctrlProps/ctrlProp220.xml"/><Relationship Id="rId230" Type="http://schemas.openxmlformats.org/officeDocument/2006/relationships/ctrlProp" Target="../ctrlProps/ctrlProp231.xml"/><Relationship Id="rId25" Type="http://schemas.openxmlformats.org/officeDocument/2006/relationships/ctrlProp" Target="../ctrlProps/ctrlProp26.xml"/><Relationship Id="rId46" Type="http://schemas.openxmlformats.org/officeDocument/2006/relationships/ctrlProp" Target="../ctrlProps/ctrlProp47.xml"/><Relationship Id="rId67" Type="http://schemas.openxmlformats.org/officeDocument/2006/relationships/ctrlProp" Target="../ctrlProps/ctrlProp68.xml"/><Relationship Id="rId88" Type="http://schemas.openxmlformats.org/officeDocument/2006/relationships/ctrlProp" Target="../ctrlProps/ctrlProp89.xml"/><Relationship Id="rId111" Type="http://schemas.openxmlformats.org/officeDocument/2006/relationships/ctrlProp" Target="../ctrlProps/ctrlProp112.xml"/><Relationship Id="rId132" Type="http://schemas.openxmlformats.org/officeDocument/2006/relationships/ctrlProp" Target="../ctrlProps/ctrlProp133.xml"/><Relationship Id="rId153" Type="http://schemas.openxmlformats.org/officeDocument/2006/relationships/ctrlProp" Target="../ctrlProps/ctrlProp154.xml"/><Relationship Id="rId174" Type="http://schemas.openxmlformats.org/officeDocument/2006/relationships/ctrlProp" Target="../ctrlProps/ctrlProp175.xml"/><Relationship Id="rId195" Type="http://schemas.openxmlformats.org/officeDocument/2006/relationships/ctrlProp" Target="../ctrlProps/ctrlProp196.xml"/><Relationship Id="rId209" Type="http://schemas.openxmlformats.org/officeDocument/2006/relationships/ctrlProp" Target="../ctrlProps/ctrlProp210.xml"/><Relationship Id="rId190" Type="http://schemas.openxmlformats.org/officeDocument/2006/relationships/ctrlProp" Target="../ctrlProps/ctrlProp191.xml"/><Relationship Id="rId204" Type="http://schemas.openxmlformats.org/officeDocument/2006/relationships/ctrlProp" Target="../ctrlProps/ctrlProp205.xml"/><Relationship Id="rId220" Type="http://schemas.openxmlformats.org/officeDocument/2006/relationships/ctrlProp" Target="../ctrlProps/ctrlProp221.xml"/><Relationship Id="rId225" Type="http://schemas.openxmlformats.org/officeDocument/2006/relationships/ctrlProp" Target="../ctrlProps/ctrlProp226.xml"/><Relationship Id="rId15" Type="http://schemas.openxmlformats.org/officeDocument/2006/relationships/ctrlProp" Target="../ctrlProps/ctrlProp16.xml"/><Relationship Id="rId36" Type="http://schemas.openxmlformats.org/officeDocument/2006/relationships/ctrlProp" Target="../ctrlProps/ctrlProp37.xml"/><Relationship Id="rId57" Type="http://schemas.openxmlformats.org/officeDocument/2006/relationships/ctrlProp" Target="../ctrlProps/ctrlProp58.xml"/><Relationship Id="rId106" Type="http://schemas.openxmlformats.org/officeDocument/2006/relationships/ctrlProp" Target="../ctrlProps/ctrlProp107.xml"/><Relationship Id="rId127" Type="http://schemas.openxmlformats.org/officeDocument/2006/relationships/ctrlProp" Target="../ctrlProps/ctrlProp128.xml"/><Relationship Id="rId10" Type="http://schemas.openxmlformats.org/officeDocument/2006/relationships/ctrlProp" Target="../ctrlProps/ctrlProp11.xml"/><Relationship Id="rId31" Type="http://schemas.openxmlformats.org/officeDocument/2006/relationships/ctrlProp" Target="../ctrlProps/ctrlProp32.xml"/><Relationship Id="rId52" Type="http://schemas.openxmlformats.org/officeDocument/2006/relationships/ctrlProp" Target="../ctrlProps/ctrlProp53.xml"/><Relationship Id="rId73" Type="http://schemas.openxmlformats.org/officeDocument/2006/relationships/ctrlProp" Target="../ctrlProps/ctrlProp74.xml"/><Relationship Id="rId78" Type="http://schemas.openxmlformats.org/officeDocument/2006/relationships/ctrlProp" Target="../ctrlProps/ctrlProp79.xml"/><Relationship Id="rId94" Type="http://schemas.openxmlformats.org/officeDocument/2006/relationships/ctrlProp" Target="../ctrlProps/ctrlProp95.xml"/><Relationship Id="rId99" Type="http://schemas.openxmlformats.org/officeDocument/2006/relationships/ctrlProp" Target="../ctrlProps/ctrlProp100.xml"/><Relationship Id="rId101" Type="http://schemas.openxmlformats.org/officeDocument/2006/relationships/ctrlProp" Target="../ctrlProps/ctrlProp102.xml"/><Relationship Id="rId122" Type="http://schemas.openxmlformats.org/officeDocument/2006/relationships/ctrlProp" Target="../ctrlProps/ctrlProp123.xml"/><Relationship Id="rId143" Type="http://schemas.openxmlformats.org/officeDocument/2006/relationships/ctrlProp" Target="../ctrlProps/ctrlProp144.xml"/><Relationship Id="rId148" Type="http://schemas.openxmlformats.org/officeDocument/2006/relationships/ctrlProp" Target="../ctrlProps/ctrlProp149.xml"/><Relationship Id="rId164" Type="http://schemas.openxmlformats.org/officeDocument/2006/relationships/ctrlProp" Target="../ctrlProps/ctrlProp165.xml"/><Relationship Id="rId169" Type="http://schemas.openxmlformats.org/officeDocument/2006/relationships/ctrlProp" Target="../ctrlProps/ctrlProp170.xml"/><Relationship Id="rId185" Type="http://schemas.openxmlformats.org/officeDocument/2006/relationships/ctrlProp" Target="../ctrlProps/ctrlProp186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Relationship Id="rId180" Type="http://schemas.openxmlformats.org/officeDocument/2006/relationships/ctrlProp" Target="../ctrlProps/ctrlProp181.xml"/><Relationship Id="rId210" Type="http://schemas.openxmlformats.org/officeDocument/2006/relationships/ctrlProp" Target="../ctrlProps/ctrlProp211.xml"/><Relationship Id="rId215" Type="http://schemas.openxmlformats.org/officeDocument/2006/relationships/ctrlProp" Target="../ctrlProps/ctrlProp216.xml"/><Relationship Id="rId236" Type="http://schemas.openxmlformats.org/officeDocument/2006/relationships/ctrlProp" Target="../ctrlProps/ctrlProp237.xml"/><Relationship Id="rId26" Type="http://schemas.openxmlformats.org/officeDocument/2006/relationships/ctrlProp" Target="../ctrlProps/ctrlProp27.xml"/><Relationship Id="rId231" Type="http://schemas.openxmlformats.org/officeDocument/2006/relationships/ctrlProp" Target="../ctrlProps/ctrlProp232.xml"/><Relationship Id="rId47" Type="http://schemas.openxmlformats.org/officeDocument/2006/relationships/ctrlProp" Target="../ctrlProps/ctrlProp48.xml"/><Relationship Id="rId68" Type="http://schemas.openxmlformats.org/officeDocument/2006/relationships/ctrlProp" Target="../ctrlProps/ctrlProp69.xml"/><Relationship Id="rId89" Type="http://schemas.openxmlformats.org/officeDocument/2006/relationships/ctrlProp" Target="../ctrlProps/ctrlProp90.xml"/><Relationship Id="rId112" Type="http://schemas.openxmlformats.org/officeDocument/2006/relationships/ctrlProp" Target="../ctrlProps/ctrlProp113.xml"/><Relationship Id="rId133" Type="http://schemas.openxmlformats.org/officeDocument/2006/relationships/ctrlProp" Target="../ctrlProps/ctrlProp134.xml"/><Relationship Id="rId154" Type="http://schemas.openxmlformats.org/officeDocument/2006/relationships/ctrlProp" Target="../ctrlProps/ctrlProp155.xml"/><Relationship Id="rId175" Type="http://schemas.openxmlformats.org/officeDocument/2006/relationships/ctrlProp" Target="../ctrlProps/ctrlProp176.xml"/><Relationship Id="rId196" Type="http://schemas.openxmlformats.org/officeDocument/2006/relationships/ctrlProp" Target="../ctrlProps/ctrlProp197.xml"/><Relationship Id="rId200" Type="http://schemas.openxmlformats.org/officeDocument/2006/relationships/ctrlProp" Target="../ctrlProps/ctrlProp201.xml"/><Relationship Id="rId16" Type="http://schemas.openxmlformats.org/officeDocument/2006/relationships/ctrlProp" Target="../ctrlProps/ctrlProp17.xml"/><Relationship Id="rId221" Type="http://schemas.openxmlformats.org/officeDocument/2006/relationships/ctrlProp" Target="../ctrlProps/ctrlProp222.xml"/><Relationship Id="rId37" Type="http://schemas.openxmlformats.org/officeDocument/2006/relationships/ctrlProp" Target="../ctrlProps/ctrlProp38.xml"/><Relationship Id="rId58" Type="http://schemas.openxmlformats.org/officeDocument/2006/relationships/ctrlProp" Target="../ctrlProps/ctrlProp59.xml"/><Relationship Id="rId79" Type="http://schemas.openxmlformats.org/officeDocument/2006/relationships/ctrlProp" Target="../ctrlProps/ctrlProp80.xml"/><Relationship Id="rId102" Type="http://schemas.openxmlformats.org/officeDocument/2006/relationships/ctrlProp" Target="../ctrlProps/ctrlProp103.xml"/><Relationship Id="rId123" Type="http://schemas.openxmlformats.org/officeDocument/2006/relationships/ctrlProp" Target="../ctrlProps/ctrlProp124.xml"/><Relationship Id="rId144" Type="http://schemas.openxmlformats.org/officeDocument/2006/relationships/ctrlProp" Target="../ctrlProps/ctrlProp145.xml"/><Relationship Id="rId90" Type="http://schemas.openxmlformats.org/officeDocument/2006/relationships/ctrlProp" Target="../ctrlProps/ctrlProp91.xml"/><Relationship Id="rId165" Type="http://schemas.openxmlformats.org/officeDocument/2006/relationships/ctrlProp" Target="../ctrlProps/ctrlProp166.xml"/><Relationship Id="rId186" Type="http://schemas.openxmlformats.org/officeDocument/2006/relationships/ctrlProp" Target="../ctrlProps/ctrlProp187.xml"/><Relationship Id="rId211" Type="http://schemas.openxmlformats.org/officeDocument/2006/relationships/ctrlProp" Target="../ctrlProps/ctrlProp212.xml"/><Relationship Id="rId232" Type="http://schemas.openxmlformats.org/officeDocument/2006/relationships/ctrlProp" Target="../ctrlProps/ctrlProp233.xml"/><Relationship Id="rId27" Type="http://schemas.openxmlformats.org/officeDocument/2006/relationships/ctrlProp" Target="../ctrlProps/ctrlProp28.xml"/><Relationship Id="rId48" Type="http://schemas.openxmlformats.org/officeDocument/2006/relationships/ctrlProp" Target="../ctrlProps/ctrlProp49.xml"/><Relationship Id="rId69" Type="http://schemas.openxmlformats.org/officeDocument/2006/relationships/ctrlProp" Target="../ctrlProps/ctrlProp70.xml"/><Relationship Id="rId113" Type="http://schemas.openxmlformats.org/officeDocument/2006/relationships/ctrlProp" Target="../ctrlProps/ctrlProp114.xml"/><Relationship Id="rId134" Type="http://schemas.openxmlformats.org/officeDocument/2006/relationships/ctrlProp" Target="../ctrlProps/ctrlProp135.xml"/><Relationship Id="rId80" Type="http://schemas.openxmlformats.org/officeDocument/2006/relationships/ctrlProp" Target="../ctrlProps/ctrlProp81.xml"/><Relationship Id="rId155" Type="http://schemas.openxmlformats.org/officeDocument/2006/relationships/ctrlProp" Target="../ctrlProps/ctrlProp156.xml"/><Relationship Id="rId176" Type="http://schemas.openxmlformats.org/officeDocument/2006/relationships/ctrlProp" Target="../ctrlProps/ctrlProp177.xml"/><Relationship Id="rId197" Type="http://schemas.openxmlformats.org/officeDocument/2006/relationships/ctrlProp" Target="../ctrlProps/ctrlProp198.xml"/><Relationship Id="rId201" Type="http://schemas.openxmlformats.org/officeDocument/2006/relationships/ctrlProp" Target="../ctrlProps/ctrlProp202.xml"/><Relationship Id="rId222" Type="http://schemas.openxmlformats.org/officeDocument/2006/relationships/ctrlProp" Target="../ctrlProps/ctrlProp223.xml"/><Relationship Id="rId17" Type="http://schemas.openxmlformats.org/officeDocument/2006/relationships/ctrlProp" Target="../ctrlProps/ctrlProp18.xml"/><Relationship Id="rId38" Type="http://schemas.openxmlformats.org/officeDocument/2006/relationships/ctrlProp" Target="../ctrlProps/ctrlProp39.xml"/><Relationship Id="rId59" Type="http://schemas.openxmlformats.org/officeDocument/2006/relationships/ctrlProp" Target="../ctrlProps/ctrlProp60.xml"/><Relationship Id="rId103" Type="http://schemas.openxmlformats.org/officeDocument/2006/relationships/ctrlProp" Target="../ctrlProps/ctrlProp104.xml"/><Relationship Id="rId124" Type="http://schemas.openxmlformats.org/officeDocument/2006/relationships/ctrlProp" Target="../ctrlProps/ctrlProp125.xml"/><Relationship Id="rId70" Type="http://schemas.openxmlformats.org/officeDocument/2006/relationships/ctrlProp" Target="../ctrlProps/ctrlProp71.xml"/><Relationship Id="rId91" Type="http://schemas.openxmlformats.org/officeDocument/2006/relationships/ctrlProp" Target="../ctrlProps/ctrlProp92.xml"/><Relationship Id="rId145" Type="http://schemas.openxmlformats.org/officeDocument/2006/relationships/ctrlProp" Target="../ctrlProps/ctrlProp146.xml"/><Relationship Id="rId166" Type="http://schemas.openxmlformats.org/officeDocument/2006/relationships/ctrlProp" Target="../ctrlProps/ctrlProp167.xml"/><Relationship Id="rId187" Type="http://schemas.openxmlformats.org/officeDocument/2006/relationships/ctrlProp" Target="../ctrlProps/ctrlProp188.xml"/><Relationship Id="rId1" Type="http://schemas.openxmlformats.org/officeDocument/2006/relationships/printerSettings" Target="../printerSettings/printerSettings18.bin"/><Relationship Id="rId212" Type="http://schemas.openxmlformats.org/officeDocument/2006/relationships/ctrlProp" Target="../ctrlProps/ctrlProp213.xml"/><Relationship Id="rId233" Type="http://schemas.openxmlformats.org/officeDocument/2006/relationships/ctrlProp" Target="../ctrlProps/ctrlProp234.xml"/><Relationship Id="rId28" Type="http://schemas.openxmlformats.org/officeDocument/2006/relationships/ctrlProp" Target="../ctrlProps/ctrlProp29.xml"/><Relationship Id="rId49" Type="http://schemas.openxmlformats.org/officeDocument/2006/relationships/ctrlProp" Target="../ctrlProps/ctrlProp50.xml"/><Relationship Id="rId114" Type="http://schemas.openxmlformats.org/officeDocument/2006/relationships/ctrlProp" Target="../ctrlProps/ctrlProp115.xml"/><Relationship Id="rId60" Type="http://schemas.openxmlformats.org/officeDocument/2006/relationships/ctrlProp" Target="../ctrlProps/ctrlProp61.xml"/><Relationship Id="rId81" Type="http://schemas.openxmlformats.org/officeDocument/2006/relationships/ctrlProp" Target="../ctrlProps/ctrlProp82.xml"/><Relationship Id="rId135" Type="http://schemas.openxmlformats.org/officeDocument/2006/relationships/ctrlProp" Target="../ctrlProps/ctrlProp136.xml"/><Relationship Id="rId156" Type="http://schemas.openxmlformats.org/officeDocument/2006/relationships/ctrlProp" Target="../ctrlProps/ctrlProp157.xml"/><Relationship Id="rId177" Type="http://schemas.openxmlformats.org/officeDocument/2006/relationships/ctrlProp" Target="../ctrlProps/ctrlProp178.xml"/><Relationship Id="rId198" Type="http://schemas.openxmlformats.org/officeDocument/2006/relationships/ctrlProp" Target="../ctrlProps/ctrlProp199.xml"/><Relationship Id="rId202" Type="http://schemas.openxmlformats.org/officeDocument/2006/relationships/ctrlProp" Target="../ctrlProps/ctrlProp203.xml"/><Relationship Id="rId223" Type="http://schemas.openxmlformats.org/officeDocument/2006/relationships/ctrlProp" Target="../ctrlProps/ctrlProp224.xml"/><Relationship Id="rId18" Type="http://schemas.openxmlformats.org/officeDocument/2006/relationships/ctrlProp" Target="../ctrlProps/ctrlProp19.xml"/><Relationship Id="rId39" Type="http://schemas.openxmlformats.org/officeDocument/2006/relationships/ctrlProp" Target="../ctrlProps/ctrlProp40.xml"/><Relationship Id="rId50" Type="http://schemas.openxmlformats.org/officeDocument/2006/relationships/ctrlProp" Target="../ctrlProps/ctrlProp51.xml"/><Relationship Id="rId104" Type="http://schemas.openxmlformats.org/officeDocument/2006/relationships/ctrlProp" Target="../ctrlProps/ctrlProp105.xml"/><Relationship Id="rId125" Type="http://schemas.openxmlformats.org/officeDocument/2006/relationships/ctrlProp" Target="../ctrlProps/ctrlProp126.xml"/><Relationship Id="rId146" Type="http://schemas.openxmlformats.org/officeDocument/2006/relationships/ctrlProp" Target="../ctrlProps/ctrlProp147.xml"/><Relationship Id="rId167" Type="http://schemas.openxmlformats.org/officeDocument/2006/relationships/ctrlProp" Target="../ctrlProps/ctrlProp168.xml"/><Relationship Id="rId188" Type="http://schemas.openxmlformats.org/officeDocument/2006/relationships/ctrlProp" Target="../ctrlProps/ctrlProp189.xml"/><Relationship Id="rId71" Type="http://schemas.openxmlformats.org/officeDocument/2006/relationships/ctrlProp" Target="../ctrlProps/ctrlProp72.xml"/><Relationship Id="rId92" Type="http://schemas.openxmlformats.org/officeDocument/2006/relationships/ctrlProp" Target="../ctrlProps/ctrlProp93.xml"/><Relationship Id="rId213" Type="http://schemas.openxmlformats.org/officeDocument/2006/relationships/ctrlProp" Target="../ctrlProps/ctrlProp214.xml"/><Relationship Id="rId234" Type="http://schemas.openxmlformats.org/officeDocument/2006/relationships/ctrlProp" Target="../ctrlProps/ctrlProp235.xml"/><Relationship Id="rId2" Type="http://schemas.openxmlformats.org/officeDocument/2006/relationships/drawing" Target="../drawings/drawing17.xml"/><Relationship Id="rId29" Type="http://schemas.openxmlformats.org/officeDocument/2006/relationships/ctrlProp" Target="../ctrlProps/ctrlProp30.xml"/><Relationship Id="rId40" Type="http://schemas.openxmlformats.org/officeDocument/2006/relationships/ctrlProp" Target="../ctrlProps/ctrlProp41.xml"/><Relationship Id="rId115" Type="http://schemas.openxmlformats.org/officeDocument/2006/relationships/ctrlProp" Target="../ctrlProps/ctrlProp116.xml"/><Relationship Id="rId136" Type="http://schemas.openxmlformats.org/officeDocument/2006/relationships/ctrlProp" Target="../ctrlProps/ctrlProp137.xml"/><Relationship Id="rId157" Type="http://schemas.openxmlformats.org/officeDocument/2006/relationships/ctrlProp" Target="../ctrlProps/ctrlProp158.xml"/><Relationship Id="rId178" Type="http://schemas.openxmlformats.org/officeDocument/2006/relationships/ctrlProp" Target="../ctrlProps/ctrlProp179.xml"/><Relationship Id="rId61" Type="http://schemas.openxmlformats.org/officeDocument/2006/relationships/ctrlProp" Target="../ctrlProps/ctrlProp62.xml"/><Relationship Id="rId82" Type="http://schemas.openxmlformats.org/officeDocument/2006/relationships/ctrlProp" Target="../ctrlProps/ctrlProp83.xml"/><Relationship Id="rId199" Type="http://schemas.openxmlformats.org/officeDocument/2006/relationships/ctrlProp" Target="../ctrlProps/ctrlProp200.xml"/><Relationship Id="rId203" Type="http://schemas.openxmlformats.org/officeDocument/2006/relationships/ctrlProp" Target="../ctrlProps/ctrlProp204.xml"/><Relationship Id="rId19" Type="http://schemas.openxmlformats.org/officeDocument/2006/relationships/ctrlProp" Target="../ctrlProps/ctrlProp20.xml"/><Relationship Id="rId224" Type="http://schemas.openxmlformats.org/officeDocument/2006/relationships/ctrlProp" Target="../ctrlProps/ctrlProp225.xml"/><Relationship Id="rId30" Type="http://schemas.openxmlformats.org/officeDocument/2006/relationships/ctrlProp" Target="../ctrlProps/ctrlProp31.xml"/><Relationship Id="rId105" Type="http://schemas.openxmlformats.org/officeDocument/2006/relationships/ctrlProp" Target="../ctrlProps/ctrlProp106.xml"/><Relationship Id="rId126" Type="http://schemas.openxmlformats.org/officeDocument/2006/relationships/ctrlProp" Target="../ctrlProps/ctrlProp127.xml"/><Relationship Id="rId147" Type="http://schemas.openxmlformats.org/officeDocument/2006/relationships/ctrlProp" Target="../ctrlProps/ctrlProp148.xml"/><Relationship Id="rId168" Type="http://schemas.openxmlformats.org/officeDocument/2006/relationships/ctrlProp" Target="../ctrlProps/ctrlProp169.xml"/><Relationship Id="rId51" Type="http://schemas.openxmlformats.org/officeDocument/2006/relationships/ctrlProp" Target="../ctrlProps/ctrlProp52.xml"/><Relationship Id="rId72" Type="http://schemas.openxmlformats.org/officeDocument/2006/relationships/ctrlProp" Target="../ctrlProps/ctrlProp73.xml"/><Relationship Id="rId93" Type="http://schemas.openxmlformats.org/officeDocument/2006/relationships/ctrlProp" Target="../ctrlProps/ctrlProp94.xml"/><Relationship Id="rId189" Type="http://schemas.openxmlformats.org/officeDocument/2006/relationships/ctrlProp" Target="../ctrlProps/ctrlProp190.xml"/><Relationship Id="rId3" Type="http://schemas.openxmlformats.org/officeDocument/2006/relationships/vmlDrawing" Target="../drawings/vmlDrawing18.vml"/><Relationship Id="rId214" Type="http://schemas.openxmlformats.org/officeDocument/2006/relationships/ctrlProp" Target="../ctrlProps/ctrlProp215.xml"/><Relationship Id="rId235" Type="http://schemas.openxmlformats.org/officeDocument/2006/relationships/ctrlProp" Target="../ctrlProps/ctrlProp236.xml"/><Relationship Id="rId116" Type="http://schemas.openxmlformats.org/officeDocument/2006/relationships/ctrlProp" Target="../ctrlProps/ctrlProp117.xml"/><Relationship Id="rId137" Type="http://schemas.openxmlformats.org/officeDocument/2006/relationships/ctrlProp" Target="../ctrlProps/ctrlProp138.xml"/><Relationship Id="rId158" Type="http://schemas.openxmlformats.org/officeDocument/2006/relationships/ctrlProp" Target="../ctrlProps/ctrlProp159.xml"/><Relationship Id="rId20" Type="http://schemas.openxmlformats.org/officeDocument/2006/relationships/ctrlProp" Target="../ctrlProps/ctrlProp21.xml"/><Relationship Id="rId41" Type="http://schemas.openxmlformats.org/officeDocument/2006/relationships/ctrlProp" Target="../ctrlProps/ctrlProp42.xml"/><Relationship Id="rId62" Type="http://schemas.openxmlformats.org/officeDocument/2006/relationships/ctrlProp" Target="../ctrlProps/ctrlProp63.xml"/><Relationship Id="rId83" Type="http://schemas.openxmlformats.org/officeDocument/2006/relationships/ctrlProp" Target="../ctrlProps/ctrlProp84.xml"/><Relationship Id="rId179" Type="http://schemas.openxmlformats.org/officeDocument/2006/relationships/ctrlProp" Target="../ctrlProps/ctrlProp180.xml"/></Relationships>
</file>

<file path=xl/worksheets/_rels/sheet19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354.xml"/><Relationship Id="rId299" Type="http://schemas.openxmlformats.org/officeDocument/2006/relationships/ctrlProp" Target="../ctrlProps/ctrlProp536.xml"/><Relationship Id="rId21" Type="http://schemas.openxmlformats.org/officeDocument/2006/relationships/ctrlProp" Target="../ctrlProps/ctrlProp258.xml"/><Relationship Id="rId63" Type="http://schemas.openxmlformats.org/officeDocument/2006/relationships/ctrlProp" Target="../ctrlProps/ctrlProp300.xml"/><Relationship Id="rId159" Type="http://schemas.openxmlformats.org/officeDocument/2006/relationships/ctrlProp" Target="../ctrlProps/ctrlProp396.xml"/><Relationship Id="rId324" Type="http://schemas.openxmlformats.org/officeDocument/2006/relationships/ctrlProp" Target="../ctrlProps/ctrlProp561.xml"/><Relationship Id="rId170" Type="http://schemas.openxmlformats.org/officeDocument/2006/relationships/ctrlProp" Target="../ctrlProps/ctrlProp407.xml"/><Relationship Id="rId226" Type="http://schemas.openxmlformats.org/officeDocument/2006/relationships/ctrlProp" Target="../ctrlProps/ctrlProp463.xml"/><Relationship Id="rId268" Type="http://schemas.openxmlformats.org/officeDocument/2006/relationships/ctrlProp" Target="../ctrlProps/ctrlProp505.xml"/><Relationship Id="rId32" Type="http://schemas.openxmlformats.org/officeDocument/2006/relationships/ctrlProp" Target="../ctrlProps/ctrlProp269.xml"/><Relationship Id="rId74" Type="http://schemas.openxmlformats.org/officeDocument/2006/relationships/ctrlProp" Target="../ctrlProps/ctrlProp311.xml"/><Relationship Id="rId128" Type="http://schemas.openxmlformats.org/officeDocument/2006/relationships/ctrlProp" Target="../ctrlProps/ctrlProp365.xml"/><Relationship Id="rId335" Type="http://schemas.openxmlformats.org/officeDocument/2006/relationships/ctrlProp" Target="../ctrlProps/ctrlProp572.xml"/><Relationship Id="rId5" Type="http://schemas.openxmlformats.org/officeDocument/2006/relationships/ctrlProp" Target="../ctrlProps/ctrlProp242.xml"/><Relationship Id="rId181" Type="http://schemas.openxmlformats.org/officeDocument/2006/relationships/ctrlProp" Target="../ctrlProps/ctrlProp418.xml"/><Relationship Id="rId237" Type="http://schemas.openxmlformats.org/officeDocument/2006/relationships/ctrlProp" Target="../ctrlProps/ctrlProp474.xml"/><Relationship Id="rId279" Type="http://schemas.openxmlformats.org/officeDocument/2006/relationships/ctrlProp" Target="../ctrlProps/ctrlProp516.xml"/><Relationship Id="rId43" Type="http://schemas.openxmlformats.org/officeDocument/2006/relationships/ctrlProp" Target="../ctrlProps/ctrlProp280.xml"/><Relationship Id="rId139" Type="http://schemas.openxmlformats.org/officeDocument/2006/relationships/ctrlProp" Target="../ctrlProps/ctrlProp376.xml"/><Relationship Id="rId290" Type="http://schemas.openxmlformats.org/officeDocument/2006/relationships/ctrlProp" Target="../ctrlProps/ctrlProp527.xml"/><Relationship Id="rId304" Type="http://schemas.openxmlformats.org/officeDocument/2006/relationships/ctrlProp" Target="../ctrlProps/ctrlProp541.xml"/><Relationship Id="rId346" Type="http://schemas.openxmlformats.org/officeDocument/2006/relationships/ctrlProp" Target="../ctrlProps/ctrlProp583.xml"/><Relationship Id="rId85" Type="http://schemas.openxmlformats.org/officeDocument/2006/relationships/ctrlProp" Target="../ctrlProps/ctrlProp322.xml"/><Relationship Id="rId150" Type="http://schemas.openxmlformats.org/officeDocument/2006/relationships/ctrlProp" Target="../ctrlProps/ctrlProp387.xml"/><Relationship Id="rId192" Type="http://schemas.openxmlformats.org/officeDocument/2006/relationships/ctrlProp" Target="../ctrlProps/ctrlProp429.xml"/><Relationship Id="rId206" Type="http://schemas.openxmlformats.org/officeDocument/2006/relationships/ctrlProp" Target="../ctrlProps/ctrlProp443.xml"/><Relationship Id="rId248" Type="http://schemas.openxmlformats.org/officeDocument/2006/relationships/ctrlProp" Target="../ctrlProps/ctrlProp485.xml"/><Relationship Id="rId12" Type="http://schemas.openxmlformats.org/officeDocument/2006/relationships/ctrlProp" Target="../ctrlProps/ctrlProp249.xml"/><Relationship Id="rId108" Type="http://schemas.openxmlformats.org/officeDocument/2006/relationships/ctrlProp" Target="../ctrlProps/ctrlProp345.xml"/><Relationship Id="rId315" Type="http://schemas.openxmlformats.org/officeDocument/2006/relationships/ctrlProp" Target="../ctrlProps/ctrlProp552.xml"/><Relationship Id="rId357" Type="http://schemas.openxmlformats.org/officeDocument/2006/relationships/ctrlProp" Target="../ctrlProps/ctrlProp594.xml"/><Relationship Id="rId54" Type="http://schemas.openxmlformats.org/officeDocument/2006/relationships/ctrlProp" Target="../ctrlProps/ctrlProp291.xml"/><Relationship Id="rId96" Type="http://schemas.openxmlformats.org/officeDocument/2006/relationships/ctrlProp" Target="../ctrlProps/ctrlProp333.xml"/><Relationship Id="rId161" Type="http://schemas.openxmlformats.org/officeDocument/2006/relationships/ctrlProp" Target="../ctrlProps/ctrlProp398.xml"/><Relationship Id="rId217" Type="http://schemas.openxmlformats.org/officeDocument/2006/relationships/ctrlProp" Target="../ctrlProps/ctrlProp454.xml"/><Relationship Id="rId259" Type="http://schemas.openxmlformats.org/officeDocument/2006/relationships/ctrlProp" Target="../ctrlProps/ctrlProp496.xml"/><Relationship Id="rId23" Type="http://schemas.openxmlformats.org/officeDocument/2006/relationships/ctrlProp" Target="../ctrlProps/ctrlProp260.xml"/><Relationship Id="rId119" Type="http://schemas.openxmlformats.org/officeDocument/2006/relationships/ctrlProp" Target="../ctrlProps/ctrlProp356.xml"/><Relationship Id="rId270" Type="http://schemas.openxmlformats.org/officeDocument/2006/relationships/ctrlProp" Target="../ctrlProps/ctrlProp507.xml"/><Relationship Id="rId326" Type="http://schemas.openxmlformats.org/officeDocument/2006/relationships/ctrlProp" Target="../ctrlProps/ctrlProp563.xml"/><Relationship Id="rId65" Type="http://schemas.openxmlformats.org/officeDocument/2006/relationships/ctrlProp" Target="../ctrlProps/ctrlProp302.xml"/><Relationship Id="rId130" Type="http://schemas.openxmlformats.org/officeDocument/2006/relationships/ctrlProp" Target="../ctrlProps/ctrlProp367.xml"/><Relationship Id="rId172" Type="http://schemas.openxmlformats.org/officeDocument/2006/relationships/ctrlProp" Target="../ctrlProps/ctrlProp409.xml"/><Relationship Id="rId228" Type="http://schemas.openxmlformats.org/officeDocument/2006/relationships/ctrlProp" Target="../ctrlProps/ctrlProp465.xml"/><Relationship Id="rId281" Type="http://schemas.openxmlformats.org/officeDocument/2006/relationships/ctrlProp" Target="../ctrlProps/ctrlProp518.xml"/><Relationship Id="rId337" Type="http://schemas.openxmlformats.org/officeDocument/2006/relationships/ctrlProp" Target="../ctrlProps/ctrlProp574.xml"/><Relationship Id="rId34" Type="http://schemas.openxmlformats.org/officeDocument/2006/relationships/ctrlProp" Target="../ctrlProps/ctrlProp271.xml"/><Relationship Id="rId76" Type="http://schemas.openxmlformats.org/officeDocument/2006/relationships/ctrlProp" Target="../ctrlProps/ctrlProp313.xml"/><Relationship Id="rId141" Type="http://schemas.openxmlformats.org/officeDocument/2006/relationships/ctrlProp" Target="../ctrlProps/ctrlProp378.xml"/><Relationship Id="rId7" Type="http://schemas.openxmlformats.org/officeDocument/2006/relationships/ctrlProp" Target="../ctrlProps/ctrlProp244.xml"/><Relationship Id="rId183" Type="http://schemas.openxmlformats.org/officeDocument/2006/relationships/ctrlProp" Target="../ctrlProps/ctrlProp420.xml"/><Relationship Id="rId239" Type="http://schemas.openxmlformats.org/officeDocument/2006/relationships/ctrlProp" Target="../ctrlProps/ctrlProp476.xml"/><Relationship Id="rId250" Type="http://schemas.openxmlformats.org/officeDocument/2006/relationships/ctrlProp" Target="../ctrlProps/ctrlProp487.xml"/><Relationship Id="rId292" Type="http://schemas.openxmlformats.org/officeDocument/2006/relationships/ctrlProp" Target="../ctrlProps/ctrlProp529.xml"/><Relationship Id="rId306" Type="http://schemas.openxmlformats.org/officeDocument/2006/relationships/ctrlProp" Target="../ctrlProps/ctrlProp543.xml"/><Relationship Id="rId45" Type="http://schemas.openxmlformats.org/officeDocument/2006/relationships/ctrlProp" Target="../ctrlProps/ctrlProp282.xml"/><Relationship Id="rId87" Type="http://schemas.openxmlformats.org/officeDocument/2006/relationships/ctrlProp" Target="../ctrlProps/ctrlProp324.xml"/><Relationship Id="rId110" Type="http://schemas.openxmlformats.org/officeDocument/2006/relationships/ctrlProp" Target="../ctrlProps/ctrlProp347.xml"/><Relationship Id="rId348" Type="http://schemas.openxmlformats.org/officeDocument/2006/relationships/ctrlProp" Target="../ctrlProps/ctrlProp585.xml"/><Relationship Id="rId152" Type="http://schemas.openxmlformats.org/officeDocument/2006/relationships/ctrlProp" Target="../ctrlProps/ctrlProp389.xml"/><Relationship Id="rId194" Type="http://schemas.openxmlformats.org/officeDocument/2006/relationships/ctrlProp" Target="../ctrlProps/ctrlProp431.xml"/><Relationship Id="rId208" Type="http://schemas.openxmlformats.org/officeDocument/2006/relationships/ctrlProp" Target="../ctrlProps/ctrlProp445.xml"/><Relationship Id="rId261" Type="http://schemas.openxmlformats.org/officeDocument/2006/relationships/ctrlProp" Target="../ctrlProps/ctrlProp498.xml"/><Relationship Id="rId14" Type="http://schemas.openxmlformats.org/officeDocument/2006/relationships/ctrlProp" Target="../ctrlProps/ctrlProp251.xml"/><Relationship Id="rId56" Type="http://schemas.openxmlformats.org/officeDocument/2006/relationships/ctrlProp" Target="../ctrlProps/ctrlProp293.xml"/><Relationship Id="rId317" Type="http://schemas.openxmlformats.org/officeDocument/2006/relationships/ctrlProp" Target="../ctrlProps/ctrlProp554.xml"/><Relationship Id="rId98" Type="http://schemas.openxmlformats.org/officeDocument/2006/relationships/ctrlProp" Target="../ctrlProps/ctrlProp335.xml"/><Relationship Id="rId121" Type="http://schemas.openxmlformats.org/officeDocument/2006/relationships/ctrlProp" Target="../ctrlProps/ctrlProp358.xml"/><Relationship Id="rId163" Type="http://schemas.openxmlformats.org/officeDocument/2006/relationships/ctrlProp" Target="../ctrlProps/ctrlProp400.xml"/><Relationship Id="rId219" Type="http://schemas.openxmlformats.org/officeDocument/2006/relationships/ctrlProp" Target="../ctrlProps/ctrlProp456.xml"/><Relationship Id="rId230" Type="http://schemas.openxmlformats.org/officeDocument/2006/relationships/ctrlProp" Target="../ctrlProps/ctrlProp467.xml"/><Relationship Id="rId25" Type="http://schemas.openxmlformats.org/officeDocument/2006/relationships/ctrlProp" Target="../ctrlProps/ctrlProp262.xml"/><Relationship Id="rId46" Type="http://schemas.openxmlformats.org/officeDocument/2006/relationships/ctrlProp" Target="../ctrlProps/ctrlProp283.xml"/><Relationship Id="rId67" Type="http://schemas.openxmlformats.org/officeDocument/2006/relationships/ctrlProp" Target="../ctrlProps/ctrlProp304.xml"/><Relationship Id="rId272" Type="http://schemas.openxmlformats.org/officeDocument/2006/relationships/ctrlProp" Target="../ctrlProps/ctrlProp509.xml"/><Relationship Id="rId293" Type="http://schemas.openxmlformats.org/officeDocument/2006/relationships/ctrlProp" Target="../ctrlProps/ctrlProp530.xml"/><Relationship Id="rId307" Type="http://schemas.openxmlformats.org/officeDocument/2006/relationships/ctrlProp" Target="../ctrlProps/ctrlProp544.xml"/><Relationship Id="rId328" Type="http://schemas.openxmlformats.org/officeDocument/2006/relationships/ctrlProp" Target="../ctrlProps/ctrlProp565.xml"/><Relationship Id="rId349" Type="http://schemas.openxmlformats.org/officeDocument/2006/relationships/ctrlProp" Target="../ctrlProps/ctrlProp586.xml"/><Relationship Id="rId88" Type="http://schemas.openxmlformats.org/officeDocument/2006/relationships/ctrlProp" Target="../ctrlProps/ctrlProp325.xml"/><Relationship Id="rId111" Type="http://schemas.openxmlformats.org/officeDocument/2006/relationships/ctrlProp" Target="../ctrlProps/ctrlProp348.xml"/><Relationship Id="rId132" Type="http://schemas.openxmlformats.org/officeDocument/2006/relationships/ctrlProp" Target="../ctrlProps/ctrlProp369.xml"/><Relationship Id="rId153" Type="http://schemas.openxmlformats.org/officeDocument/2006/relationships/ctrlProp" Target="../ctrlProps/ctrlProp390.xml"/><Relationship Id="rId174" Type="http://schemas.openxmlformats.org/officeDocument/2006/relationships/ctrlProp" Target="../ctrlProps/ctrlProp411.xml"/><Relationship Id="rId195" Type="http://schemas.openxmlformats.org/officeDocument/2006/relationships/ctrlProp" Target="../ctrlProps/ctrlProp432.xml"/><Relationship Id="rId209" Type="http://schemas.openxmlformats.org/officeDocument/2006/relationships/ctrlProp" Target="../ctrlProps/ctrlProp446.xml"/><Relationship Id="rId220" Type="http://schemas.openxmlformats.org/officeDocument/2006/relationships/ctrlProp" Target="../ctrlProps/ctrlProp457.xml"/><Relationship Id="rId241" Type="http://schemas.openxmlformats.org/officeDocument/2006/relationships/ctrlProp" Target="../ctrlProps/ctrlProp478.xml"/><Relationship Id="rId15" Type="http://schemas.openxmlformats.org/officeDocument/2006/relationships/ctrlProp" Target="../ctrlProps/ctrlProp252.xml"/><Relationship Id="rId36" Type="http://schemas.openxmlformats.org/officeDocument/2006/relationships/ctrlProp" Target="../ctrlProps/ctrlProp273.xml"/><Relationship Id="rId57" Type="http://schemas.openxmlformats.org/officeDocument/2006/relationships/ctrlProp" Target="../ctrlProps/ctrlProp294.xml"/><Relationship Id="rId262" Type="http://schemas.openxmlformats.org/officeDocument/2006/relationships/ctrlProp" Target="../ctrlProps/ctrlProp499.xml"/><Relationship Id="rId283" Type="http://schemas.openxmlformats.org/officeDocument/2006/relationships/ctrlProp" Target="../ctrlProps/ctrlProp520.xml"/><Relationship Id="rId318" Type="http://schemas.openxmlformats.org/officeDocument/2006/relationships/ctrlProp" Target="../ctrlProps/ctrlProp555.xml"/><Relationship Id="rId339" Type="http://schemas.openxmlformats.org/officeDocument/2006/relationships/ctrlProp" Target="../ctrlProps/ctrlProp576.xml"/><Relationship Id="rId78" Type="http://schemas.openxmlformats.org/officeDocument/2006/relationships/ctrlProp" Target="../ctrlProps/ctrlProp315.xml"/><Relationship Id="rId99" Type="http://schemas.openxmlformats.org/officeDocument/2006/relationships/ctrlProp" Target="../ctrlProps/ctrlProp336.xml"/><Relationship Id="rId101" Type="http://schemas.openxmlformats.org/officeDocument/2006/relationships/ctrlProp" Target="../ctrlProps/ctrlProp338.xml"/><Relationship Id="rId122" Type="http://schemas.openxmlformats.org/officeDocument/2006/relationships/ctrlProp" Target="../ctrlProps/ctrlProp359.xml"/><Relationship Id="rId143" Type="http://schemas.openxmlformats.org/officeDocument/2006/relationships/ctrlProp" Target="../ctrlProps/ctrlProp380.xml"/><Relationship Id="rId164" Type="http://schemas.openxmlformats.org/officeDocument/2006/relationships/ctrlProp" Target="../ctrlProps/ctrlProp401.xml"/><Relationship Id="rId185" Type="http://schemas.openxmlformats.org/officeDocument/2006/relationships/ctrlProp" Target="../ctrlProps/ctrlProp422.xml"/><Relationship Id="rId350" Type="http://schemas.openxmlformats.org/officeDocument/2006/relationships/ctrlProp" Target="../ctrlProps/ctrlProp587.xml"/><Relationship Id="rId9" Type="http://schemas.openxmlformats.org/officeDocument/2006/relationships/ctrlProp" Target="../ctrlProps/ctrlProp246.xml"/><Relationship Id="rId210" Type="http://schemas.openxmlformats.org/officeDocument/2006/relationships/ctrlProp" Target="../ctrlProps/ctrlProp447.xml"/><Relationship Id="rId26" Type="http://schemas.openxmlformats.org/officeDocument/2006/relationships/ctrlProp" Target="../ctrlProps/ctrlProp263.xml"/><Relationship Id="rId231" Type="http://schemas.openxmlformats.org/officeDocument/2006/relationships/ctrlProp" Target="../ctrlProps/ctrlProp468.xml"/><Relationship Id="rId252" Type="http://schemas.openxmlformats.org/officeDocument/2006/relationships/ctrlProp" Target="../ctrlProps/ctrlProp489.xml"/><Relationship Id="rId273" Type="http://schemas.openxmlformats.org/officeDocument/2006/relationships/ctrlProp" Target="../ctrlProps/ctrlProp510.xml"/><Relationship Id="rId294" Type="http://schemas.openxmlformats.org/officeDocument/2006/relationships/ctrlProp" Target="../ctrlProps/ctrlProp531.xml"/><Relationship Id="rId308" Type="http://schemas.openxmlformats.org/officeDocument/2006/relationships/ctrlProp" Target="../ctrlProps/ctrlProp545.xml"/><Relationship Id="rId329" Type="http://schemas.openxmlformats.org/officeDocument/2006/relationships/ctrlProp" Target="../ctrlProps/ctrlProp566.xml"/><Relationship Id="rId47" Type="http://schemas.openxmlformats.org/officeDocument/2006/relationships/ctrlProp" Target="../ctrlProps/ctrlProp284.xml"/><Relationship Id="rId68" Type="http://schemas.openxmlformats.org/officeDocument/2006/relationships/ctrlProp" Target="../ctrlProps/ctrlProp305.xml"/><Relationship Id="rId89" Type="http://schemas.openxmlformats.org/officeDocument/2006/relationships/ctrlProp" Target="../ctrlProps/ctrlProp326.xml"/><Relationship Id="rId112" Type="http://schemas.openxmlformats.org/officeDocument/2006/relationships/ctrlProp" Target="../ctrlProps/ctrlProp349.xml"/><Relationship Id="rId133" Type="http://schemas.openxmlformats.org/officeDocument/2006/relationships/ctrlProp" Target="../ctrlProps/ctrlProp370.xml"/><Relationship Id="rId154" Type="http://schemas.openxmlformats.org/officeDocument/2006/relationships/ctrlProp" Target="../ctrlProps/ctrlProp391.xml"/><Relationship Id="rId175" Type="http://schemas.openxmlformats.org/officeDocument/2006/relationships/ctrlProp" Target="../ctrlProps/ctrlProp412.xml"/><Relationship Id="rId340" Type="http://schemas.openxmlformats.org/officeDocument/2006/relationships/ctrlProp" Target="../ctrlProps/ctrlProp577.xml"/><Relationship Id="rId196" Type="http://schemas.openxmlformats.org/officeDocument/2006/relationships/ctrlProp" Target="../ctrlProps/ctrlProp433.xml"/><Relationship Id="rId200" Type="http://schemas.openxmlformats.org/officeDocument/2006/relationships/ctrlProp" Target="../ctrlProps/ctrlProp437.xml"/><Relationship Id="rId16" Type="http://schemas.openxmlformats.org/officeDocument/2006/relationships/ctrlProp" Target="../ctrlProps/ctrlProp253.xml"/><Relationship Id="rId221" Type="http://schemas.openxmlformats.org/officeDocument/2006/relationships/ctrlProp" Target="../ctrlProps/ctrlProp458.xml"/><Relationship Id="rId242" Type="http://schemas.openxmlformats.org/officeDocument/2006/relationships/ctrlProp" Target="../ctrlProps/ctrlProp479.xml"/><Relationship Id="rId263" Type="http://schemas.openxmlformats.org/officeDocument/2006/relationships/ctrlProp" Target="../ctrlProps/ctrlProp500.xml"/><Relationship Id="rId284" Type="http://schemas.openxmlformats.org/officeDocument/2006/relationships/ctrlProp" Target="../ctrlProps/ctrlProp521.xml"/><Relationship Id="rId319" Type="http://schemas.openxmlformats.org/officeDocument/2006/relationships/ctrlProp" Target="../ctrlProps/ctrlProp556.xml"/><Relationship Id="rId37" Type="http://schemas.openxmlformats.org/officeDocument/2006/relationships/ctrlProp" Target="../ctrlProps/ctrlProp274.xml"/><Relationship Id="rId58" Type="http://schemas.openxmlformats.org/officeDocument/2006/relationships/ctrlProp" Target="../ctrlProps/ctrlProp295.xml"/><Relationship Id="rId79" Type="http://schemas.openxmlformats.org/officeDocument/2006/relationships/ctrlProp" Target="../ctrlProps/ctrlProp316.xml"/><Relationship Id="rId102" Type="http://schemas.openxmlformats.org/officeDocument/2006/relationships/ctrlProp" Target="../ctrlProps/ctrlProp339.xml"/><Relationship Id="rId123" Type="http://schemas.openxmlformats.org/officeDocument/2006/relationships/ctrlProp" Target="../ctrlProps/ctrlProp360.xml"/><Relationship Id="rId144" Type="http://schemas.openxmlformats.org/officeDocument/2006/relationships/ctrlProp" Target="../ctrlProps/ctrlProp381.xml"/><Relationship Id="rId330" Type="http://schemas.openxmlformats.org/officeDocument/2006/relationships/ctrlProp" Target="../ctrlProps/ctrlProp567.xml"/><Relationship Id="rId90" Type="http://schemas.openxmlformats.org/officeDocument/2006/relationships/ctrlProp" Target="../ctrlProps/ctrlProp327.xml"/><Relationship Id="rId165" Type="http://schemas.openxmlformats.org/officeDocument/2006/relationships/ctrlProp" Target="../ctrlProps/ctrlProp402.xml"/><Relationship Id="rId186" Type="http://schemas.openxmlformats.org/officeDocument/2006/relationships/ctrlProp" Target="../ctrlProps/ctrlProp423.xml"/><Relationship Id="rId351" Type="http://schemas.openxmlformats.org/officeDocument/2006/relationships/ctrlProp" Target="../ctrlProps/ctrlProp588.xml"/><Relationship Id="rId211" Type="http://schemas.openxmlformats.org/officeDocument/2006/relationships/ctrlProp" Target="../ctrlProps/ctrlProp448.xml"/><Relationship Id="rId232" Type="http://schemas.openxmlformats.org/officeDocument/2006/relationships/ctrlProp" Target="../ctrlProps/ctrlProp469.xml"/><Relationship Id="rId253" Type="http://schemas.openxmlformats.org/officeDocument/2006/relationships/ctrlProp" Target="../ctrlProps/ctrlProp490.xml"/><Relationship Id="rId274" Type="http://schemas.openxmlformats.org/officeDocument/2006/relationships/ctrlProp" Target="../ctrlProps/ctrlProp511.xml"/><Relationship Id="rId295" Type="http://schemas.openxmlformats.org/officeDocument/2006/relationships/ctrlProp" Target="../ctrlProps/ctrlProp532.xml"/><Relationship Id="rId309" Type="http://schemas.openxmlformats.org/officeDocument/2006/relationships/ctrlProp" Target="../ctrlProps/ctrlProp546.xml"/><Relationship Id="rId27" Type="http://schemas.openxmlformats.org/officeDocument/2006/relationships/ctrlProp" Target="../ctrlProps/ctrlProp264.xml"/><Relationship Id="rId48" Type="http://schemas.openxmlformats.org/officeDocument/2006/relationships/ctrlProp" Target="../ctrlProps/ctrlProp285.xml"/><Relationship Id="rId69" Type="http://schemas.openxmlformats.org/officeDocument/2006/relationships/ctrlProp" Target="../ctrlProps/ctrlProp306.xml"/><Relationship Id="rId113" Type="http://schemas.openxmlformats.org/officeDocument/2006/relationships/ctrlProp" Target="../ctrlProps/ctrlProp350.xml"/><Relationship Id="rId134" Type="http://schemas.openxmlformats.org/officeDocument/2006/relationships/ctrlProp" Target="../ctrlProps/ctrlProp371.xml"/><Relationship Id="rId320" Type="http://schemas.openxmlformats.org/officeDocument/2006/relationships/ctrlProp" Target="../ctrlProps/ctrlProp557.xml"/><Relationship Id="rId80" Type="http://schemas.openxmlformats.org/officeDocument/2006/relationships/ctrlProp" Target="../ctrlProps/ctrlProp317.xml"/><Relationship Id="rId155" Type="http://schemas.openxmlformats.org/officeDocument/2006/relationships/ctrlProp" Target="../ctrlProps/ctrlProp392.xml"/><Relationship Id="rId176" Type="http://schemas.openxmlformats.org/officeDocument/2006/relationships/ctrlProp" Target="../ctrlProps/ctrlProp413.xml"/><Relationship Id="rId197" Type="http://schemas.openxmlformats.org/officeDocument/2006/relationships/ctrlProp" Target="../ctrlProps/ctrlProp434.xml"/><Relationship Id="rId341" Type="http://schemas.openxmlformats.org/officeDocument/2006/relationships/ctrlProp" Target="../ctrlProps/ctrlProp578.xml"/><Relationship Id="rId201" Type="http://schemas.openxmlformats.org/officeDocument/2006/relationships/ctrlProp" Target="../ctrlProps/ctrlProp438.xml"/><Relationship Id="rId222" Type="http://schemas.openxmlformats.org/officeDocument/2006/relationships/ctrlProp" Target="../ctrlProps/ctrlProp459.xml"/><Relationship Id="rId243" Type="http://schemas.openxmlformats.org/officeDocument/2006/relationships/ctrlProp" Target="../ctrlProps/ctrlProp480.xml"/><Relationship Id="rId264" Type="http://schemas.openxmlformats.org/officeDocument/2006/relationships/ctrlProp" Target="../ctrlProps/ctrlProp501.xml"/><Relationship Id="rId285" Type="http://schemas.openxmlformats.org/officeDocument/2006/relationships/ctrlProp" Target="../ctrlProps/ctrlProp522.xml"/><Relationship Id="rId17" Type="http://schemas.openxmlformats.org/officeDocument/2006/relationships/ctrlProp" Target="../ctrlProps/ctrlProp254.xml"/><Relationship Id="rId38" Type="http://schemas.openxmlformats.org/officeDocument/2006/relationships/ctrlProp" Target="../ctrlProps/ctrlProp275.xml"/><Relationship Id="rId59" Type="http://schemas.openxmlformats.org/officeDocument/2006/relationships/ctrlProp" Target="../ctrlProps/ctrlProp296.xml"/><Relationship Id="rId103" Type="http://schemas.openxmlformats.org/officeDocument/2006/relationships/ctrlProp" Target="../ctrlProps/ctrlProp340.xml"/><Relationship Id="rId124" Type="http://schemas.openxmlformats.org/officeDocument/2006/relationships/ctrlProp" Target="../ctrlProps/ctrlProp361.xml"/><Relationship Id="rId310" Type="http://schemas.openxmlformats.org/officeDocument/2006/relationships/ctrlProp" Target="../ctrlProps/ctrlProp547.xml"/><Relationship Id="rId70" Type="http://schemas.openxmlformats.org/officeDocument/2006/relationships/ctrlProp" Target="../ctrlProps/ctrlProp307.xml"/><Relationship Id="rId91" Type="http://schemas.openxmlformats.org/officeDocument/2006/relationships/ctrlProp" Target="../ctrlProps/ctrlProp328.xml"/><Relationship Id="rId145" Type="http://schemas.openxmlformats.org/officeDocument/2006/relationships/ctrlProp" Target="../ctrlProps/ctrlProp382.xml"/><Relationship Id="rId166" Type="http://schemas.openxmlformats.org/officeDocument/2006/relationships/ctrlProp" Target="../ctrlProps/ctrlProp403.xml"/><Relationship Id="rId187" Type="http://schemas.openxmlformats.org/officeDocument/2006/relationships/ctrlProp" Target="../ctrlProps/ctrlProp424.xml"/><Relationship Id="rId331" Type="http://schemas.openxmlformats.org/officeDocument/2006/relationships/ctrlProp" Target="../ctrlProps/ctrlProp568.xml"/><Relationship Id="rId352" Type="http://schemas.openxmlformats.org/officeDocument/2006/relationships/ctrlProp" Target="../ctrlProps/ctrlProp589.xml"/><Relationship Id="rId1" Type="http://schemas.openxmlformats.org/officeDocument/2006/relationships/printerSettings" Target="../printerSettings/printerSettings19.bin"/><Relationship Id="rId212" Type="http://schemas.openxmlformats.org/officeDocument/2006/relationships/ctrlProp" Target="../ctrlProps/ctrlProp449.xml"/><Relationship Id="rId233" Type="http://schemas.openxmlformats.org/officeDocument/2006/relationships/ctrlProp" Target="../ctrlProps/ctrlProp470.xml"/><Relationship Id="rId254" Type="http://schemas.openxmlformats.org/officeDocument/2006/relationships/ctrlProp" Target="../ctrlProps/ctrlProp491.xml"/><Relationship Id="rId28" Type="http://schemas.openxmlformats.org/officeDocument/2006/relationships/ctrlProp" Target="../ctrlProps/ctrlProp265.xml"/><Relationship Id="rId49" Type="http://schemas.openxmlformats.org/officeDocument/2006/relationships/ctrlProp" Target="../ctrlProps/ctrlProp286.xml"/><Relationship Id="rId114" Type="http://schemas.openxmlformats.org/officeDocument/2006/relationships/ctrlProp" Target="../ctrlProps/ctrlProp351.xml"/><Relationship Id="rId275" Type="http://schemas.openxmlformats.org/officeDocument/2006/relationships/ctrlProp" Target="../ctrlProps/ctrlProp512.xml"/><Relationship Id="rId296" Type="http://schemas.openxmlformats.org/officeDocument/2006/relationships/ctrlProp" Target="../ctrlProps/ctrlProp533.xml"/><Relationship Id="rId300" Type="http://schemas.openxmlformats.org/officeDocument/2006/relationships/ctrlProp" Target="../ctrlProps/ctrlProp537.xml"/><Relationship Id="rId60" Type="http://schemas.openxmlformats.org/officeDocument/2006/relationships/ctrlProp" Target="../ctrlProps/ctrlProp297.xml"/><Relationship Id="rId81" Type="http://schemas.openxmlformats.org/officeDocument/2006/relationships/ctrlProp" Target="../ctrlProps/ctrlProp318.xml"/><Relationship Id="rId135" Type="http://schemas.openxmlformats.org/officeDocument/2006/relationships/ctrlProp" Target="../ctrlProps/ctrlProp372.xml"/><Relationship Id="rId156" Type="http://schemas.openxmlformats.org/officeDocument/2006/relationships/ctrlProp" Target="../ctrlProps/ctrlProp393.xml"/><Relationship Id="rId177" Type="http://schemas.openxmlformats.org/officeDocument/2006/relationships/ctrlProp" Target="../ctrlProps/ctrlProp414.xml"/><Relationship Id="rId198" Type="http://schemas.openxmlformats.org/officeDocument/2006/relationships/ctrlProp" Target="../ctrlProps/ctrlProp435.xml"/><Relationship Id="rId321" Type="http://schemas.openxmlformats.org/officeDocument/2006/relationships/ctrlProp" Target="../ctrlProps/ctrlProp558.xml"/><Relationship Id="rId342" Type="http://schemas.openxmlformats.org/officeDocument/2006/relationships/ctrlProp" Target="../ctrlProps/ctrlProp579.xml"/><Relationship Id="rId202" Type="http://schemas.openxmlformats.org/officeDocument/2006/relationships/ctrlProp" Target="../ctrlProps/ctrlProp439.xml"/><Relationship Id="rId223" Type="http://schemas.openxmlformats.org/officeDocument/2006/relationships/ctrlProp" Target="../ctrlProps/ctrlProp460.xml"/><Relationship Id="rId244" Type="http://schemas.openxmlformats.org/officeDocument/2006/relationships/ctrlProp" Target="../ctrlProps/ctrlProp481.xml"/><Relationship Id="rId18" Type="http://schemas.openxmlformats.org/officeDocument/2006/relationships/ctrlProp" Target="../ctrlProps/ctrlProp255.xml"/><Relationship Id="rId39" Type="http://schemas.openxmlformats.org/officeDocument/2006/relationships/ctrlProp" Target="../ctrlProps/ctrlProp276.xml"/><Relationship Id="rId265" Type="http://schemas.openxmlformats.org/officeDocument/2006/relationships/ctrlProp" Target="../ctrlProps/ctrlProp502.xml"/><Relationship Id="rId286" Type="http://schemas.openxmlformats.org/officeDocument/2006/relationships/ctrlProp" Target="../ctrlProps/ctrlProp523.xml"/><Relationship Id="rId50" Type="http://schemas.openxmlformats.org/officeDocument/2006/relationships/ctrlProp" Target="../ctrlProps/ctrlProp287.xml"/><Relationship Id="rId104" Type="http://schemas.openxmlformats.org/officeDocument/2006/relationships/ctrlProp" Target="../ctrlProps/ctrlProp341.xml"/><Relationship Id="rId125" Type="http://schemas.openxmlformats.org/officeDocument/2006/relationships/ctrlProp" Target="../ctrlProps/ctrlProp362.xml"/><Relationship Id="rId146" Type="http://schemas.openxmlformats.org/officeDocument/2006/relationships/ctrlProp" Target="../ctrlProps/ctrlProp383.xml"/><Relationship Id="rId167" Type="http://schemas.openxmlformats.org/officeDocument/2006/relationships/ctrlProp" Target="../ctrlProps/ctrlProp404.xml"/><Relationship Id="rId188" Type="http://schemas.openxmlformats.org/officeDocument/2006/relationships/ctrlProp" Target="../ctrlProps/ctrlProp425.xml"/><Relationship Id="rId311" Type="http://schemas.openxmlformats.org/officeDocument/2006/relationships/ctrlProp" Target="../ctrlProps/ctrlProp548.xml"/><Relationship Id="rId332" Type="http://schemas.openxmlformats.org/officeDocument/2006/relationships/ctrlProp" Target="../ctrlProps/ctrlProp569.xml"/><Relationship Id="rId353" Type="http://schemas.openxmlformats.org/officeDocument/2006/relationships/ctrlProp" Target="../ctrlProps/ctrlProp590.xml"/><Relationship Id="rId71" Type="http://schemas.openxmlformats.org/officeDocument/2006/relationships/ctrlProp" Target="../ctrlProps/ctrlProp308.xml"/><Relationship Id="rId92" Type="http://schemas.openxmlformats.org/officeDocument/2006/relationships/ctrlProp" Target="../ctrlProps/ctrlProp329.xml"/><Relationship Id="rId213" Type="http://schemas.openxmlformats.org/officeDocument/2006/relationships/ctrlProp" Target="../ctrlProps/ctrlProp450.xml"/><Relationship Id="rId234" Type="http://schemas.openxmlformats.org/officeDocument/2006/relationships/ctrlProp" Target="../ctrlProps/ctrlProp471.xml"/><Relationship Id="rId2" Type="http://schemas.openxmlformats.org/officeDocument/2006/relationships/drawing" Target="../drawings/drawing18.xml"/><Relationship Id="rId29" Type="http://schemas.openxmlformats.org/officeDocument/2006/relationships/ctrlProp" Target="../ctrlProps/ctrlProp266.xml"/><Relationship Id="rId255" Type="http://schemas.openxmlformats.org/officeDocument/2006/relationships/ctrlProp" Target="../ctrlProps/ctrlProp492.xml"/><Relationship Id="rId276" Type="http://schemas.openxmlformats.org/officeDocument/2006/relationships/ctrlProp" Target="../ctrlProps/ctrlProp513.xml"/><Relationship Id="rId297" Type="http://schemas.openxmlformats.org/officeDocument/2006/relationships/ctrlProp" Target="../ctrlProps/ctrlProp534.xml"/><Relationship Id="rId40" Type="http://schemas.openxmlformats.org/officeDocument/2006/relationships/ctrlProp" Target="../ctrlProps/ctrlProp277.xml"/><Relationship Id="rId115" Type="http://schemas.openxmlformats.org/officeDocument/2006/relationships/ctrlProp" Target="../ctrlProps/ctrlProp352.xml"/><Relationship Id="rId136" Type="http://schemas.openxmlformats.org/officeDocument/2006/relationships/ctrlProp" Target="../ctrlProps/ctrlProp373.xml"/><Relationship Id="rId157" Type="http://schemas.openxmlformats.org/officeDocument/2006/relationships/ctrlProp" Target="../ctrlProps/ctrlProp394.xml"/><Relationship Id="rId178" Type="http://schemas.openxmlformats.org/officeDocument/2006/relationships/ctrlProp" Target="../ctrlProps/ctrlProp415.xml"/><Relationship Id="rId301" Type="http://schemas.openxmlformats.org/officeDocument/2006/relationships/ctrlProp" Target="../ctrlProps/ctrlProp538.xml"/><Relationship Id="rId322" Type="http://schemas.openxmlformats.org/officeDocument/2006/relationships/ctrlProp" Target="../ctrlProps/ctrlProp559.xml"/><Relationship Id="rId343" Type="http://schemas.openxmlformats.org/officeDocument/2006/relationships/ctrlProp" Target="../ctrlProps/ctrlProp580.xml"/><Relationship Id="rId61" Type="http://schemas.openxmlformats.org/officeDocument/2006/relationships/ctrlProp" Target="../ctrlProps/ctrlProp298.xml"/><Relationship Id="rId82" Type="http://schemas.openxmlformats.org/officeDocument/2006/relationships/ctrlProp" Target="../ctrlProps/ctrlProp319.xml"/><Relationship Id="rId199" Type="http://schemas.openxmlformats.org/officeDocument/2006/relationships/ctrlProp" Target="../ctrlProps/ctrlProp436.xml"/><Relationship Id="rId203" Type="http://schemas.openxmlformats.org/officeDocument/2006/relationships/ctrlProp" Target="../ctrlProps/ctrlProp440.xml"/><Relationship Id="rId19" Type="http://schemas.openxmlformats.org/officeDocument/2006/relationships/ctrlProp" Target="../ctrlProps/ctrlProp256.xml"/><Relationship Id="rId224" Type="http://schemas.openxmlformats.org/officeDocument/2006/relationships/ctrlProp" Target="../ctrlProps/ctrlProp461.xml"/><Relationship Id="rId245" Type="http://schemas.openxmlformats.org/officeDocument/2006/relationships/ctrlProp" Target="../ctrlProps/ctrlProp482.xml"/><Relationship Id="rId266" Type="http://schemas.openxmlformats.org/officeDocument/2006/relationships/ctrlProp" Target="../ctrlProps/ctrlProp503.xml"/><Relationship Id="rId287" Type="http://schemas.openxmlformats.org/officeDocument/2006/relationships/ctrlProp" Target="../ctrlProps/ctrlProp524.xml"/><Relationship Id="rId30" Type="http://schemas.openxmlformats.org/officeDocument/2006/relationships/ctrlProp" Target="../ctrlProps/ctrlProp267.xml"/><Relationship Id="rId105" Type="http://schemas.openxmlformats.org/officeDocument/2006/relationships/ctrlProp" Target="../ctrlProps/ctrlProp342.xml"/><Relationship Id="rId126" Type="http://schemas.openxmlformats.org/officeDocument/2006/relationships/ctrlProp" Target="../ctrlProps/ctrlProp363.xml"/><Relationship Id="rId147" Type="http://schemas.openxmlformats.org/officeDocument/2006/relationships/ctrlProp" Target="../ctrlProps/ctrlProp384.xml"/><Relationship Id="rId168" Type="http://schemas.openxmlformats.org/officeDocument/2006/relationships/ctrlProp" Target="../ctrlProps/ctrlProp405.xml"/><Relationship Id="rId312" Type="http://schemas.openxmlformats.org/officeDocument/2006/relationships/ctrlProp" Target="../ctrlProps/ctrlProp549.xml"/><Relationship Id="rId333" Type="http://schemas.openxmlformats.org/officeDocument/2006/relationships/ctrlProp" Target="../ctrlProps/ctrlProp570.xml"/><Relationship Id="rId354" Type="http://schemas.openxmlformats.org/officeDocument/2006/relationships/ctrlProp" Target="../ctrlProps/ctrlProp591.xml"/><Relationship Id="rId51" Type="http://schemas.openxmlformats.org/officeDocument/2006/relationships/ctrlProp" Target="../ctrlProps/ctrlProp288.xml"/><Relationship Id="rId72" Type="http://schemas.openxmlformats.org/officeDocument/2006/relationships/ctrlProp" Target="../ctrlProps/ctrlProp309.xml"/><Relationship Id="rId93" Type="http://schemas.openxmlformats.org/officeDocument/2006/relationships/ctrlProp" Target="../ctrlProps/ctrlProp330.xml"/><Relationship Id="rId189" Type="http://schemas.openxmlformats.org/officeDocument/2006/relationships/ctrlProp" Target="../ctrlProps/ctrlProp426.xml"/><Relationship Id="rId3" Type="http://schemas.openxmlformats.org/officeDocument/2006/relationships/vmlDrawing" Target="../drawings/vmlDrawing19.vml"/><Relationship Id="rId214" Type="http://schemas.openxmlformats.org/officeDocument/2006/relationships/ctrlProp" Target="../ctrlProps/ctrlProp451.xml"/><Relationship Id="rId235" Type="http://schemas.openxmlformats.org/officeDocument/2006/relationships/ctrlProp" Target="../ctrlProps/ctrlProp472.xml"/><Relationship Id="rId256" Type="http://schemas.openxmlformats.org/officeDocument/2006/relationships/ctrlProp" Target="../ctrlProps/ctrlProp493.xml"/><Relationship Id="rId277" Type="http://schemas.openxmlformats.org/officeDocument/2006/relationships/ctrlProp" Target="../ctrlProps/ctrlProp514.xml"/><Relationship Id="rId298" Type="http://schemas.openxmlformats.org/officeDocument/2006/relationships/ctrlProp" Target="../ctrlProps/ctrlProp535.xml"/><Relationship Id="rId116" Type="http://schemas.openxmlformats.org/officeDocument/2006/relationships/ctrlProp" Target="../ctrlProps/ctrlProp353.xml"/><Relationship Id="rId137" Type="http://schemas.openxmlformats.org/officeDocument/2006/relationships/ctrlProp" Target="../ctrlProps/ctrlProp374.xml"/><Relationship Id="rId158" Type="http://schemas.openxmlformats.org/officeDocument/2006/relationships/ctrlProp" Target="../ctrlProps/ctrlProp395.xml"/><Relationship Id="rId302" Type="http://schemas.openxmlformats.org/officeDocument/2006/relationships/ctrlProp" Target="../ctrlProps/ctrlProp539.xml"/><Relationship Id="rId323" Type="http://schemas.openxmlformats.org/officeDocument/2006/relationships/ctrlProp" Target="../ctrlProps/ctrlProp560.xml"/><Relationship Id="rId344" Type="http://schemas.openxmlformats.org/officeDocument/2006/relationships/ctrlProp" Target="../ctrlProps/ctrlProp581.xml"/><Relationship Id="rId20" Type="http://schemas.openxmlformats.org/officeDocument/2006/relationships/ctrlProp" Target="../ctrlProps/ctrlProp257.xml"/><Relationship Id="rId41" Type="http://schemas.openxmlformats.org/officeDocument/2006/relationships/ctrlProp" Target="../ctrlProps/ctrlProp278.xml"/><Relationship Id="rId62" Type="http://schemas.openxmlformats.org/officeDocument/2006/relationships/ctrlProp" Target="../ctrlProps/ctrlProp299.xml"/><Relationship Id="rId83" Type="http://schemas.openxmlformats.org/officeDocument/2006/relationships/ctrlProp" Target="../ctrlProps/ctrlProp320.xml"/><Relationship Id="rId179" Type="http://schemas.openxmlformats.org/officeDocument/2006/relationships/ctrlProp" Target="../ctrlProps/ctrlProp416.xml"/><Relationship Id="rId190" Type="http://schemas.openxmlformats.org/officeDocument/2006/relationships/ctrlProp" Target="../ctrlProps/ctrlProp427.xml"/><Relationship Id="rId204" Type="http://schemas.openxmlformats.org/officeDocument/2006/relationships/ctrlProp" Target="../ctrlProps/ctrlProp441.xml"/><Relationship Id="rId225" Type="http://schemas.openxmlformats.org/officeDocument/2006/relationships/ctrlProp" Target="../ctrlProps/ctrlProp462.xml"/><Relationship Id="rId246" Type="http://schemas.openxmlformats.org/officeDocument/2006/relationships/ctrlProp" Target="../ctrlProps/ctrlProp483.xml"/><Relationship Id="rId267" Type="http://schemas.openxmlformats.org/officeDocument/2006/relationships/ctrlProp" Target="../ctrlProps/ctrlProp504.xml"/><Relationship Id="rId288" Type="http://schemas.openxmlformats.org/officeDocument/2006/relationships/ctrlProp" Target="../ctrlProps/ctrlProp525.xml"/><Relationship Id="rId106" Type="http://schemas.openxmlformats.org/officeDocument/2006/relationships/ctrlProp" Target="../ctrlProps/ctrlProp343.xml"/><Relationship Id="rId127" Type="http://schemas.openxmlformats.org/officeDocument/2006/relationships/ctrlProp" Target="../ctrlProps/ctrlProp364.xml"/><Relationship Id="rId313" Type="http://schemas.openxmlformats.org/officeDocument/2006/relationships/ctrlProp" Target="../ctrlProps/ctrlProp550.xml"/><Relationship Id="rId10" Type="http://schemas.openxmlformats.org/officeDocument/2006/relationships/ctrlProp" Target="../ctrlProps/ctrlProp247.xml"/><Relationship Id="rId31" Type="http://schemas.openxmlformats.org/officeDocument/2006/relationships/ctrlProp" Target="../ctrlProps/ctrlProp268.xml"/><Relationship Id="rId52" Type="http://schemas.openxmlformats.org/officeDocument/2006/relationships/ctrlProp" Target="../ctrlProps/ctrlProp289.xml"/><Relationship Id="rId73" Type="http://schemas.openxmlformats.org/officeDocument/2006/relationships/ctrlProp" Target="../ctrlProps/ctrlProp310.xml"/><Relationship Id="rId94" Type="http://schemas.openxmlformats.org/officeDocument/2006/relationships/ctrlProp" Target="../ctrlProps/ctrlProp331.xml"/><Relationship Id="rId148" Type="http://schemas.openxmlformats.org/officeDocument/2006/relationships/ctrlProp" Target="../ctrlProps/ctrlProp385.xml"/><Relationship Id="rId169" Type="http://schemas.openxmlformats.org/officeDocument/2006/relationships/ctrlProp" Target="../ctrlProps/ctrlProp406.xml"/><Relationship Id="rId334" Type="http://schemas.openxmlformats.org/officeDocument/2006/relationships/ctrlProp" Target="../ctrlProps/ctrlProp571.xml"/><Relationship Id="rId355" Type="http://schemas.openxmlformats.org/officeDocument/2006/relationships/ctrlProp" Target="../ctrlProps/ctrlProp592.xml"/><Relationship Id="rId4" Type="http://schemas.openxmlformats.org/officeDocument/2006/relationships/ctrlProp" Target="../ctrlProps/ctrlProp241.xml"/><Relationship Id="rId180" Type="http://schemas.openxmlformats.org/officeDocument/2006/relationships/ctrlProp" Target="../ctrlProps/ctrlProp417.xml"/><Relationship Id="rId215" Type="http://schemas.openxmlformats.org/officeDocument/2006/relationships/ctrlProp" Target="../ctrlProps/ctrlProp452.xml"/><Relationship Id="rId236" Type="http://schemas.openxmlformats.org/officeDocument/2006/relationships/ctrlProp" Target="../ctrlProps/ctrlProp473.xml"/><Relationship Id="rId257" Type="http://schemas.openxmlformats.org/officeDocument/2006/relationships/ctrlProp" Target="../ctrlProps/ctrlProp494.xml"/><Relationship Id="rId278" Type="http://schemas.openxmlformats.org/officeDocument/2006/relationships/ctrlProp" Target="../ctrlProps/ctrlProp515.xml"/><Relationship Id="rId303" Type="http://schemas.openxmlformats.org/officeDocument/2006/relationships/ctrlProp" Target="../ctrlProps/ctrlProp540.xml"/><Relationship Id="rId42" Type="http://schemas.openxmlformats.org/officeDocument/2006/relationships/ctrlProp" Target="../ctrlProps/ctrlProp279.xml"/><Relationship Id="rId84" Type="http://schemas.openxmlformats.org/officeDocument/2006/relationships/ctrlProp" Target="../ctrlProps/ctrlProp321.xml"/><Relationship Id="rId138" Type="http://schemas.openxmlformats.org/officeDocument/2006/relationships/ctrlProp" Target="../ctrlProps/ctrlProp375.xml"/><Relationship Id="rId345" Type="http://schemas.openxmlformats.org/officeDocument/2006/relationships/ctrlProp" Target="../ctrlProps/ctrlProp582.xml"/><Relationship Id="rId191" Type="http://schemas.openxmlformats.org/officeDocument/2006/relationships/ctrlProp" Target="../ctrlProps/ctrlProp428.xml"/><Relationship Id="rId205" Type="http://schemas.openxmlformats.org/officeDocument/2006/relationships/ctrlProp" Target="../ctrlProps/ctrlProp442.xml"/><Relationship Id="rId247" Type="http://schemas.openxmlformats.org/officeDocument/2006/relationships/ctrlProp" Target="../ctrlProps/ctrlProp484.xml"/><Relationship Id="rId107" Type="http://schemas.openxmlformats.org/officeDocument/2006/relationships/ctrlProp" Target="../ctrlProps/ctrlProp344.xml"/><Relationship Id="rId289" Type="http://schemas.openxmlformats.org/officeDocument/2006/relationships/ctrlProp" Target="../ctrlProps/ctrlProp526.xml"/><Relationship Id="rId11" Type="http://schemas.openxmlformats.org/officeDocument/2006/relationships/ctrlProp" Target="../ctrlProps/ctrlProp248.xml"/><Relationship Id="rId53" Type="http://schemas.openxmlformats.org/officeDocument/2006/relationships/ctrlProp" Target="../ctrlProps/ctrlProp290.xml"/><Relationship Id="rId149" Type="http://schemas.openxmlformats.org/officeDocument/2006/relationships/ctrlProp" Target="../ctrlProps/ctrlProp386.xml"/><Relationship Id="rId314" Type="http://schemas.openxmlformats.org/officeDocument/2006/relationships/ctrlProp" Target="../ctrlProps/ctrlProp551.xml"/><Relationship Id="rId356" Type="http://schemas.openxmlformats.org/officeDocument/2006/relationships/ctrlProp" Target="../ctrlProps/ctrlProp593.xml"/><Relationship Id="rId95" Type="http://schemas.openxmlformats.org/officeDocument/2006/relationships/ctrlProp" Target="../ctrlProps/ctrlProp332.xml"/><Relationship Id="rId160" Type="http://schemas.openxmlformats.org/officeDocument/2006/relationships/ctrlProp" Target="../ctrlProps/ctrlProp397.xml"/><Relationship Id="rId216" Type="http://schemas.openxmlformats.org/officeDocument/2006/relationships/ctrlProp" Target="../ctrlProps/ctrlProp453.xml"/><Relationship Id="rId258" Type="http://schemas.openxmlformats.org/officeDocument/2006/relationships/ctrlProp" Target="../ctrlProps/ctrlProp495.xml"/><Relationship Id="rId22" Type="http://schemas.openxmlformats.org/officeDocument/2006/relationships/ctrlProp" Target="../ctrlProps/ctrlProp259.xml"/><Relationship Id="rId64" Type="http://schemas.openxmlformats.org/officeDocument/2006/relationships/ctrlProp" Target="../ctrlProps/ctrlProp301.xml"/><Relationship Id="rId118" Type="http://schemas.openxmlformats.org/officeDocument/2006/relationships/ctrlProp" Target="../ctrlProps/ctrlProp355.xml"/><Relationship Id="rId325" Type="http://schemas.openxmlformats.org/officeDocument/2006/relationships/ctrlProp" Target="../ctrlProps/ctrlProp562.xml"/><Relationship Id="rId171" Type="http://schemas.openxmlformats.org/officeDocument/2006/relationships/ctrlProp" Target="../ctrlProps/ctrlProp408.xml"/><Relationship Id="rId227" Type="http://schemas.openxmlformats.org/officeDocument/2006/relationships/ctrlProp" Target="../ctrlProps/ctrlProp464.xml"/><Relationship Id="rId269" Type="http://schemas.openxmlformats.org/officeDocument/2006/relationships/ctrlProp" Target="../ctrlProps/ctrlProp506.xml"/><Relationship Id="rId33" Type="http://schemas.openxmlformats.org/officeDocument/2006/relationships/ctrlProp" Target="../ctrlProps/ctrlProp270.xml"/><Relationship Id="rId129" Type="http://schemas.openxmlformats.org/officeDocument/2006/relationships/ctrlProp" Target="../ctrlProps/ctrlProp366.xml"/><Relationship Id="rId280" Type="http://schemas.openxmlformats.org/officeDocument/2006/relationships/ctrlProp" Target="../ctrlProps/ctrlProp517.xml"/><Relationship Id="rId336" Type="http://schemas.openxmlformats.org/officeDocument/2006/relationships/ctrlProp" Target="../ctrlProps/ctrlProp573.xml"/><Relationship Id="rId75" Type="http://schemas.openxmlformats.org/officeDocument/2006/relationships/ctrlProp" Target="../ctrlProps/ctrlProp312.xml"/><Relationship Id="rId140" Type="http://schemas.openxmlformats.org/officeDocument/2006/relationships/ctrlProp" Target="../ctrlProps/ctrlProp377.xml"/><Relationship Id="rId182" Type="http://schemas.openxmlformats.org/officeDocument/2006/relationships/ctrlProp" Target="../ctrlProps/ctrlProp419.xml"/><Relationship Id="rId6" Type="http://schemas.openxmlformats.org/officeDocument/2006/relationships/ctrlProp" Target="../ctrlProps/ctrlProp243.xml"/><Relationship Id="rId238" Type="http://schemas.openxmlformats.org/officeDocument/2006/relationships/ctrlProp" Target="../ctrlProps/ctrlProp475.xml"/><Relationship Id="rId291" Type="http://schemas.openxmlformats.org/officeDocument/2006/relationships/ctrlProp" Target="../ctrlProps/ctrlProp528.xml"/><Relationship Id="rId305" Type="http://schemas.openxmlformats.org/officeDocument/2006/relationships/ctrlProp" Target="../ctrlProps/ctrlProp542.xml"/><Relationship Id="rId347" Type="http://schemas.openxmlformats.org/officeDocument/2006/relationships/ctrlProp" Target="../ctrlProps/ctrlProp584.xml"/><Relationship Id="rId44" Type="http://schemas.openxmlformats.org/officeDocument/2006/relationships/ctrlProp" Target="../ctrlProps/ctrlProp281.xml"/><Relationship Id="rId86" Type="http://schemas.openxmlformats.org/officeDocument/2006/relationships/ctrlProp" Target="../ctrlProps/ctrlProp323.xml"/><Relationship Id="rId151" Type="http://schemas.openxmlformats.org/officeDocument/2006/relationships/ctrlProp" Target="../ctrlProps/ctrlProp388.xml"/><Relationship Id="rId193" Type="http://schemas.openxmlformats.org/officeDocument/2006/relationships/ctrlProp" Target="../ctrlProps/ctrlProp430.xml"/><Relationship Id="rId207" Type="http://schemas.openxmlformats.org/officeDocument/2006/relationships/ctrlProp" Target="../ctrlProps/ctrlProp444.xml"/><Relationship Id="rId249" Type="http://schemas.openxmlformats.org/officeDocument/2006/relationships/ctrlProp" Target="../ctrlProps/ctrlProp486.xml"/><Relationship Id="rId13" Type="http://schemas.openxmlformats.org/officeDocument/2006/relationships/ctrlProp" Target="../ctrlProps/ctrlProp250.xml"/><Relationship Id="rId109" Type="http://schemas.openxmlformats.org/officeDocument/2006/relationships/ctrlProp" Target="../ctrlProps/ctrlProp346.xml"/><Relationship Id="rId260" Type="http://schemas.openxmlformats.org/officeDocument/2006/relationships/ctrlProp" Target="../ctrlProps/ctrlProp497.xml"/><Relationship Id="rId316" Type="http://schemas.openxmlformats.org/officeDocument/2006/relationships/ctrlProp" Target="../ctrlProps/ctrlProp553.xml"/><Relationship Id="rId55" Type="http://schemas.openxmlformats.org/officeDocument/2006/relationships/ctrlProp" Target="../ctrlProps/ctrlProp292.xml"/><Relationship Id="rId97" Type="http://schemas.openxmlformats.org/officeDocument/2006/relationships/ctrlProp" Target="../ctrlProps/ctrlProp334.xml"/><Relationship Id="rId120" Type="http://schemas.openxmlformats.org/officeDocument/2006/relationships/ctrlProp" Target="../ctrlProps/ctrlProp357.xml"/><Relationship Id="rId358" Type="http://schemas.openxmlformats.org/officeDocument/2006/relationships/ctrlProp" Target="../ctrlProps/ctrlProp595.xml"/><Relationship Id="rId162" Type="http://schemas.openxmlformats.org/officeDocument/2006/relationships/ctrlProp" Target="../ctrlProps/ctrlProp399.xml"/><Relationship Id="rId218" Type="http://schemas.openxmlformats.org/officeDocument/2006/relationships/ctrlProp" Target="../ctrlProps/ctrlProp455.xml"/><Relationship Id="rId271" Type="http://schemas.openxmlformats.org/officeDocument/2006/relationships/ctrlProp" Target="../ctrlProps/ctrlProp508.xml"/><Relationship Id="rId24" Type="http://schemas.openxmlformats.org/officeDocument/2006/relationships/ctrlProp" Target="../ctrlProps/ctrlProp261.xml"/><Relationship Id="rId66" Type="http://schemas.openxmlformats.org/officeDocument/2006/relationships/ctrlProp" Target="../ctrlProps/ctrlProp303.xml"/><Relationship Id="rId131" Type="http://schemas.openxmlformats.org/officeDocument/2006/relationships/ctrlProp" Target="../ctrlProps/ctrlProp368.xml"/><Relationship Id="rId327" Type="http://schemas.openxmlformats.org/officeDocument/2006/relationships/ctrlProp" Target="../ctrlProps/ctrlProp564.xml"/><Relationship Id="rId173" Type="http://schemas.openxmlformats.org/officeDocument/2006/relationships/ctrlProp" Target="../ctrlProps/ctrlProp410.xml"/><Relationship Id="rId229" Type="http://schemas.openxmlformats.org/officeDocument/2006/relationships/ctrlProp" Target="../ctrlProps/ctrlProp466.xml"/><Relationship Id="rId240" Type="http://schemas.openxmlformats.org/officeDocument/2006/relationships/ctrlProp" Target="../ctrlProps/ctrlProp477.xml"/><Relationship Id="rId35" Type="http://schemas.openxmlformats.org/officeDocument/2006/relationships/ctrlProp" Target="../ctrlProps/ctrlProp272.xml"/><Relationship Id="rId77" Type="http://schemas.openxmlformats.org/officeDocument/2006/relationships/ctrlProp" Target="../ctrlProps/ctrlProp314.xml"/><Relationship Id="rId100" Type="http://schemas.openxmlformats.org/officeDocument/2006/relationships/ctrlProp" Target="../ctrlProps/ctrlProp337.xml"/><Relationship Id="rId282" Type="http://schemas.openxmlformats.org/officeDocument/2006/relationships/ctrlProp" Target="../ctrlProps/ctrlProp519.xml"/><Relationship Id="rId338" Type="http://schemas.openxmlformats.org/officeDocument/2006/relationships/ctrlProp" Target="../ctrlProps/ctrlProp575.xml"/><Relationship Id="rId8" Type="http://schemas.openxmlformats.org/officeDocument/2006/relationships/ctrlProp" Target="../ctrlProps/ctrlProp245.xml"/><Relationship Id="rId142" Type="http://schemas.openxmlformats.org/officeDocument/2006/relationships/ctrlProp" Target="../ctrlProps/ctrlProp379.xml"/><Relationship Id="rId184" Type="http://schemas.openxmlformats.org/officeDocument/2006/relationships/ctrlProp" Target="../ctrlProps/ctrlProp421.xml"/><Relationship Id="rId251" Type="http://schemas.openxmlformats.org/officeDocument/2006/relationships/ctrlProp" Target="../ctrlProps/ctrlProp488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Relationship Id="rId4" Type="http://schemas.openxmlformats.org/officeDocument/2006/relationships/comments" Target="../comments4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Relationship Id="rId4" Type="http://schemas.openxmlformats.org/officeDocument/2006/relationships/comments" Target="../comments5.xm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rgb="FFFF3300"/>
  </sheetPr>
  <dimension ref="A1:Z527"/>
  <sheetViews>
    <sheetView zoomScaleNormal="100" workbookViewId="0">
      <selection activeCell="B4" sqref="B4"/>
    </sheetView>
  </sheetViews>
  <sheetFormatPr baseColWidth="10" defaultColWidth="11.44140625" defaultRowHeight="14.4" x14ac:dyDescent="0.25"/>
  <cols>
    <col min="1" max="1" width="46.88671875" style="963" customWidth="1"/>
    <col min="2" max="2" width="4.88671875" style="964" hidden="1" customWidth="1"/>
    <col min="3" max="3" width="48.5546875" style="891" customWidth="1"/>
    <col min="4" max="4" width="45.6640625" style="891" customWidth="1"/>
    <col min="5" max="5" width="46.88671875" style="891" customWidth="1"/>
    <col min="6" max="6" width="45.44140625" style="891" customWidth="1"/>
    <col min="7" max="7" width="36" style="961" customWidth="1"/>
    <col min="8" max="8" width="22.6640625" style="891" customWidth="1"/>
    <col min="9" max="9" width="11.44140625" style="892"/>
    <col min="10" max="10" width="14.5546875" style="883" customWidth="1"/>
    <col min="11" max="25" width="11.44140625" style="891"/>
    <col min="26" max="26" width="0" style="891" hidden="1" customWidth="1"/>
    <col min="27" max="256" width="11.44140625" style="891"/>
    <col min="257" max="257" width="41.5546875" style="891" customWidth="1"/>
    <col min="258" max="258" width="12.88671875" style="891" customWidth="1"/>
    <col min="259" max="263" width="34" style="891" customWidth="1"/>
    <col min="264" max="512" width="11.44140625" style="891"/>
    <col min="513" max="513" width="41.5546875" style="891" customWidth="1"/>
    <col min="514" max="514" width="12.88671875" style="891" customWidth="1"/>
    <col min="515" max="519" width="34" style="891" customWidth="1"/>
    <col min="520" max="768" width="11.44140625" style="891"/>
    <col min="769" max="769" width="41.5546875" style="891" customWidth="1"/>
    <col min="770" max="770" width="12.88671875" style="891" customWidth="1"/>
    <col min="771" max="775" width="34" style="891" customWidth="1"/>
    <col min="776" max="1024" width="11.44140625" style="891"/>
    <col min="1025" max="1025" width="41.5546875" style="891" customWidth="1"/>
    <col min="1026" max="1026" width="12.88671875" style="891" customWidth="1"/>
    <col min="1027" max="1031" width="34" style="891" customWidth="1"/>
    <col min="1032" max="1280" width="11.44140625" style="891"/>
    <col min="1281" max="1281" width="41.5546875" style="891" customWidth="1"/>
    <col min="1282" max="1282" width="12.88671875" style="891" customWidth="1"/>
    <col min="1283" max="1287" width="34" style="891" customWidth="1"/>
    <col min="1288" max="1536" width="11.44140625" style="891"/>
    <col min="1537" max="1537" width="41.5546875" style="891" customWidth="1"/>
    <col min="1538" max="1538" width="12.88671875" style="891" customWidth="1"/>
    <col min="1539" max="1543" width="34" style="891" customWidth="1"/>
    <col min="1544" max="1792" width="11.44140625" style="891"/>
    <col min="1793" max="1793" width="41.5546875" style="891" customWidth="1"/>
    <col min="1794" max="1794" width="12.88671875" style="891" customWidth="1"/>
    <col min="1795" max="1799" width="34" style="891" customWidth="1"/>
    <col min="1800" max="2048" width="11.44140625" style="891"/>
    <col min="2049" max="2049" width="41.5546875" style="891" customWidth="1"/>
    <col min="2050" max="2050" width="12.88671875" style="891" customWidth="1"/>
    <col min="2051" max="2055" width="34" style="891" customWidth="1"/>
    <col min="2056" max="2304" width="11.44140625" style="891"/>
    <col min="2305" max="2305" width="41.5546875" style="891" customWidth="1"/>
    <col min="2306" max="2306" width="12.88671875" style="891" customWidth="1"/>
    <col min="2307" max="2311" width="34" style="891" customWidth="1"/>
    <col min="2312" max="2560" width="11.44140625" style="891"/>
    <col min="2561" max="2561" width="41.5546875" style="891" customWidth="1"/>
    <col min="2562" max="2562" width="12.88671875" style="891" customWidth="1"/>
    <col min="2563" max="2567" width="34" style="891" customWidth="1"/>
    <col min="2568" max="2816" width="11.44140625" style="891"/>
    <col min="2817" max="2817" width="41.5546875" style="891" customWidth="1"/>
    <col min="2818" max="2818" width="12.88671875" style="891" customWidth="1"/>
    <col min="2819" max="2823" width="34" style="891" customWidth="1"/>
    <col min="2824" max="3072" width="11.44140625" style="891"/>
    <col min="3073" max="3073" width="41.5546875" style="891" customWidth="1"/>
    <col min="3074" max="3074" width="12.88671875" style="891" customWidth="1"/>
    <col min="3075" max="3079" width="34" style="891" customWidth="1"/>
    <col min="3080" max="3328" width="11.44140625" style="891"/>
    <col min="3329" max="3329" width="41.5546875" style="891" customWidth="1"/>
    <col min="3330" max="3330" width="12.88671875" style="891" customWidth="1"/>
    <col min="3331" max="3335" width="34" style="891" customWidth="1"/>
    <col min="3336" max="3584" width="11.44140625" style="891"/>
    <col min="3585" max="3585" width="41.5546875" style="891" customWidth="1"/>
    <col min="3586" max="3586" width="12.88671875" style="891" customWidth="1"/>
    <col min="3587" max="3591" width="34" style="891" customWidth="1"/>
    <col min="3592" max="3840" width="11.44140625" style="891"/>
    <col min="3841" max="3841" width="41.5546875" style="891" customWidth="1"/>
    <col min="3842" max="3842" width="12.88671875" style="891" customWidth="1"/>
    <col min="3843" max="3847" width="34" style="891" customWidth="1"/>
    <col min="3848" max="4096" width="11.44140625" style="891"/>
    <col min="4097" max="4097" width="41.5546875" style="891" customWidth="1"/>
    <col min="4098" max="4098" width="12.88671875" style="891" customWidth="1"/>
    <col min="4099" max="4103" width="34" style="891" customWidth="1"/>
    <col min="4104" max="4352" width="11.44140625" style="891"/>
    <col min="4353" max="4353" width="41.5546875" style="891" customWidth="1"/>
    <col min="4354" max="4354" width="12.88671875" style="891" customWidth="1"/>
    <col min="4355" max="4359" width="34" style="891" customWidth="1"/>
    <col min="4360" max="4608" width="11.44140625" style="891"/>
    <col min="4609" max="4609" width="41.5546875" style="891" customWidth="1"/>
    <col min="4610" max="4610" width="12.88671875" style="891" customWidth="1"/>
    <col min="4611" max="4615" width="34" style="891" customWidth="1"/>
    <col min="4616" max="4864" width="11.44140625" style="891"/>
    <col min="4865" max="4865" width="41.5546875" style="891" customWidth="1"/>
    <col min="4866" max="4866" width="12.88671875" style="891" customWidth="1"/>
    <col min="4867" max="4871" width="34" style="891" customWidth="1"/>
    <col min="4872" max="5120" width="11.44140625" style="891"/>
    <col min="5121" max="5121" width="41.5546875" style="891" customWidth="1"/>
    <col min="5122" max="5122" width="12.88671875" style="891" customWidth="1"/>
    <col min="5123" max="5127" width="34" style="891" customWidth="1"/>
    <col min="5128" max="5376" width="11.44140625" style="891"/>
    <col min="5377" max="5377" width="41.5546875" style="891" customWidth="1"/>
    <col min="5378" max="5378" width="12.88671875" style="891" customWidth="1"/>
    <col min="5379" max="5383" width="34" style="891" customWidth="1"/>
    <col min="5384" max="5632" width="11.44140625" style="891"/>
    <col min="5633" max="5633" width="41.5546875" style="891" customWidth="1"/>
    <col min="5634" max="5634" width="12.88671875" style="891" customWidth="1"/>
    <col min="5635" max="5639" width="34" style="891" customWidth="1"/>
    <col min="5640" max="5888" width="11.44140625" style="891"/>
    <col min="5889" max="5889" width="41.5546875" style="891" customWidth="1"/>
    <col min="5890" max="5890" width="12.88671875" style="891" customWidth="1"/>
    <col min="5891" max="5895" width="34" style="891" customWidth="1"/>
    <col min="5896" max="6144" width="11.44140625" style="891"/>
    <col min="6145" max="6145" width="41.5546875" style="891" customWidth="1"/>
    <col min="6146" max="6146" width="12.88671875" style="891" customWidth="1"/>
    <col min="6147" max="6151" width="34" style="891" customWidth="1"/>
    <col min="6152" max="6400" width="11.44140625" style="891"/>
    <col min="6401" max="6401" width="41.5546875" style="891" customWidth="1"/>
    <col min="6402" max="6402" width="12.88671875" style="891" customWidth="1"/>
    <col min="6403" max="6407" width="34" style="891" customWidth="1"/>
    <col min="6408" max="6656" width="11.44140625" style="891"/>
    <col min="6657" max="6657" width="41.5546875" style="891" customWidth="1"/>
    <col min="6658" max="6658" width="12.88671875" style="891" customWidth="1"/>
    <col min="6659" max="6663" width="34" style="891" customWidth="1"/>
    <col min="6664" max="6912" width="11.44140625" style="891"/>
    <col min="6913" max="6913" width="41.5546875" style="891" customWidth="1"/>
    <col min="6914" max="6914" width="12.88671875" style="891" customWidth="1"/>
    <col min="6915" max="6919" width="34" style="891" customWidth="1"/>
    <col min="6920" max="7168" width="11.44140625" style="891"/>
    <col min="7169" max="7169" width="41.5546875" style="891" customWidth="1"/>
    <col min="7170" max="7170" width="12.88671875" style="891" customWidth="1"/>
    <col min="7171" max="7175" width="34" style="891" customWidth="1"/>
    <col min="7176" max="7424" width="11.44140625" style="891"/>
    <col min="7425" max="7425" width="41.5546875" style="891" customWidth="1"/>
    <col min="7426" max="7426" width="12.88671875" style="891" customWidth="1"/>
    <col min="7427" max="7431" width="34" style="891" customWidth="1"/>
    <col min="7432" max="7680" width="11.44140625" style="891"/>
    <col min="7681" max="7681" width="41.5546875" style="891" customWidth="1"/>
    <col min="7682" max="7682" width="12.88671875" style="891" customWidth="1"/>
    <col min="7683" max="7687" width="34" style="891" customWidth="1"/>
    <col min="7688" max="7936" width="11.44140625" style="891"/>
    <col min="7937" max="7937" width="41.5546875" style="891" customWidth="1"/>
    <col min="7938" max="7938" width="12.88671875" style="891" customWidth="1"/>
    <col min="7939" max="7943" width="34" style="891" customWidth="1"/>
    <col min="7944" max="8192" width="11.44140625" style="891"/>
    <col min="8193" max="8193" width="41.5546875" style="891" customWidth="1"/>
    <col min="8194" max="8194" width="12.88671875" style="891" customWidth="1"/>
    <col min="8195" max="8199" width="34" style="891" customWidth="1"/>
    <col min="8200" max="8448" width="11.44140625" style="891"/>
    <col min="8449" max="8449" width="41.5546875" style="891" customWidth="1"/>
    <col min="8450" max="8450" width="12.88671875" style="891" customWidth="1"/>
    <col min="8451" max="8455" width="34" style="891" customWidth="1"/>
    <col min="8456" max="8704" width="11.44140625" style="891"/>
    <col min="8705" max="8705" width="41.5546875" style="891" customWidth="1"/>
    <col min="8706" max="8706" width="12.88671875" style="891" customWidth="1"/>
    <col min="8707" max="8711" width="34" style="891" customWidth="1"/>
    <col min="8712" max="8960" width="11.44140625" style="891"/>
    <col min="8961" max="8961" width="41.5546875" style="891" customWidth="1"/>
    <col min="8962" max="8962" width="12.88671875" style="891" customWidth="1"/>
    <col min="8963" max="8967" width="34" style="891" customWidth="1"/>
    <col min="8968" max="9216" width="11.44140625" style="891"/>
    <col min="9217" max="9217" width="41.5546875" style="891" customWidth="1"/>
    <col min="9218" max="9218" width="12.88671875" style="891" customWidth="1"/>
    <col min="9219" max="9223" width="34" style="891" customWidth="1"/>
    <col min="9224" max="9472" width="11.44140625" style="891"/>
    <col min="9473" max="9473" width="41.5546875" style="891" customWidth="1"/>
    <col min="9474" max="9474" width="12.88671875" style="891" customWidth="1"/>
    <col min="9475" max="9479" width="34" style="891" customWidth="1"/>
    <col min="9480" max="9728" width="11.44140625" style="891"/>
    <col min="9729" max="9729" width="41.5546875" style="891" customWidth="1"/>
    <col min="9730" max="9730" width="12.88671875" style="891" customWidth="1"/>
    <col min="9731" max="9735" width="34" style="891" customWidth="1"/>
    <col min="9736" max="9984" width="11.44140625" style="891"/>
    <col min="9985" max="9985" width="41.5546875" style="891" customWidth="1"/>
    <col min="9986" max="9986" width="12.88671875" style="891" customWidth="1"/>
    <col min="9987" max="9991" width="34" style="891" customWidth="1"/>
    <col min="9992" max="10240" width="11.44140625" style="891"/>
    <col min="10241" max="10241" width="41.5546875" style="891" customWidth="1"/>
    <col min="10242" max="10242" width="12.88671875" style="891" customWidth="1"/>
    <col min="10243" max="10247" width="34" style="891" customWidth="1"/>
    <col min="10248" max="10496" width="11.44140625" style="891"/>
    <col min="10497" max="10497" width="41.5546875" style="891" customWidth="1"/>
    <col min="10498" max="10498" width="12.88671875" style="891" customWidth="1"/>
    <col min="10499" max="10503" width="34" style="891" customWidth="1"/>
    <col min="10504" max="10752" width="11.44140625" style="891"/>
    <col min="10753" max="10753" width="41.5546875" style="891" customWidth="1"/>
    <col min="10754" max="10754" width="12.88671875" style="891" customWidth="1"/>
    <col min="10755" max="10759" width="34" style="891" customWidth="1"/>
    <col min="10760" max="11008" width="11.44140625" style="891"/>
    <col min="11009" max="11009" width="41.5546875" style="891" customWidth="1"/>
    <col min="11010" max="11010" width="12.88671875" style="891" customWidth="1"/>
    <col min="11011" max="11015" width="34" style="891" customWidth="1"/>
    <col min="11016" max="11264" width="11.44140625" style="891"/>
    <col min="11265" max="11265" width="41.5546875" style="891" customWidth="1"/>
    <col min="11266" max="11266" width="12.88671875" style="891" customWidth="1"/>
    <col min="11267" max="11271" width="34" style="891" customWidth="1"/>
    <col min="11272" max="11520" width="11.44140625" style="891"/>
    <col min="11521" max="11521" width="41.5546875" style="891" customWidth="1"/>
    <col min="11522" max="11522" width="12.88671875" style="891" customWidth="1"/>
    <col min="11523" max="11527" width="34" style="891" customWidth="1"/>
    <col min="11528" max="11776" width="11.44140625" style="891"/>
    <col min="11777" max="11777" width="41.5546875" style="891" customWidth="1"/>
    <col min="11778" max="11778" width="12.88671875" style="891" customWidth="1"/>
    <col min="11779" max="11783" width="34" style="891" customWidth="1"/>
    <col min="11784" max="12032" width="11.44140625" style="891"/>
    <col min="12033" max="12033" width="41.5546875" style="891" customWidth="1"/>
    <col min="12034" max="12034" width="12.88671875" style="891" customWidth="1"/>
    <col min="12035" max="12039" width="34" style="891" customWidth="1"/>
    <col min="12040" max="12288" width="11.44140625" style="891"/>
    <col min="12289" max="12289" width="41.5546875" style="891" customWidth="1"/>
    <col min="12290" max="12290" width="12.88671875" style="891" customWidth="1"/>
    <col min="12291" max="12295" width="34" style="891" customWidth="1"/>
    <col min="12296" max="12544" width="11.44140625" style="891"/>
    <col min="12545" max="12545" width="41.5546875" style="891" customWidth="1"/>
    <col min="12546" max="12546" width="12.88671875" style="891" customWidth="1"/>
    <col min="12547" max="12551" width="34" style="891" customWidth="1"/>
    <col min="12552" max="12800" width="11.44140625" style="891"/>
    <col min="12801" max="12801" width="41.5546875" style="891" customWidth="1"/>
    <col min="12802" max="12802" width="12.88671875" style="891" customWidth="1"/>
    <col min="12803" max="12807" width="34" style="891" customWidth="1"/>
    <col min="12808" max="13056" width="11.44140625" style="891"/>
    <col min="13057" max="13057" width="41.5546875" style="891" customWidth="1"/>
    <col min="13058" max="13058" width="12.88671875" style="891" customWidth="1"/>
    <col min="13059" max="13063" width="34" style="891" customWidth="1"/>
    <col min="13064" max="13312" width="11.44140625" style="891"/>
    <col min="13313" max="13313" width="41.5546875" style="891" customWidth="1"/>
    <col min="13314" max="13314" width="12.88671875" style="891" customWidth="1"/>
    <col min="13315" max="13319" width="34" style="891" customWidth="1"/>
    <col min="13320" max="13568" width="11.44140625" style="891"/>
    <col min="13569" max="13569" width="41.5546875" style="891" customWidth="1"/>
    <col min="13570" max="13570" width="12.88671875" style="891" customWidth="1"/>
    <col min="13571" max="13575" width="34" style="891" customWidth="1"/>
    <col min="13576" max="13824" width="11.44140625" style="891"/>
    <col min="13825" max="13825" width="41.5546875" style="891" customWidth="1"/>
    <col min="13826" max="13826" width="12.88671875" style="891" customWidth="1"/>
    <col min="13827" max="13831" width="34" style="891" customWidth="1"/>
    <col min="13832" max="14080" width="11.44140625" style="891"/>
    <col min="14081" max="14081" width="41.5546875" style="891" customWidth="1"/>
    <col min="14082" max="14082" width="12.88671875" style="891" customWidth="1"/>
    <col min="14083" max="14087" width="34" style="891" customWidth="1"/>
    <col min="14088" max="14336" width="11.44140625" style="891"/>
    <col min="14337" max="14337" width="41.5546875" style="891" customWidth="1"/>
    <col min="14338" max="14338" width="12.88671875" style="891" customWidth="1"/>
    <col min="14339" max="14343" width="34" style="891" customWidth="1"/>
    <col min="14344" max="14592" width="11.44140625" style="891"/>
    <col min="14593" max="14593" width="41.5546875" style="891" customWidth="1"/>
    <col min="14594" max="14594" width="12.88671875" style="891" customWidth="1"/>
    <col min="14595" max="14599" width="34" style="891" customWidth="1"/>
    <col min="14600" max="14848" width="11.44140625" style="891"/>
    <col min="14849" max="14849" width="41.5546875" style="891" customWidth="1"/>
    <col min="14850" max="14850" width="12.88671875" style="891" customWidth="1"/>
    <col min="14851" max="14855" width="34" style="891" customWidth="1"/>
    <col min="14856" max="15104" width="11.44140625" style="891"/>
    <col min="15105" max="15105" width="41.5546875" style="891" customWidth="1"/>
    <col min="15106" max="15106" width="12.88671875" style="891" customWidth="1"/>
    <col min="15107" max="15111" width="34" style="891" customWidth="1"/>
    <col min="15112" max="15360" width="11.44140625" style="891"/>
    <col min="15361" max="15361" width="41.5546875" style="891" customWidth="1"/>
    <col min="15362" max="15362" width="12.88671875" style="891" customWidth="1"/>
    <col min="15363" max="15367" width="34" style="891" customWidth="1"/>
    <col min="15368" max="15616" width="11.44140625" style="891"/>
    <col min="15617" max="15617" width="41.5546875" style="891" customWidth="1"/>
    <col min="15618" max="15618" width="12.88671875" style="891" customWidth="1"/>
    <col min="15619" max="15623" width="34" style="891" customWidth="1"/>
    <col min="15624" max="15872" width="11.44140625" style="891"/>
    <col min="15873" max="15873" width="41.5546875" style="891" customWidth="1"/>
    <col min="15874" max="15874" width="12.88671875" style="891" customWidth="1"/>
    <col min="15875" max="15879" width="34" style="891" customWidth="1"/>
    <col min="15880" max="16128" width="11.44140625" style="891"/>
    <col min="16129" max="16129" width="41.5546875" style="891" customWidth="1"/>
    <col min="16130" max="16130" width="12.88671875" style="891" customWidth="1"/>
    <col min="16131" max="16135" width="34" style="891" customWidth="1"/>
    <col min="16136" max="16384" width="11.44140625" style="891"/>
  </cols>
  <sheetData>
    <row r="1" spans="1:26" x14ac:dyDescent="0.25">
      <c r="A1" s="888" t="str">
        <f ca="1">OFFSET($C1,0,$Z$5-1)</f>
        <v>Français</v>
      </c>
      <c r="B1" s="889"/>
      <c r="C1" s="890" t="s">
        <v>5</v>
      </c>
      <c r="D1" s="890" t="s">
        <v>6</v>
      </c>
      <c r="E1" s="890" t="s">
        <v>7</v>
      </c>
      <c r="F1" s="890" t="s">
        <v>8</v>
      </c>
      <c r="G1" s="890"/>
      <c r="Z1" s="883"/>
    </row>
    <row r="2" spans="1:26" x14ac:dyDescent="0.25">
      <c r="A2" s="893" t="s">
        <v>9</v>
      </c>
      <c r="B2" s="894"/>
      <c r="C2" s="895" t="s">
        <v>10</v>
      </c>
      <c r="D2" s="895" t="s">
        <v>11</v>
      </c>
      <c r="E2" s="895" t="s">
        <v>12</v>
      </c>
      <c r="F2" s="895" t="s">
        <v>13</v>
      </c>
      <c r="G2" s="895" t="s">
        <v>14</v>
      </c>
      <c r="Z2" s="883"/>
    </row>
    <row r="3" spans="1:26" x14ac:dyDescent="0.25">
      <c r="A3" s="896" t="s">
        <v>15</v>
      </c>
      <c r="B3" s="894"/>
      <c r="C3" s="897" t="s">
        <v>5</v>
      </c>
      <c r="D3" s="897" t="s">
        <v>6</v>
      </c>
      <c r="E3" s="897" t="s">
        <v>7</v>
      </c>
      <c r="F3" s="897" t="s">
        <v>8</v>
      </c>
      <c r="G3" s="897" t="s">
        <v>16</v>
      </c>
      <c r="Z3" s="883"/>
    </row>
    <row r="4" spans="1:26" ht="0.15" customHeight="1" x14ac:dyDescent="0.25">
      <c r="A4" s="893"/>
      <c r="B4" s="976">
        <v>2</v>
      </c>
      <c r="C4" s="898"/>
      <c r="D4" s="898"/>
      <c r="E4" s="898"/>
      <c r="F4" s="898"/>
      <c r="G4" s="899"/>
      <c r="Z4" s="883">
        <v>55153</v>
      </c>
    </row>
    <row r="5" spans="1:26" s="905" customFormat="1" x14ac:dyDescent="0.25">
      <c r="A5" s="900" t="str">
        <f t="shared" ref="A5:A36" ca="1" si="0">OFFSET($C5,0,$Z$5-1)</f>
        <v>G E S T I O N   D E    L ' I N N O V A T I O N</v>
      </c>
      <c r="B5" s="901"/>
      <c r="C5" s="902" t="s">
        <v>864</v>
      </c>
      <c r="D5" s="902" t="s">
        <v>865</v>
      </c>
      <c r="E5" s="903" t="s">
        <v>1925</v>
      </c>
      <c r="F5" s="903"/>
      <c r="G5" s="904" t="s">
        <v>17</v>
      </c>
      <c r="I5" s="892"/>
      <c r="Z5" s="883">
        <f ca="1">IF(AND('Menu Innovation'!C35="© iManagement • s.imboden • www.2iManagement.ch",
TODAY()&lt;=$Z$4),
$B$4,5)</f>
        <v>2</v>
      </c>
    </row>
    <row r="6" spans="1:26" x14ac:dyDescent="0.25">
      <c r="A6" s="906" t="str">
        <f t="shared" ca="1" si="0"/>
        <v>Vision stratégies</v>
      </c>
      <c r="B6" s="889"/>
      <c r="C6" s="907" t="s">
        <v>1018</v>
      </c>
      <c r="D6" s="908" t="s">
        <v>1926</v>
      </c>
      <c r="E6" s="909" t="s">
        <v>1927</v>
      </c>
      <c r="F6" s="909"/>
      <c r="G6" s="910" t="s">
        <v>17</v>
      </c>
      <c r="Z6" s="884" t="s">
        <v>5</v>
      </c>
    </row>
    <row r="7" spans="1:26" x14ac:dyDescent="0.25">
      <c r="A7" s="888" t="str">
        <f t="shared" ca="1" si="0"/>
        <v>Phase d'exploration</v>
      </c>
      <c r="B7" s="889"/>
      <c r="C7" s="911" t="s">
        <v>1019</v>
      </c>
      <c r="D7" s="890" t="s">
        <v>1022</v>
      </c>
      <c r="E7" s="912" t="s">
        <v>1928</v>
      </c>
      <c r="F7" s="912"/>
      <c r="G7" s="913" t="s">
        <v>17</v>
      </c>
      <c r="Z7" s="884" t="s">
        <v>6</v>
      </c>
    </row>
    <row r="8" spans="1:26" x14ac:dyDescent="0.25">
      <c r="A8" s="888" t="str">
        <f t="shared" ca="1" si="0"/>
        <v>Phase créative</v>
      </c>
      <c r="B8" s="889"/>
      <c r="C8" s="890" t="s">
        <v>1020</v>
      </c>
      <c r="D8" s="890" t="s">
        <v>1023</v>
      </c>
      <c r="E8" s="912" t="s">
        <v>1929</v>
      </c>
      <c r="F8" s="912"/>
      <c r="G8" s="913" t="s">
        <v>17</v>
      </c>
      <c r="Z8" s="884" t="s">
        <v>7</v>
      </c>
    </row>
    <row r="9" spans="1:26" x14ac:dyDescent="0.25">
      <c r="A9" s="888" t="str">
        <f t="shared" ca="1" si="0"/>
        <v>Phase de l'innovation</v>
      </c>
      <c r="B9" s="889"/>
      <c r="C9" s="911" t="s">
        <v>1021</v>
      </c>
      <c r="D9" s="890" t="s">
        <v>1024</v>
      </c>
      <c r="E9" s="912" t="s">
        <v>1930</v>
      </c>
      <c r="F9" s="912"/>
      <c r="G9" s="913" t="s">
        <v>17</v>
      </c>
      <c r="Z9" s="884" t="s">
        <v>8</v>
      </c>
    </row>
    <row r="10" spans="1:26" x14ac:dyDescent="0.25">
      <c r="A10" s="888" t="str">
        <f t="shared" ca="1" si="0"/>
        <v>Analyse</v>
      </c>
      <c r="B10" s="889"/>
      <c r="C10" s="914" t="s">
        <v>1025</v>
      </c>
      <c r="D10" s="914" t="s">
        <v>1025</v>
      </c>
      <c r="E10" s="912" t="s">
        <v>1931</v>
      </c>
      <c r="F10" s="912"/>
      <c r="G10" s="913" t="s">
        <v>17</v>
      </c>
    </row>
    <row r="11" spans="1:26" x14ac:dyDescent="0.25">
      <c r="A11" s="888" t="str">
        <f t="shared" ca="1" si="0"/>
        <v>Stratégies d'innovation</v>
      </c>
      <c r="B11" s="889"/>
      <c r="C11" s="914" t="s">
        <v>1026</v>
      </c>
      <c r="D11" s="914" t="s">
        <v>1352</v>
      </c>
      <c r="E11" s="912" t="s">
        <v>1932</v>
      </c>
      <c r="F11" s="912"/>
      <c r="G11" s="913" t="s">
        <v>17</v>
      </c>
    </row>
    <row r="12" spans="1:26" x14ac:dyDescent="0.25">
      <c r="A12" s="888" t="str">
        <f t="shared" ca="1" si="0"/>
        <v>Gestion des idées</v>
      </c>
      <c r="B12" s="889"/>
      <c r="C12" s="914" t="s">
        <v>1027</v>
      </c>
      <c r="D12" s="914" t="s">
        <v>642</v>
      </c>
      <c r="E12" s="912" t="s">
        <v>1933</v>
      </c>
      <c r="F12" s="912"/>
      <c r="G12" s="913" t="s">
        <v>17</v>
      </c>
    </row>
    <row r="13" spans="1:26" x14ac:dyDescent="0.25">
      <c r="A13" s="888" t="str">
        <f t="shared" ca="1" si="0"/>
        <v>Objectifs &amp; stratégies</v>
      </c>
      <c r="B13" s="889"/>
      <c r="C13" s="890" t="s">
        <v>20</v>
      </c>
      <c r="D13" s="914" t="s">
        <v>1029</v>
      </c>
      <c r="E13" s="912" t="s">
        <v>1934</v>
      </c>
      <c r="F13" s="912"/>
      <c r="G13" s="913" t="s">
        <v>17</v>
      </c>
    </row>
    <row r="14" spans="1:26" x14ac:dyDescent="0.25">
      <c r="A14" s="888" t="str">
        <f t="shared" ca="1" si="0"/>
        <v>Business Plan</v>
      </c>
      <c r="B14" s="889"/>
      <c r="C14" s="914" t="s">
        <v>1028</v>
      </c>
      <c r="D14" s="914" t="s">
        <v>1028</v>
      </c>
      <c r="E14" s="912" t="s">
        <v>1028</v>
      </c>
      <c r="F14" s="912"/>
      <c r="G14" s="913" t="s">
        <v>17</v>
      </c>
    </row>
    <row r="15" spans="1:26" x14ac:dyDescent="0.25">
      <c r="A15" s="888" t="str">
        <f t="shared" ca="1" si="0"/>
        <v>Réalisation &amp; Controlling</v>
      </c>
      <c r="B15" s="889"/>
      <c r="C15" s="914" t="s">
        <v>30</v>
      </c>
      <c r="D15" s="914" t="s">
        <v>31</v>
      </c>
      <c r="E15" s="912" t="s">
        <v>1935</v>
      </c>
      <c r="F15" s="912"/>
      <c r="G15" s="913" t="s">
        <v>17</v>
      </c>
    </row>
    <row r="16" spans="1:26" x14ac:dyDescent="0.25">
      <c r="A16" s="888" t="str">
        <f t="shared" ca="1" si="0"/>
        <v>CULTURE  D'INNOVATION</v>
      </c>
      <c r="B16" s="889"/>
      <c r="C16" s="911" t="s">
        <v>1030</v>
      </c>
      <c r="D16" s="914" t="s">
        <v>1031</v>
      </c>
      <c r="E16" s="912" t="s">
        <v>1936</v>
      </c>
      <c r="F16" s="912"/>
      <c r="G16" s="913" t="s">
        <v>17</v>
      </c>
    </row>
    <row r="17" spans="1:7" x14ac:dyDescent="0.25">
      <c r="A17" s="888" t="str">
        <f t="shared" ca="1" si="0"/>
        <v>Parties prenantes</v>
      </c>
      <c r="B17" s="889"/>
      <c r="C17" s="890" t="s">
        <v>21</v>
      </c>
      <c r="D17" s="890" t="s">
        <v>22</v>
      </c>
      <c r="E17" s="912" t="s">
        <v>21</v>
      </c>
      <c r="F17" s="912"/>
      <c r="G17" s="913" t="s">
        <v>17</v>
      </c>
    </row>
    <row r="18" spans="1:7" x14ac:dyDescent="0.25">
      <c r="A18" s="888" t="str">
        <f t="shared" ca="1" si="0"/>
        <v>Produits</v>
      </c>
      <c r="B18" s="889"/>
      <c r="C18" s="914" t="s">
        <v>1032</v>
      </c>
      <c r="D18" s="914" t="s">
        <v>1033</v>
      </c>
      <c r="E18" s="912" t="s">
        <v>1937</v>
      </c>
      <c r="F18" s="912"/>
      <c r="G18" s="913" t="s">
        <v>17</v>
      </c>
    </row>
    <row r="19" spans="1:7" x14ac:dyDescent="0.25">
      <c r="A19" s="888" t="str">
        <f t="shared" ca="1" si="0"/>
        <v>Processus</v>
      </c>
      <c r="B19" s="889"/>
      <c r="C19" s="914" t="s">
        <v>758</v>
      </c>
      <c r="D19" s="914" t="s">
        <v>599</v>
      </c>
      <c r="E19" s="912" t="s">
        <v>1938</v>
      </c>
      <c r="F19" s="912"/>
      <c r="G19" s="913" t="s">
        <v>17</v>
      </c>
    </row>
    <row r="20" spans="1:7" x14ac:dyDescent="0.25">
      <c r="A20" s="888" t="str">
        <f t="shared" ca="1" si="0"/>
        <v>Analyse des erreurs</v>
      </c>
      <c r="B20" s="889"/>
      <c r="C20" s="914" t="s">
        <v>1034</v>
      </c>
      <c r="D20" s="914" t="s">
        <v>759</v>
      </c>
      <c r="E20" s="912" t="s">
        <v>1939</v>
      </c>
      <c r="F20" s="912"/>
      <c r="G20" s="913" t="s">
        <v>17</v>
      </c>
    </row>
    <row r="21" spans="1:7" x14ac:dyDescent="0.25">
      <c r="A21" s="888" t="str">
        <f t="shared" ca="1" si="0"/>
        <v>Causes et effets</v>
      </c>
      <c r="B21" s="889"/>
      <c r="C21" s="914" t="s">
        <v>1035</v>
      </c>
      <c r="D21" s="914" t="s">
        <v>1036</v>
      </c>
      <c r="E21" s="912" t="s">
        <v>1940</v>
      </c>
      <c r="F21" s="912"/>
      <c r="G21" s="913" t="s">
        <v>17</v>
      </c>
    </row>
    <row r="22" spans="1:7" x14ac:dyDescent="0.25">
      <c r="A22" s="888" t="str">
        <f t="shared" ca="1" si="0"/>
        <v>Réclamations clients</v>
      </c>
      <c r="B22" s="889"/>
      <c r="C22" s="914" t="s">
        <v>1037</v>
      </c>
      <c r="D22" s="914" t="s">
        <v>1038</v>
      </c>
      <c r="E22" s="912" t="s">
        <v>1941</v>
      </c>
      <c r="F22" s="912"/>
      <c r="G22" s="913" t="s">
        <v>17</v>
      </c>
    </row>
    <row r="23" spans="1:7" x14ac:dyDescent="0.25">
      <c r="A23" s="888" t="str">
        <f t="shared" ca="1" si="0"/>
        <v>Benchmark</v>
      </c>
      <c r="B23" s="889"/>
      <c r="C23" s="914" t="s">
        <v>29</v>
      </c>
      <c r="D23" s="914" t="s">
        <v>29</v>
      </c>
      <c r="E23" s="912" t="s">
        <v>29</v>
      </c>
      <c r="F23" s="912"/>
      <c r="G23" s="913" t="s">
        <v>17</v>
      </c>
    </row>
    <row r="24" spans="1:7" x14ac:dyDescent="0.25">
      <c r="A24" s="888" t="str">
        <f t="shared" ca="1" si="0"/>
        <v>Trends</v>
      </c>
      <c r="B24" s="889"/>
      <c r="C24" s="914" t="s">
        <v>1039</v>
      </c>
      <c r="D24" s="914" t="s">
        <v>1039</v>
      </c>
      <c r="E24" s="912" t="s">
        <v>1039</v>
      </c>
      <c r="F24" s="912"/>
      <c r="G24" s="913" t="s">
        <v>17</v>
      </c>
    </row>
    <row r="25" spans="1:7" x14ac:dyDescent="0.25">
      <c r="A25" s="888" t="str">
        <f t="shared" ca="1" si="0"/>
        <v>Potentiel</v>
      </c>
      <c r="B25" s="889"/>
      <c r="C25" s="914" t="s">
        <v>25</v>
      </c>
      <c r="D25" s="914" t="s">
        <v>26</v>
      </c>
      <c r="E25" s="912" t="s">
        <v>1638</v>
      </c>
      <c r="F25" s="912"/>
      <c r="G25" s="913" t="s">
        <v>17</v>
      </c>
    </row>
    <row r="26" spans="1:7" x14ac:dyDescent="0.25">
      <c r="A26" s="888" t="str">
        <f t="shared" ca="1" si="0"/>
        <v>SWOT</v>
      </c>
      <c r="B26" s="889"/>
      <c r="C26" s="914" t="s">
        <v>1040</v>
      </c>
      <c r="D26" s="914" t="s">
        <v>1040</v>
      </c>
      <c r="E26" s="912" t="s">
        <v>1040</v>
      </c>
      <c r="F26" s="912"/>
      <c r="G26" s="913" t="s">
        <v>17</v>
      </c>
    </row>
    <row r="27" spans="1:7" x14ac:dyDescent="0.25">
      <c r="A27" s="888" t="str">
        <f t="shared" ca="1" si="0"/>
        <v>Recherche d'idées</v>
      </c>
      <c r="B27" s="889"/>
      <c r="C27" s="890" t="s">
        <v>1041</v>
      </c>
      <c r="D27" s="890" t="s">
        <v>1043</v>
      </c>
      <c r="E27" s="912" t="s">
        <v>1942</v>
      </c>
      <c r="F27" s="912"/>
      <c r="G27" s="913" t="s">
        <v>17</v>
      </c>
    </row>
    <row r="28" spans="1:7" x14ac:dyDescent="0.25">
      <c r="A28" s="888" t="str">
        <f t="shared" ca="1" si="0"/>
        <v>Évaluation</v>
      </c>
      <c r="B28" s="889"/>
      <c r="C28" s="890" t="s">
        <v>437</v>
      </c>
      <c r="D28" s="890" t="s">
        <v>1943</v>
      </c>
      <c r="E28" s="912" t="s">
        <v>438</v>
      </c>
      <c r="F28" s="912"/>
      <c r="G28" s="913" t="s">
        <v>17</v>
      </c>
    </row>
    <row r="29" spans="1:7" x14ac:dyDescent="0.25">
      <c r="A29" s="888" t="str">
        <f t="shared" ca="1" si="0"/>
        <v>Décision</v>
      </c>
      <c r="B29" s="889"/>
      <c r="C29" s="890" t="s">
        <v>1042</v>
      </c>
      <c r="D29" s="890" t="s">
        <v>624</v>
      </c>
      <c r="E29" s="912" t="s">
        <v>1663</v>
      </c>
      <c r="F29" s="912"/>
      <c r="G29" s="913" t="s">
        <v>17</v>
      </c>
    </row>
    <row r="30" spans="1:7" x14ac:dyDescent="0.25">
      <c r="A30" s="888" t="str">
        <f t="shared" ca="1" si="0"/>
        <v>Techniques de créativités</v>
      </c>
      <c r="B30" s="889"/>
      <c r="C30" s="890" t="s">
        <v>1046</v>
      </c>
      <c r="D30" s="890" t="s">
        <v>1944</v>
      </c>
      <c r="E30" s="912" t="s">
        <v>1945</v>
      </c>
      <c r="F30" s="912"/>
      <c r="G30" s="913" t="s">
        <v>17</v>
      </c>
    </row>
    <row r="31" spans="1:7" x14ac:dyDescent="0.25">
      <c r="A31" s="888" t="str">
        <f t="shared" ca="1" si="0"/>
        <v>Plus-values clients</v>
      </c>
      <c r="B31" s="889"/>
      <c r="C31" s="890" t="s">
        <v>1047</v>
      </c>
      <c r="D31" s="914" t="s">
        <v>1946</v>
      </c>
      <c r="E31" s="912" t="s">
        <v>1947</v>
      </c>
      <c r="F31" s="912"/>
      <c r="G31" s="913" t="s">
        <v>17</v>
      </c>
    </row>
    <row r="32" spans="1:7" x14ac:dyDescent="0.25">
      <c r="A32" s="888" t="str">
        <f t="shared" ca="1" si="0"/>
        <v>Matrice d'évaluation</v>
      </c>
      <c r="B32" s="889"/>
      <c r="C32" s="914" t="s">
        <v>1048</v>
      </c>
      <c r="D32" s="914" t="s">
        <v>1049</v>
      </c>
      <c r="E32" s="912" t="s">
        <v>1948</v>
      </c>
      <c r="F32" s="912"/>
      <c r="G32" s="913" t="s">
        <v>17</v>
      </c>
    </row>
    <row r="33" spans="1:7" x14ac:dyDescent="0.25">
      <c r="A33" s="888" t="str">
        <f t="shared" ca="1" si="0"/>
        <v>Coûts de l'innovation</v>
      </c>
      <c r="B33" s="889"/>
      <c r="C33" s="914" t="s">
        <v>1050</v>
      </c>
      <c r="D33" s="914" t="s">
        <v>1957</v>
      </c>
      <c r="E33" s="912" t="s">
        <v>1949</v>
      </c>
      <c r="F33" s="912"/>
      <c r="G33" s="913" t="s">
        <v>17</v>
      </c>
    </row>
    <row r="34" spans="1:7" x14ac:dyDescent="0.25">
      <c r="A34" s="888" t="str">
        <f t="shared" ca="1" si="0"/>
        <v>Variantes</v>
      </c>
      <c r="B34" s="889"/>
      <c r="C34" s="914" t="s">
        <v>1051</v>
      </c>
      <c r="D34" s="914" t="s">
        <v>1052</v>
      </c>
      <c r="E34" s="912" t="s">
        <v>1950</v>
      </c>
      <c r="F34" s="912"/>
      <c r="G34" s="913" t="s">
        <v>17</v>
      </c>
    </row>
    <row r="35" spans="1:7" x14ac:dyDescent="0.25">
      <c r="A35" s="888" t="str">
        <f t="shared" ca="1" si="0"/>
        <v>Coûts - Avantage</v>
      </c>
      <c r="B35" s="889"/>
      <c r="C35" s="914" t="s">
        <v>1053</v>
      </c>
      <c r="D35" s="914" t="s">
        <v>1958</v>
      </c>
      <c r="E35" s="912" t="s">
        <v>1951</v>
      </c>
      <c r="F35" s="912"/>
      <c r="G35" s="913" t="s">
        <v>17</v>
      </c>
    </row>
    <row r="36" spans="1:7" x14ac:dyDescent="0.25">
      <c r="A36" s="888" t="str">
        <f t="shared" ca="1" si="0"/>
        <v>Projets</v>
      </c>
      <c r="B36" s="889"/>
      <c r="C36" s="914" t="s">
        <v>407</v>
      </c>
      <c r="D36" s="914" t="s">
        <v>408</v>
      </c>
      <c r="E36" s="912" t="s">
        <v>1703</v>
      </c>
      <c r="F36" s="912"/>
      <c r="G36" s="913" t="s">
        <v>17</v>
      </c>
    </row>
    <row r="37" spans="1:7" x14ac:dyDescent="0.25">
      <c r="A37" s="888" t="str">
        <f t="shared" ref="A37:A71" ca="1" si="1">OFFSET($C37,0,$Z$5-1)</f>
        <v>Tableau de bord</v>
      </c>
      <c r="B37" s="889"/>
      <c r="C37" s="914" t="s">
        <v>1058</v>
      </c>
      <c r="D37" s="914" t="s">
        <v>1059</v>
      </c>
      <c r="E37" s="912" t="s">
        <v>1058</v>
      </c>
      <c r="F37" s="912"/>
      <c r="G37" s="913" t="s">
        <v>17</v>
      </c>
    </row>
    <row r="38" spans="1:7" x14ac:dyDescent="0.25">
      <c r="A38" s="888" t="str">
        <f t="shared" ca="1" si="1"/>
        <v>Controlling</v>
      </c>
      <c r="B38" s="889"/>
      <c r="C38" s="914" t="s">
        <v>122</v>
      </c>
      <c r="D38" s="914" t="s">
        <v>122</v>
      </c>
      <c r="E38" s="912" t="s">
        <v>122</v>
      </c>
      <c r="F38" s="912"/>
      <c r="G38" s="913" t="s">
        <v>17</v>
      </c>
    </row>
    <row r="39" spans="1:7" x14ac:dyDescent="0.25">
      <c r="A39" s="888" t="str">
        <f t="shared" ca="1" si="1"/>
        <v>Gestion de projets</v>
      </c>
      <c r="B39" s="889"/>
      <c r="C39" s="915" t="s">
        <v>1060</v>
      </c>
      <c r="D39" s="914" t="s">
        <v>34</v>
      </c>
      <c r="E39" s="912" t="s">
        <v>1952</v>
      </c>
      <c r="F39" s="912"/>
      <c r="G39" s="913" t="s">
        <v>17</v>
      </c>
    </row>
    <row r="40" spans="1:7" x14ac:dyDescent="0.25">
      <c r="A40" s="888" t="str">
        <f t="shared" ca="1" si="1"/>
        <v>Tableau de bord innovation</v>
      </c>
      <c r="B40" s="889"/>
      <c r="C40" s="914" t="s">
        <v>1061</v>
      </c>
      <c r="D40" s="914" t="s">
        <v>1062</v>
      </c>
      <c r="E40" s="912" t="s">
        <v>1953</v>
      </c>
      <c r="F40" s="912"/>
      <c r="G40" s="913" t="s">
        <v>17</v>
      </c>
    </row>
    <row r="41" spans="1:7" x14ac:dyDescent="0.25">
      <c r="A41" s="888" t="str">
        <f t="shared" ca="1" si="1"/>
        <v>Communication</v>
      </c>
      <c r="B41" s="889"/>
      <c r="C41" s="914" t="s">
        <v>32</v>
      </c>
      <c r="D41" s="914" t="s">
        <v>33</v>
      </c>
      <c r="E41" s="912" t="s">
        <v>33</v>
      </c>
      <c r="F41" s="912"/>
      <c r="G41" s="913" t="s">
        <v>17</v>
      </c>
    </row>
    <row r="42" spans="1:7" x14ac:dyDescent="0.25">
      <c r="A42" s="888" t="str">
        <f t="shared" ca="1" si="1"/>
        <v>Portfeuil</v>
      </c>
      <c r="B42" s="889"/>
      <c r="C42" s="915" t="s">
        <v>1063</v>
      </c>
      <c r="D42" s="914" t="s">
        <v>1064</v>
      </c>
      <c r="E42" s="912" t="s">
        <v>1063</v>
      </c>
      <c r="F42" s="912"/>
      <c r="G42" s="913" t="s">
        <v>17</v>
      </c>
    </row>
    <row r="43" spans="1:7" x14ac:dyDescent="0.25">
      <c r="A43" s="888" t="str">
        <f t="shared" ca="1" si="1"/>
        <v>Gestion du risque</v>
      </c>
      <c r="B43" s="889"/>
      <c r="C43" s="914" t="s">
        <v>381</v>
      </c>
      <c r="D43" s="914" t="s">
        <v>382</v>
      </c>
      <c r="E43" s="912" t="s">
        <v>1954</v>
      </c>
      <c r="F43" s="912"/>
      <c r="G43" s="913" t="s">
        <v>17</v>
      </c>
    </row>
    <row r="44" spans="1:7" x14ac:dyDescent="0.25">
      <c r="A44" s="888" t="str">
        <f t="shared" ca="1" si="1"/>
        <v>Diagramme de Pareto</v>
      </c>
      <c r="B44" s="889"/>
      <c r="C44" s="914" t="s">
        <v>1065</v>
      </c>
      <c r="D44" s="914" t="s">
        <v>1066</v>
      </c>
      <c r="E44" s="912" t="s">
        <v>1955</v>
      </c>
      <c r="F44" s="912"/>
      <c r="G44" s="913" t="s">
        <v>17</v>
      </c>
    </row>
    <row r="45" spans="1:7" x14ac:dyDescent="0.25">
      <c r="A45" s="888" t="str">
        <f t="shared" ca="1" si="1"/>
        <v>Balanced Scorecard</v>
      </c>
      <c r="B45" s="889"/>
      <c r="C45" s="914" t="s">
        <v>1067</v>
      </c>
      <c r="D45" s="914" t="s">
        <v>1067</v>
      </c>
      <c r="E45" s="912" t="s">
        <v>1067</v>
      </c>
      <c r="F45" s="912"/>
      <c r="G45" s="913" t="s">
        <v>17</v>
      </c>
    </row>
    <row r="46" spans="1:7" x14ac:dyDescent="0.25">
      <c r="A46" s="888" t="str">
        <f t="shared" ca="1" si="1"/>
        <v>Tableau de bord direction</v>
      </c>
      <c r="B46" s="889"/>
      <c r="C46" s="914" t="s">
        <v>1068</v>
      </c>
      <c r="D46" s="914" t="s">
        <v>1069</v>
      </c>
      <c r="E46" s="912" t="s">
        <v>1956</v>
      </c>
      <c r="F46" s="912"/>
      <c r="G46" s="913" t="s">
        <v>17</v>
      </c>
    </row>
    <row r="47" spans="1:7" x14ac:dyDescent="0.25">
      <c r="A47" s="916" t="str">
        <f t="shared" ca="1" si="1"/>
        <v>Consumer Trend Canvas</v>
      </c>
      <c r="B47" s="889"/>
      <c r="C47" s="917" t="s">
        <v>1322</v>
      </c>
      <c r="D47" s="917" t="s">
        <v>1322</v>
      </c>
      <c r="E47" s="918" t="s">
        <v>1322</v>
      </c>
      <c r="F47" s="918"/>
      <c r="G47" s="919" t="s">
        <v>17</v>
      </c>
    </row>
    <row r="48" spans="1:7" x14ac:dyDescent="0.25">
      <c r="A48" s="916" t="str">
        <f t="shared" ca="1" si="1"/>
        <v>Créativité</v>
      </c>
      <c r="B48" s="889"/>
      <c r="C48" s="917" t="s">
        <v>2004</v>
      </c>
      <c r="D48" s="917" t="s">
        <v>2005</v>
      </c>
      <c r="E48" s="920" t="s">
        <v>2006</v>
      </c>
      <c r="F48" s="918"/>
      <c r="G48" s="919"/>
    </row>
    <row r="49" spans="1:26" x14ac:dyDescent="0.25">
      <c r="A49" s="916" t="str">
        <f t="shared" ca="1" si="1"/>
        <v>Intéligence créative</v>
      </c>
      <c r="B49" s="889"/>
      <c r="C49" s="917" t="s">
        <v>2001</v>
      </c>
      <c r="D49" s="917" t="s">
        <v>2002</v>
      </c>
      <c r="E49" s="920" t="s">
        <v>2003</v>
      </c>
      <c r="F49" s="918"/>
      <c r="G49" s="919"/>
    </row>
    <row r="50" spans="1:26" s="969" customFormat="1" ht="13.8" x14ac:dyDescent="0.3">
      <c r="A50" s="965" t="str">
        <f t="shared" ca="1" si="1"/>
        <v>Votre logo:</v>
      </c>
      <c r="B50" s="966"/>
      <c r="C50" s="967" t="s">
        <v>2008</v>
      </c>
      <c r="D50" s="967" t="s">
        <v>2009</v>
      </c>
      <c r="E50" s="967" t="s">
        <v>2010</v>
      </c>
      <c r="F50" s="967" t="s">
        <v>2011</v>
      </c>
      <c r="G50" s="968"/>
      <c r="I50" s="970"/>
      <c r="J50" s="316"/>
      <c r="K50" s="970"/>
      <c r="Z50" s="971"/>
    </row>
    <row r="51" spans="1:26" s="905" customFormat="1" x14ac:dyDescent="0.25">
      <c r="A51" s="900" t="str">
        <f t="shared" ca="1" si="1"/>
        <v>T E N D A N C E S   D E   D É V E L O P P E M E N T</v>
      </c>
      <c r="B51" s="901"/>
      <c r="C51" s="902" t="s">
        <v>911</v>
      </c>
      <c r="D51" s="902" t="s">
        <v>912</v>
      </c>
      <c r="E51" s="903" t="s">
        <v>1959</v>
      </c>
      <c r="F51" s="903"/>
      <c r="G51" s="904" t="s">
        <v>17</v>
      </c>
      <c r="I51" s="892"/>
      <c r="J51" s="883"/>
    </row>
    <row r="52" spans="1:26" x14ac:dyDescent="0.25">
      <c r="A52" s="906" t="str">
        <f t="shared" ca="1" si="1"/>
        <v>Tendances politiques</v>
      </c>
      <c r="B52" s="889"/>
      <c r="C52" s="909" t="s">
        <v>915</v>
      </c>
      <c r="D52" s="909" t="s">
        <v>916</v>
      </c>
      <c r="E52" s="909" t="s">
        <v>1960</v>
      </c>
      <c r="F52" s="909"/>
      <c r="G52" s="910" t="s">
        <v>17</v>
      </c>
    </row>
    <row r="53" spans="1:26" x14ac:dyDescent="0.25">
      <c r="A53" s="888" t="str">
        <f t="shared" ca="1" si="1"/>
        <v>No.</v>
      </c>
      <c r="B53" s="889"/>
      <c r="C53" s="890" t="s">
        <v>39</v>
      </c>
      <c r="D53" s="890" t="s">
        <v>40</v>
      </c>
      <c r="E53" s="912" t="s">
        <v>40</v>
      </c>
      <c r="F53" s="912"/>
      <c r="G53" s="913" t="s">
        <v>17</v>
      </c>
    </row>
    <row r="54" spans="1:26" x14ac:dyDescent="0.25">
      <c r="A54" s="888" t="str">
        <f t="shared" ca="1" si="1"/>
        <v>Facteurs d'influence</v>
      </c>
      <c r="B54" s="889"/>
      <c r="C54" s="890" t="s">
        <v>46</v>
      </c>
      <c r="D54" s="890" t="s">
        <v>47</v>
      </c>
      <c r="E54" s="912" t="s">
        <v>1961</v>
      </c>
      <c r="F54" s="912"/>
      <c r="G54" s="913" t="s">
        <v>17</v>
      </c>
    </row>
    <row r="55" spans="1:26" x14ac:dyDescent="0.25">
      <c r="A55" s="888" t="str">
        <f t="shared" ca="1" si="1"/>
        <v>Impact sur l'innovation</v>
      </c>
      <c r="B55" s="889"/>
      <c r="C55" s="914" t="s">
        <v>913</v>
      </c>
      <c r="D55" s="914" t="s">
        <v>914</v>
      </c>
      <c r="E55" s="912" t="s">
        <v>1962</v>
      </c>
      <c r="F55" s="912"/>
      <c r="G55" s="913" t="s">
        <v>17</v>
      </c>
    </row>
    <row r="56" spans="1:26" x14ac:dyDescent="0.25">
      <c r="A56" s="888" t="str">
        <f t="shared" ca="1" si="1"/>
        <v>Intensité de l'impact</v>
      </c>
      <c r="B56" s="889"/>
      <c r="C56" s="914" t="s">
        <v>50</v>
      </c>
      <c r="D56" s="890" t="s">
        <v>51</v>
      </c>
      <c r="E56" s="912" t="s">
        <v>1963</v>
      </c>
      <c r="F56" s="912"/>
      <c r="G56" s="913" t="s">
        <v>17</v>
      </c>
    </row>
    <row r="57" spans="1:26" ht="28.8" x14ac:dyDescent="0.25">
      <c r="A57" s="888" t="str">
        <f t="shared" ca="1" si="1"/>
        <v>Ten-
dance</v>
      </c>
      <c r="B57" s="889"/>
      <c r="C57" s="890" t="s">
        <v>52</v>
      </c>
      <c r="D57" s="890" t="s">
        <v>53</v>
      </c>
      <c r="E57" s="912" t="s">
        <v>52</v>
      </c>
      <c r="F57" s="912"/>
      <c r="G57" s="913" t="s">
        <v>17</v>
      </c>
    </row>
    <row r="58" spans="1:26" x14ac:dyDescent="0.25">
      <c r="A58" s="888" t="str">
        <f t="shared" ca="1" si="1"/>
        <v>Mesures / innovations possibles</v>
      </c>
      <c r="B58" s="889"/>
      <c r="C58" s="890" t="s">
        <v>927</v>
      </c>
      <c r="D58" s="890" t="s">
        <v>928</v>
      </c>
      <c r="E58" s="912" t="s">
        <v>1964</v>
      </c>
      <c r="F58" s="912"/>
      <c r="G58" s="913" t="s">
        <v>17</v>
      </c>
    </row>
    <row r="59" spans="1:26" x14ac:dyDescent="0.25">
      <c r="A59" s="888" t="str">
        <f t="shared" ca="1" si="1"/>
        <v>Statut</v>
      </c>
      <c r="B59" s="889"/>
      <c r="C59" s="890" t="s">
        <v>44</v>
      </c>
      <c r="D59" s="890" t="s">
        <v>45</v>
      </c>
      <c r="E59" s="912" t="s">
        <v>44</v>
      </c>
      <c r="F59" s="912"/>
      <c r="G59" s="913" t="s">
        <v>17</v>
      </c>
    </row>
    <row r="60" spans="1:26" x14ac:dyDescent="0.25">
      <c r="A60" s="888" t="str">
        <f t="shared" ca="1" si="1"/>
        <v>Tendances économiques</v>
      </c>
      <c r="B60" s="889"/>
      <c r="C60" s="912" t="s">
        <v>917</v>
      </c>
      <c r="D60" s="912" t="s">
        <v>918</v>
      </c>
      <c r="E60" s="912" t="s">
        <v>1965</v>
      </c>
      <c r="F60" s="912"/>
      <c r="G60" s="913" t="s">
        <v>17</v>
      </c>
    </row>
    <row r="61" spans="1:26" x14ac:dyDescent="0.25">
      <c r="A61" s="888" t="str">
        <f t="shared" ca="1" si="1"/>
        <v>Tendances sociologiques</v>
      </c>
      <c r="B61" s="889"/>
      <c r="C61" s="912" t="s">
        <v>919</v>
      </c>
      <c r="D61" s="912" t="s">
        <v>920</v>
      </c>
      <c r="E61" s="912" t="s">
        <v>1966</v>
      </c>
      <c r="F61" s="912"/>
      <c r="G61" s="913" t="s">
        <v>17</v>
      </c>
    </row>
    <row r="62" spans="1:26" x14ac:dyDescent="0.25">
      <c r="A62" s="888" t="str">
        <f t="shared" ca="1" si="1"/>
        <v>Tendances technologiques</v>
      </c>
      <c r="B62" s="889"/>
      <c r="C62" s="912" t="s">
        <v>921</v>
      </c>
      <c r="D62" s="912" t="s">
        <v>922</v>
      </c>
      <c r="E62" s="912" t="s">
        <v>1967</v>
      </c>
      <c r="F62" s="912"/>
      <c r="G62" s="913" t="s">
        <v>17</v>
      </c>
    </row>
    <row r="63" spans="1:26" x14ac:dyDescent="0.25">
      <c r="A63" s="888" t="str">
        <f t="shared" ca="1" si="1"/>
        <v>Tendances écologiques</v>
      </c>
      <c r="B63" s="889"/>
      <c r="C63" s="912" t="s">
        <v>925</v>
      </c>
      <c r="D63" s="912" t="s">
        <v>926</v>
      </c>
      <c r="E63" s="912" t="s">
        <v>1968</v>
      </c>
      <c r="F63" s="912"/>
      <c r="G63" s="913" t="s">
        <v>17</v>
      </c>
    </row>
    <row r="64" spans="1:26" x14ac:dyDescent="0.25">
      <c r="A64" s="916" t="str">
        <f t="shared" ca="1" si="1"/>
        <v>Tendances légales</v>
      </c>
      <c r="B64" s="889"/>
      <c r="C64" s="918" t="s">
        <v>923</v>
      </c>
      <c r="D64" s="918" t="s">
        <v>924</v>
      </c>
      <c r="E64" s="918" t="s">
        <v>1969</v>
      </c>
      <c r="F64" s="918"/>
      <c r="G64" s="919" t="s">
        <v>17</v>
      </c>
    </row>
    <row r="65" spans="1:10" s="905" customFormat="1" x14ac:dyDescent="0.25">
      <c r="A65" s="900" t="str">
        <f t="shared" ca="1" si="1"/>
        <v>P O T E N T I E L   D ' I N N O V A T I O N</v>
      </c>
      <c r="B65" s="901"/>
      <c r="C65" s="902" t="s">
        <v>929</v>
      </c>
      <c r="D65" s="902" t="s">
        <v>930</v>
      </c>
      <c r="E65" s="902" t="s">
        <v>1353</v>
      </c>
      <c r="F65" s="902" t="s">
        <v>1354</v>
      </c>
      <c r="G65" s="904" t="s">
        <v>17</v>
      </c>
      <c r="I65" s="892"/>
      <c r="J65" s="883"/>
    </row>
    <row r="66" spans="1:10" x14ac:dyDescent="0.25">
      <c r="A66" s="906" t="str">
        <f t="shared" ca="1" si="1"/>
        <v xml:space="preserve">                                                             Avantage</v>
      </c>
      <c r="B66" s="889"/>
      <c r="C66" s="908" t="s">
        <v>60</v>
      </c>
      <c r="D66" s="908" t="s">
        <v>61</v>
      </c>
      <c r="E66" s="922" t="s">
        <v>1355</v>
      </c>
      <c r="F66" s="922" t="s">
        <v>1356</v>
      </c>
      <c r="G66" s="910" t="s">
        <v>17</v>
      </c>
    </row>
    <row r="67" spans="1:10" x14ac:dyDescent="0.25">
      <c r="A67" s="888" t="str">
        <f t="shared" ca="1" si="1"/>
        <v xml:space="preserve">                    Désavantage</v>
      </c>
      <c r="B67" s="889"/>
      <c r="C67" s="912" t="s">
        <v>62</v>
      </c>
      <c r="D67" s="890" t="s">
        <v>63</v>
      </c>
      <c r="E67" s="923" t="s">
        <v>1427</v>
      </c>
      <c r="F67" s="923" t="s">
        <v>1428</v>
      </c>
      <c r="G67" s="913" t="s">
        <v>17</v>
      </c>
    </row>
    <row r="68" spans="1:10" x14ac:dyDescent="0.25">
      <c r="A68" s="888" t="str">
        <f t="shared" ca="1" si="1"/>
        <v>Potentiel</v>
      </c>
      <c r="B68" s="889"/>
      <c r="C68" s="924" t="s">
        <v>25</v>
      </c>
      <c r="D68" s="924" t="s">
        <v>26</v>
      </c>
      <c r="E68" s="925" t="s">
        <v>1357</v>
      </c>
      <c r="F68" s="925" t="s">
        <v>1358</v>
      </c>
      <c r="G68" s="913" t="s">
        <v>17</v>
      </c>
    </row>
    <row r="69" spans="1:10" x14ac:dyDescent="0.25">
      <c r="A69" s="888" t="str">
        <f t="shared" ca="1" si="1"/>
        <v>No.</v>
      </c>
      <c r="B69" s="889"/>
      <c r="C69" s="912" t="s">
        <v>39</v>
      </c>
      <c r="D69" s="912" t="s">
        <v>40</v>
      </c>
      <c r="E69" s="925" t="s">
        <v>40</v>
      </c>
      <c r="F69" s="925" t="s">
        <v>1359</v>
      </c>
      <c r="G69" s="913" t="s">
        <v>17</v>
      </c>
    </row>
    <row r="70" spans="1:10" x14ac:dyDescent="0.25">
      <c r="A70" s="888" t="str">
        <f t="shared" ca="1" si="1"/>
        <v>Facteur clé</v>
      </c>
      <c r="B70" s="889"/>
      <c r="C70" s="912" t="s">
        <v>64</v>
      </c>
      <c r="D70" s="890" t="s">
        <v>65</v>
      </c>
      <c r="E70" s="925" t="s">
        <v>1360</v>
      </c>
      <c r="F70" s="925" t="s">
        <v>1361</v>
      </c>
      <c r="G70" s="913" t="s">
        <v>17</v>
      </c>
    </row>
    <row r="71" spans="1:10" x14ac:dyDescent="0.25">
      <c r="A71" s="888" t="str">
        <f t="shared" ca="1" si="1"/>
        <v>Innovations possibles</v>
      </c>
      <c r="B71" s="889"/>
      <c r="C71" s="926" t="s">
        <v>931</v>
      </c>
      <c r="D71" s="926" t="s">
        <v>932</v>
      </c>
      <c r="E71" s="925" t="s">
        <v>1362</v>
      </c>
      <c r="F71" s="925" t="s">
        <v>1363</v>
      </c>
      <c r="G71" s="913" t="s">
        <v>17</v>
      </c>
    </row>
    <row r="72" spans="1:10" x14ac:dyDescent="0.25">
      <c r="A72" s="888" t="str">
        <f t="shared" ref="A72:A103" ca="1" si="2">OFFSET($C72,0,$Z$5-1)</f>
        <v>Produit, assortiment</v>
      </c>
      <c r="B72" s="889"/>
      <c r="C72" s="912" t="s">
        <v>66</v>
      </c>
      <c r="D72" s="890" t="s">
        <v>67</v>
      </c>
      <c r="E72" s="925" t="s">
        <v>1364</v>
      </c>
      <c r="F72" s="925" t="s">
        <v>1365</v>
      </c>
      <c r="G72" s="913" t="s">
        <v>17</v>
      </c>
    </row>
    <row r="73" spans="1:10" x14ac:dyDescent="0.25">
      <c r="A73" s="888" t="str">
        <f t="shared" ca="1" si="2"/>
        <v>Prix, conditions</v>
      </c>
      <c r="B73" s="889"/>
      <c r="C73" s="912" t="s">
        <v>68</v>
      </c>
      <c r="D73" s="890" t="s">
        <v>69</v>
      </c>
      <c r="E73" s="925" t="s">
        <v>1366</v>
      </c>
      <c r="F73" s="925" t="s">
        <v>1367</v>
      </c>
      <c r="G73" s="913" t="s">
        <v>17</v>
      </c>
    </row>
    <row r="74" spans="1:10" x14ac:dyDescent="0.25">
      <c r="A74" s="888" t="str">
        <f t="shared" ca="1" si="2"/>
        <v>Part du marché, croissance, structure</v>
      </c>
      <c r="B74" s="889"/>
      <c r="C74" s="912" t="s">
        <v>70</v>
      </c>
      <c r="D74" s="890" t="s">
        <v>71</v>
      </c>
      <c r="E74" s="925" t="s">
        <v>1368</v>
      </c>
      <c r="F74" s="925" t="s">
        <v>1369</v>
      </c>
      <c r="G74" s="913" t="s">
        <v>17</v>
      </c>
    </row>
    <row r="75" spans="1:10" x14ac:dyDescent="0.25">
      <c r="A75" s="888" t="str">
        <f t="shared" ca="1" si="2"/>
        <v>Nom de marque, image de marque</v>
      </c>
      <c r="B75" s="889"/>
      <c r="C75" s="912" t="s">
        <v>72</v>
      </c>
      <c r="D75" s="912" t="s">
        <v>73</v>
      </c>
      <c r="E75" s="925" t="s">
        <v>1370</v>
      </c>
      <c r="F75" s="925" t="s">
        <v>1371</v>
      </c>
      <c r="G75" s="913" t="s">
        <v>17</v>
      </c>
    </row>
    <row r="76" spans="1:10" x14ac:dyDescent="0.25">
      <c r="A76" s="888" t="str">
        <f t="shared" ca="1" si="2"/>
        <v>Organisation de la distribution</v>
      </c>
      <c r="B76" s="889"/>
      <c r="C76" s="912" t="s">
        <v>74</v>
      </c>
      <c r="D76" s="912" t="s">
        <v>75</v>
      </c>
      <c r="E76" s="925" t="s">
        <v>1372</v>
      </c>
      <c r="F76" s="925" t="s">
        <v>1373</v>
      </c>
      <c r="G76" s="913" t="s">
        <v>17</v>
      </c>
    </row>
    <row r="77" spans="1:10" x14ac:dyDescent="0.25">
      <c r="A77" s="888" t="str">
        <f t="shared" ca="1" si="2"/>
        <v>Service clients</v>
      </c>
      <c r="B77" s="889"/>
      <c r="C77" s="912" t="s">
        <v>76</v>
      </c>
      <c r="D77" s="912" t="s">
        <v>77</v>
      </c>
      <c r="E77" s="925" t="s">
        <v>1374</v>
      </c>
      <c r="F77" s="925" t="s">
        <v>1375</v>
      </c>
      <c r="G77" s="913" t="s">
        <v>17</v>
      </c>
    </row>
    <row r="78" spans="1:10" x14ac:dyDescent="0.25">
      <c r="A78" s="888" t="str">
        <f t="shared" ca="1" si="2"/>
        <v>Délais de livraison, respect des délais, fiabilité</v>
      </c>
      <c r="B78" s="889"/>
      <c r="C78" s="912" t="s">
        <v>78</v>
      </c>
      <c r="D78" s="890" t="s">
        <v>79</v>
      </c>
      <c r="E78" s="925" t="s">
        <v>1376</v>
      </c>
      <c r="F78" s="925" t="s">
        <v>1377</v>
      </c>
      <c r="G78" s="913" t="s">
        <v>17</v>
      </c>
    </row>
    <row r="79" spans="1:10" x14ac:dyDescent="0.25">
      <c r="A79" s="888" t="str">
        <f t="shared" ca="1" si="2"/>
        <v>Qualité</v>
      </c>
      <c r="B79" s="889"/>
      <c r="C79" s="912" t="s">
        <v>80</v>
      </c>
      <c r="D79" s="912" t="s">
        <v>81</v>
      </c>
      <c r="E79" s="925" t="s">
        <v>1378</v>
      </c>
      <c r="F79" s="925" t="s">
        <v>1379</v>
      </c>
      <c r="G79" s="913" t="s">
        <v>17</v>
      </c>
    </row>
    <row r="80" spans="1:10" x14ac:dyDescent="0.25">
      <c r="A80" s="888" t="str">
        <f t="shared" ca="1" si="2"/>
        <v>Niveau de coût</v>
      </c>
      <c r="B80" s="889"/>
      <c r="C80" s="912" t="s">
        <v>82</v>
      </c>
      <c r="D80" s="912" t="s">
        <v>83</v>
      </c>
      <c r="E80" s="925" t="s">
        <v>1380</v>
      </c>
      <c r="F80" s="925" t="s">
        <v>1381</v>
      </c>
      <c r="G80" s="913" t="s">
        <v>17</v>
      </c>
    </row>
    <row r="81" spans="1:7" x14ac:dyDescent="0.25">
      <c r="A81" s="888" t="str">
        <f t="shared" ca="1" si="2"/>
        <v>Modernité de l'équipement</v>
      </c>
      <c r="B81" s="889"/>
      <c r="C81" s="912" t="s">
        <v>84</v>
      </c>
      <c r="D81" s="912" t="s">
        <v>85</v>
      </c>
      <c r="E81" s="925" t="s">
        <v>1382</v>
      </c>
      <c r="F81" s="925" t="s">
        <v>1383</v>
      </c>
      <c r="G81" s="913" t="s">
        <v>17</v>
      </c>
    </row>
    <row r="82" spans="1:7" x14ac:dyDescent="0.25">
      <c r="A82" s="888" t="str">
        <f t="shared" ca="1" si="2"/>
        <v>Productivité</v>
      </c>
      <c r="B82" s="889"/>
      <c r="C82" s="912" t="s">
        <v>86</v>
      </c>
      <c r="D82" s="912" t="s">
        <v>87</v>
      </c>
      <c r="E82" s="925" t="s">
        <v>1384</v>
      </c>
      <c r="F82" s="925" t="s">
        <v>1385</v>
      </c>
      <c r="G82" s="913" t="s">
        <v>17</v>
      </c>
    </row>
    <row r="83" spans="1:7" x14ac:dyDescent="0.25">
      <c r="A83" s="888" t="str">
        <f t="shared" ca="1" si="2"/>
        <v>Pollution, consommation d'énergie</v>
      </c>
      <c r="B83" s="889"/>
      <c r="C83" s="912" t="s">
        <v>88</v>
      </c>
      <c r="D83" s="912" t="s">
        <v>89</v>
      </c>
      <c r="E83" s="925" t="s">
        <v>1386</v>
      </c>
      <c r="F83" s="925" t="s">
        <v>1387</v>
      </c>
      <c r="G83" s="913" t="s">
        <v>17</v>
      </c>
    </row>
    <row r="84" spans="1:7" x14ac:dyDescent="0.25">
      <c r="A84" s="888" t="str">
        <f t="shared" ca="1" si="2"/>
        <v>Emplacement, logistique</v>
      </c>
      <c r="B84" s="889"/>
      <c r="C84" s="912" t="s">
        <v>90</v>
      </c>
      <c r="D84" s="912" t="s">
        <v>91</v>
      </c>
      <c r="E84" s="925" t="s">
        <v>1388</v>
      </c>
      <c r="F84" s="925" t="s">
        <v>1389</v>
      </c>
      <c r="G84" s="913" t="s">
        <v>17</v>
      </c>
    </row>
    <row r="85" spans="1:7" x14ac:dyDescent="0.25">
      <c r="A85" s="888" t="str">
        <f t="shared" ca="1" si="2"/>
        <v>Pénuries d'approvisionnement</v>
      </c>
      <c r="B85" s="889"/>
      <c r="C85" s="912" t="s">
        <v>92</v>
      </c>
      <c r="D85" s="912" t="s">
        <v>93</v>
      </c>
      <c r="E85" s="925" t="s">
        <v>1390</v>
      </c>
      <c r="F85" s="925" t="s">
        <v>1391</v>
      </c>
      <c r="G85" s="913" t="s">
        <v>17</v>
      </c>
    </row>
    <row r="86" spans="1:7" x14ac:dyDescent="0.25">
      <c r="A86" s="888" t="str">
        <f t="shared" ca="1" si="2"/>
        <v>Dépendance des prix</v>
      </c>
      <c r="B86" s="889"/>
      <c r="C86" s="912" t="s">
        <v>94</v>
      </c>
      <c r="D86" s="912" t="s">
        <v>95</v>
      </c>
      <c r="E86" s="925" t="s">
        <v>1392</v>
      </c>
      <c r="F86" s="925" t="s">
        <v>1393</v>
      </c>
      <c r="G86" s="913" t="s">
        <v>17</v>
      </c>
    </row>
    <row r="87" spans="1:7" x14ac:dyDescent="0.25">
      <c r="A87" s="888" t="str">
        <f t="shared" ca="1" si="2"/>
        <v>Dépendance du taux de change</v>
      </c>
      <c r="B87" s="889"/>
      <c r="C87" s="912" t="s">
        <v>96</v>
      </c>
      <c r="D87" s="890" t="s">
        <v>97</v>
      </c>
      <c r="E87" s="925" t="s">
        <v>1394</v>
      </c>
      <c r="F87" s="925" t="s">
        <v>1395</v>
      </c>
      <c r="G87" s="913" t="s">
        <v>17</v>
      </c>
    </row>
    <row r="88" spans="1:7" x14ac:dyDescent="0.25">
      <c r="A88" s="888" t="str">
        <f t="shared" ca="1" si="2"/>
        <v>Qualité des fournisseurs</v>
      </c>
      <c r="B88" s="889"/>
      <c r="C88" s="912" t="s">
        <v>98</v>
      </c>
      <c r="D88" s="912" t="s">
        <v>99</v>
      </c>
      <c r="E88" s="925" t="s">
        <v>1396</v>
      </c>
      <c r="F88" s="925" t="s">
        <v>1397</v>
      </c>
      <c r="G88" s="913" t="s">
        <v>17</v>
      </c>
    </row>
    <row r="89" spans="1:7" x14ac:dyDescent="0.25">
      <c r="A89" s="888" t="str">
        <f t="shared" ca="1" si="2"/>
        <v>Innovation, brevets</v>
      </c>
      <c r="B89" s="889"/>
      <c r="C89" s="912" t="s">
        <v>100</v>
      </c>
      <c r="D89" s="912" t="s">
        <v>101</v>
      </c>
      <c r="E89" s="925" t="s">
        <v>1398</v>
      </c>
      <c r="F89" s="925" t="s">
        <v>1399</v>
      </c>
      <c r="G89" s="913" t="s">
        <v>17</v>
      </c>
    </row>
    <row r="90" spans="1:7" x14ac:dyDescent="0.25">
      <c r="A90" s="888" t="str">
        <f t="shared" ca="1" si="2"/>
        <v>Savoir-faire</v>
      </c>
      <c r="B90" s="889"/>
      <c r="C90" s="912" t="s">
        <v>102</v>
      </c>
      <c r="D90" s="912" t="s">
        <v>103</v>
      </c>
      <c r="E90" s="925" t="s">
        <v>1400</v>
      </c>
      <c r="F90" s="925" t="s">
        <v>102</v>
      </c>
      <c r="G90" s="913" t="s">
        <v>17</v>
      </c>
    </row>
    <row r="91" spans="1:7" x14ac:dyDescent="0.25">
      <c r="A91" s="888" t="str">
        <f t="shared" ca="1" si="2"/>
        <v>Équipement</v>
      </c>
      <c r="B91" s="889"/>
      <c r="C91" s="912" t="s">
        <v>104</v>
      </c>
      <c r="D91" s="912" t="s">
        <v>105</v>
      </c>
      <c r="E91" s="925" t="s">
        <v>1401</v>
      </c>
      <c r="F91" s="925" t="s">
        <v>1402</v>
      </c>
      <c r="G91" s="913" t="s">
        <v>17</v>
      </c>
    </row>
    <row r="92" spans="1:7" x14ac:dyDescent="0.25">
      <c r="A92" s="888" t="str">
        <f t="shared" ca="1" si="2"/>
        <v>Motivation et engagement des collab.</v>
      </c>
      <c r="B92" s="889"/>
      <c r="C92" s="912" t="s">
        <v>106</v>
      </c>
      <c r="D92" s="912" t="s">
        <v>107</v>
      </c>
      <c r="E92" s="925" t="s">
        <v>1403</v>
      </c>
      <c r="F92" s="925" t="s">
        <v>1404</v>
      </c>
      <c r="G92" s="913" t="s">
        <v>17</v>
      </c>
    </row>
    <row r="93" spans="1:7" x14ac:dyDescent="0.25">
      <c r="A93" s="888" t="str">
        <f t="shared" ca="1" si="2"/>
        <v>Outils de gestion, management</v>
      </c>
      <c r="B93" s="889"/>
      <c r="C93" s="912" t="s">
        <v>108</v>
      </c>
      <c r="D93" s="912" t="s">
        <v>109</v>
      </c>
      <c r="E93" s="925" t="s">
        <v>1405</v>
      </c>
      <c r="F93" s="925" t="s">
        <v>1406</v>
      </c>
      <c r="G93" s="913" t="s">
        <v>17</v>
      </c>
    </row>
    <row r="94" spans="1:7" x14ac:dyDescent="0.25">
      <c r="A94" s="888" t="str">
        <f t="shared" ca="1" si="2"/>
        <v>Organisation "lean" et flexible</v>
      </c>
      <c r="B94" s="889"/>
      <c r="C94" s="912" t="s">
        <v>110</v>
      </c>
      <c r="D94" s="890" t="s">
        <v>111</v>
      </c>
      <c r="E94" s="925" t="s">
        <v>1407</v>
      </c>
      <c r="F94" s="925" t="s">
        <v>1408</v>
      </c>
      <c r="G94" s="913" t="s">
        <v>17</v>
      </c>
    </row>
    <row r="95" spans="1:7" x14ac:dyDescent="0.25">
      <c r="A95" s="888" t="str">
        <f t="shared" ca="1" si="2"/>
        <v>Formation, qualification des collab.</v>
      </c>
      <c r="B95" s="889"/>
      <c r="C95" s="912" t="s">
        <v>112</v>
      </c>
      <c r="D95" s="912" t="s">
        <v>113</v>
      </c>
      <c r="E95" s="925" t="s">
        <v>1409</v>
      </c>
      <c r="F95" s="925" t="s">
        <v>1410</v>
      </c>
      <c r="G95" s="913" t="s">
        <v>17</v>
      </c>
    </row>
    <row r="96" spans="1:7" x14ac:dyDescent="0.25">
      <c r="A96" s="888" t="str">
        <f t="shared" ca="1" si="2"/>
        <v>Pyramide des âges</v>
      </c>
      <c r="B96" s="889"/>
      <c r="C96" s="890" t="s">
        <v>114</v>
      </c>
      <c r="D96" s="912" t="s">
        <v>115</v>
      </c>
      <c r="E96" s="923" t="s">
        <v>1411</v>
      </c>
      <c r="F96" s="923" t="s">
        <v>1412</v>
      </c>
      <c r="G96" s="913" t="s">
        <v>17</v>
      </c>
    </row>
    <row r="97" spans="1:10" x14ac:dyDescent="0.25">
      <c r="A97" s="888" t="str">
        <f t="shared" ca="1" si="2"/>
        <v>Taux de fluctuation, absentéisme</v>
      </c>
      <c r="B97" s="889"/>
      <c r="C97" s="912" t="s">
        <v>116</v>
      </c>
      <c r="D97" s="912" t="s">
        <v>117</v>
      </c>
      <c r="E97" s="925" t="s">
        <v>1413</v>
      </c>
      <c r="F97" s="925" t="s">
        <v>1414</v>
      </c>
      <c r="G97" s="913" t="s">
        <v>17</v>
      </c>
    </row>
    <row r="98" spans="1:10" x14ac:dyDescent="0.25">
      <c r="A98" s="888" t="str">
        <f t="shared" ca="1" si="2"/>
        <v>Solidité financière, liquidité</v>
      </c>
      <c r="B98" s="889"/>
      <c r="C98" s="912" t="s">
        <v>118</v>
      </c>
      <c r="D98" s="912" t="s">
        <v>119</v>
      </c>
      <c r="E98" s="925" t="s">
        <v>1415</v>
      </c>
      <c r="F98" s="925" t="s">
        <v>1416</v>
      </c>
      <c r="G98" s="913" t="s">
        <v>17</v>
      </c>
    </row>
    <row r="99" spans="1:10" x14ac:dyDescent="0.25">
      <c r="A99" s="888" t="str">
        <f t="shared" ca="1" si="2"/>
        <v>Emplacement, espaces à disposition</v>
      </c>
      <c r="B99" s="889"/>
      <c r="C99" s="912" t="s">
        <v>120</v>
      </c>
      <c r="D99" s="890" t="s">
        <v>121</v>
      </c>
      <c r="E99" s="925" t="s">
        <v>1417</v>
      </c>
      <c r="F99" s="925" t="s">
        <v>1418</v>
      </c>
      <c r="G99" s="913" t="s">
        <v>17</v>
      </c>
    </row>
    <row r="100" spans="1:10" x14ac:dyDescent="0.25">
      <c r="A100" s="888" t="str">
        <f t="shared" ca="1" si="2"/>
        <v>Controlling</v>
      </c>
      <c r="B100" s="889"/>
      <c r="C100" s="912" t="s">
        <v>122</v>
      </c>
      <c r="D100" s="912" t="s">
        <v>122</v>
      </c>
      <c r="E100" s="925" t="s">
        <v>122</v>
      </c>
      <c r="F100" s="925" t="s">
        <v>122</v>
      </c>
      <c r="G100" s="913" t="s">
        <v>17</v>
      </c>
    </row>
    <row r="101" spans="1:10" x14ac:dyDescent="0.25">
      <c r="A101" s="888" t="str">
        <f t="shared" ca="1" si="2"/>
        <v>Processus de décision</v>
      </c>
      <c r="B101" s="889"/>
      <c r="C101" s="912" t="s">
        <v>123</v>
      </c>
      <c r="D101" s="912" t="s">
        <v>124</v>
      </c>
      <c r="E101" s="925" t="s">
        <v>1419</v>
      </c>
      <c r="F101" s="925" t="s">
        <v>1420</v>
      </c>
      <c r="G101" s="913" t="s">
        <v>17</v>
      </c>
    </row>
    <row r="102" spans="1:10" x14ac:dyDescent="0.25">
      <c r="A102" s="888" t="str">
        <f t="shared" ca="1" si="2"/>
        <v>Distribution</v>
      </c>
      <c r="B102" s="889"/>
      <c r="C102" s="912" t="s">
        <v>125</v>
      </c>
      <c r="D102" s="912" t="s">
        <v>126</v>
      </c>
      <c r="E102" s="925" t="s">
        <v>126</v>
      </c>
      <c r="F102" s="925" t="s">
        <v>1421</v>
      </c>
      <c r="G102" s="913" t="s">
        <v>17</v>
      </c>
    </row>
    <row r="103" spans="1:10" x14ac:dyDescent="0.25">
      <c r="A103" s="888" t="str">
        <f t="shared" ca="1" si="2"/>
        <v>Production</v>
      </c>
      <c r="B103" s="889"/>
      <c r="C103" s="912" t="s">
        <v>127</v>
      </c>
      <c r="D103" s="912" t="s">
        <v>128</v>
      </c>
      <c r="E103" s="925" t="s">
        <v>128</v>
      </c>
      <c r="F103" s="925" t="s">
        <v>1422</v>
      </c>
      <c r="G103" s="913" t="s">
        <v>17</v>
      </c>
    </row>
    <row r="104" spans="1:10" x14ac:dyDescent="0.25">
      <c r="A104" s="888" t="str">
        <f t="shared" ref="A104:A135" ca="1" si="3">OFFSET($C104,0,$Z$5-1)</f>
        <v>Approvisionne.</v>
      </c>
      <c r="B104" s="889"/>
      <c r="C104" s="912" t="s">
        <v>129</v>
      </c>
      <c r="D104" s="912" t="s">
        <v>130</v>
      </c>
      <c r="E104" s="925" t="s">
        <v>1423</v>
      </c>
      <c r="F104" s="925" t="s">
        <v>1424</v>
      </c>
      <c r="G104" s="913" t="s">
        <v>17</v>
      </c>
    </row>
    <row r="105" spans="1:10" x14ac:dyDescent="0.25">
      <c r="A105" s="888" t="str">
        <f t="shared" ca="1" si="3"/>
        <v>R &amp; D</v>
      </c>
      <c r="B105" s="889"/>
      <c r="C105" s="912" t="s">
        <v>131</v>
      </c>
      <c r="D105" s="912" t="s">
        <v>132</v>
      </c>
      <c r="E105" s="925" t="s">
        <v>132</v>
      </c>
      <c r="F105" s="925" t="s">
        <v>132</v>
      </c>
      <c r="G105" s="913" t="s">
        <v>17</v>
      </c>
    </row>
    <row r="106" spans="1:10" x14ac:dyDescent="0.25">
      <c r="A106" s="888" t="str">
        <f t="shared" ca="1" si="3"/>
        <v>Personnel</v>
      </c>
      <c r="B106" s="889"/>
      <c r="C106" s="912" t="s">
        <v>133</v>
      </c>
      <c r="D106" s="912" t="s">
        <v>134</v>
      </c>
      <c r="E106" s="925" t="s">
        <v>134</v>
      </c>
      <c r="F106" s="925" t="s">
        <v>1425</v>
      </c>
      <c r="G106" s="913" t="s">
        <v>17</v>
      </c>
    </row>
    <row r="107" spans="1:10" x14ac:dyDescent="0.25">
      <c r="A107" s="916" t="str">
        <f t="shared" ca="1" si="3"/>
        <v>Administration</v>
      </c>
      <c r="B107" s="889"/>
      <c r="C107" s="918" t="s">
        <v>135</v>
      </c>
      <c r="D107" s="918" t="s">
        <v>136</v>
      </c>
      <c r="E107" s="927" t="s">
        <v>136</v>
      </c>
      <c r="F107" s="927" t="s">
        <v>1426</v>
      </c>
      <c r="G107" s="919" t="s">
        <v>17</v>
      </c>
    </row>
    <row r="108" spans="1:10" s="905" customFormat="1" x14ac:dyDescent="0.25">
      <c r="A108" s="900" t="str">
        <f t="shared" ca="1" si="3"/>
        <v>G E S T I O N   D U   R I S Q U E</v>
      </c>
      <c r="B108" s="901"/>
      <c r="C108" s="902" t="s">
        <v>139</v>
      </c>
      <c r="D108" s="902" t="s">
        <v>140</v>
      </c>
      <c r="E108" s="902" t="s">
        <v>1429</v>
      </c>
      <c r="F108" s="902" t="s">
        <v>1430</v>
      </c>
      <c r="G108" s="904" t="s">
        <v>17</v>
      </c>
      <c r="I108" s="892"/>
      <c r="J108" s="883"/>
    </row>
    <row r="109" spans="1:10" x14ac:dyDescent="0.25">
      <c r="A109" s="906" t="str">
        <f t="shared" ca="1" si="3"/>
        <v>Probabilité d'occurrence</v>
      </c>
      <c r="B109" s="889"/>
      <c r="C109" s="909" t="s">
        <v>141</v>
      </c>
      <c r="D109" s="909" t="s">
        <v>142</v>
      </c>
      <c r="E109" s="928" t="s">
        <v>1431</v>
      </c>
      <c r="F109" s="928" t="s">
        <v>1432</v>
      </c>
      <c r="G109" s="910" t="s">
        <v>17</v>
      </c>
    </row>
    <row r="110" spans="1:10" x14ac:dyDescent="0.25">
      <c r="A110" s="888" t="str">
        <f t="shared" ca="1" si="3"/>
        <v>élevée</v>
      </c>
      <c r="B110" s="889"/>
      <c r="C110" s="912" t="s">
        <v>37</v>
      </c>
      <c r="D110" s="912" t="s">
        <v>143</v>
      </c>
      <c r="E110" s="925" t="s">
        <v>1433</v>
      </c>
      <c r="F110" s="925" t="s">
        <v>1434</v>
      </c>
      <c r="G110" s="913" t="s">
        <v>17</v>
      </c>
    </row>
    <row r="111" spans="1:10" x14ac:dyDescent="0.25">
      <c r="A111" s="888" t="str">
        <f t="shared" ca="1" si="3"/>
        <v>moyenne</v>
      </c>
      <c r="B111" s="889"/>
      <c r="C111" s="912" t="s">
        <v>144</v>
      </c>
      <c r="D111" s="912" t="s">
        <v>145</v>
      </c>
      <c r="E111" s="925" t="s">
        <v>1435</v>
      </c>
      <c r="F111" s="925" t="s">
        <v>1436</v>
      </c>
      <c r="G111" s="913" t="s">
        <v>17</v>
      </c>
    </row>
    <row r="112" spans="1:10" x14ac:dyDescent="0.25">
      <c r="A112" s="888" t="str">
        <f t="shared" ca="1" si="3"/>
        <v>faible</v>
      </c>
      <c r="B112" s="889"/>
      <c r="C112" s="912" t="s">
        <v>38</v>
      </c>
      <c r="D112" s="912" t="s">
        <v>146</v>
      </c>
      <c r="E112" s="925" t="s">
        <v>1437</v>
      </c>
      <c r="F112" s="925" t="s">
        <v>1438</v>
      </c>
      <c r="G112" s="913" t="s">
        <v>17</v>
      </c>
    </row>
    <row r="113" spans="1:10" x14ac:dyDescent="0.25">
      <c r="A113" s="888" t="str">
        <f t="shared" ca="1" si="3"/>
        <v>Étendue des dégâts</v>
      </c>
      <c r="B113" s="889"/>
      <c r="C113" s="912" t="s">
        <v>147</v>
      </c>
      <c r="D113" s="912" t="s">
        <v>148</v>
      </c>
      <c r="E113" s="925" t="s">
        <v>1439</v>
      </c>
      <c r="F113" s="925" t="s">
        <v>1440</v>
      </c>
      <c r="G113" s="913" t="s">
        <v>17</v>
      </c>
    </row>
    <row r="114" spans="1:10" x14ac:dyDescent="0.25">
      <c r="A114" s="888" t="str">
        <f t="shared" ca="1" si="3"/>
        <v>Aucune action nécessaire</v>
      </c>
      <c r="B114" s="889"/>
      <c r="C114" s="912" t="s">
        <v>149</v>
      </c>
      <c r="D114" s="890" t="s">
        <v>150</v>
      </c>
      <c r="E114" s="925" t="s">
        <v>1441</v>
      </c>
      <c r="F114" s="925" t="s">
        <v>1442</v>
      </c>
      <c r="G114" s="913" t="s">
        <v>17</v>
      </c>
    </row>
    <row r="115" spans="1:10" x14ac:dyDescent="0.25">
      <c r="A115" s="888" t="str">
        <f t="shared" ca="1" si="3"/>
        <v>Action nécessaire</v>
      </c>
      <c r="B115" s="889"/>
      <c r="C115" s="912" t="s">
        <v>151</v>
      </c>
      <c r="D115" s="890" t="s">
        <v>152</v>
      </c>
      <c r="E115" s="925" t="s">
        <v>1443</v>
      </c>
      <c r="F115" s="925" t="s">
        <v>1444</v>
      </c>
      <c r="G115" s="913" t="s">
        <v>17</v>
      </c>
    </row>
    <row r="116" spans="1:10" x14ac:dyDescent="0.25">
      <c r="A116" s="888" t="str">
        <f t="shared" ca="1" si="3"/>
        <v>Action urgente</v>
      </c>
      <c r="B116" s="889"/>
      <c r="C116" s="912" t="s">
        <v>153</v>
      </c>
      <c r="D116" s="912" t="s">
        <v>154</v>
      </c>
      <c r="E116" s="925" t="s">
        <v>1445</v>
      </c>
      <c r="F116" s="925" t="s">
        <v>1446</v>
      </c>
      <c r="G116" s="913" t="s">
        <v>17</v>
      </c>
    </row>
    <row r="117" spans="1:10" x14ac:dyDescent="0.25">
      <c r="A117" s="888" t="str">
        <f t="shared" ca="1" si="3"/>
        <v>No.</v>
      </c>
      <c r="B117" s="889"/>
      <c r="C117" s="912" t="s">
        <v>39</v>
      </c>
      <c r="D117" s="912" t="s">
        <v>40</v>
      </c>
      <c r="E117" s="925" t="s">
        <v>40</v>
      </c>
      <c r="F117" s="925" t="s">
        <v>1359</v>
      </c>
      <c r="G117" s="913" t="s">
        <v>17</v>
      </c>
    </row>
    <row r="118" spans="1:10" x14ac:dyDescent="0.25">
      <c r="A118" s="888" t="str">
        <f t="shared" ca="1" si="3"/>
        <v>Risque</v>
      </c>
      <c r="B118" s="889"/>
      <c r="C118" s="912" t="s">
        <v>155</v>
      </c>
      <c r="D118" s="912" t="s">
        <v>156</v>
      </c>
      <c r="E118" s="925" t="s">
        <v>1447</v>
      </c>
      <c r="F118" s="925" t="s">
        <v>1448</v>
      </c>
      <c r="G118" s="913" t="s">
        <v>17</v>
      </c>
    </row>
    <row r="119" spans="1:10" x14ac:dyDescent="0.25">
      <c r="A119" s="888" t="str">
        <f t="shared" ca="1" si="3"/>
        <v>Impact</v>
      </c>
      <c r="B119" s="889"/>
      <c r="C119" s="912" t="s">
        <v>48</v>
      </c>
      <c r="D119" s="912" t="s">
        <v>49</v>
      </c>
      <c r="E119" s="925" t="s">
        <v>1449</v>
      </c>
      <c r="F119" s="925" t="s">
        <v>1450</v>
      </c>
      <c r="G119" s="913" t="s">
        <v>17</v>
      </c>
    </row>
    <row r="120" spans="1:10" x14ac:dyDescent="0.25">
      <c r="A120" s="888" t="str">
        <f t="shared" ca="1" si="3"/>
        <v>Probabilité d'occurrence</v>
      </c>
      <c r="B120" s="889"/>
      <c r="C120" s="890" t="s">
        <v>157</v>
      </c>
      <c r="D120" s="912" t="s">
        <v>142</v>
      </c>
      <c r="E120" s="923" t="s">
        <v>1431</v>
      </c>
      <c r="F120" s="923" t="s">
        <v>1432</v>
      </c>
      <c r="G120" s="913" t="s">
        <v>17</v>
      </c>
    </row>
    <row r="121" spans="1:10" x14ac:dyDescent="0.25">
      <c r="A121" s="888" t="str">
        <f t="shared" ca="1" si="3"/>
        <v>Étendue des dommages</v>
      </c>
      <c r="B121" s="889"/>
      <c r="C121" s="912" t="s">
        <v>158</v>
      </c>
      <c r="D121" s="912" t="s">
        <v>159</v>
      </c>
      <c r="E121" s="925" t="s">
        <v>1439</v>
      </c>
      <c r="F121" s="925" t="s">
        <v>1440</v>
      </c>
      <c r="G121" s="913" t="s">
        <v>17</v>
      </c>
    </row>
    <row r="122" spans="1:10" ht="28.8" x14ac:dyDescent="0.25">
      <c r="A122" s="888" t="str">
        <f t="shared" ca="1" si="3"/>
        <v>Ten-
dance</v>
      </c>
      <c r="B122" s="889"/>
      <c r="C122" s="912" t="s">
        <v>52</v>
      </c>
      <c r="D122" s="890" t="s">
        <v>53</v>
      </c>
      <c r="E122" s="925" t="s">
        <v>52</v>
      </c>
      <c r="F122" s="925" t="s">
        <v>1451</v>
      </c>
      <c r="G122" s="913" t="s">
        <v>17</v>
      </c>
    </row>
    <row r="123" spans="1:10" x14ac:dyDescent="0.25">
      <c r="A123" s="888" t="str">
        <f t="shared" ca="1" si="3"/>
        <v>Mesures possibles</v>
      </c>
      <c r="B123" s="889"/>
      <c r="C123" s="912" t="s">
        <v>42</v>
      </c>
      <c r="D123" s="912" t="s">
        <v>43</v>
      </c>
      <c r="E123" s="925" t="s">
        <v>1452</v>
      </c>
      <c r="F123" s="925" t="s">
        <v>1453</v>
      </c>
      <c r="G123" s="913" t="s">
        <v>17</v>
      </c>
    </row>
    <row r="124" spans="1:10" x14ac:dyDescent="0.25">
      <c r="A124" s="888" t="str">
        <f t="shared" ca="1" si="3"/>
        <v>Statut</v>
      </c>
      <c r="B124" s="889"/>
      <c r="C124" s="912" t="s">
        <v>44</v>
      </c>
      <c r="D124" s="912" t="s">
        <v>45</v>
      </c>
      <c r="E124" s="925" t="s">
        <v>44</v>
      </c>
      <c r="F124" s="925" t="s">
        <v>1454</v>
      </c>
      <c r="G124" s="913" t="s">
        <v>17</v>
      </c>
    </row>
    <row r="125" spans="1:10" x14ac:dyDescent="0.25">
      <c r="A125" s="916" t="str">
        <f t="shared" ca="1" si="3"/>
        <v>Étendue de l'impact</v>
      </c>
      <c r="B125" s="889"/>
      <c r="C125" s="929" t="s">
        <v>160</v>
      </c>
      <c r="D125" s="929" t="s">
        <v>161</v>
      </c>
      <c r="E125" s="930" t="s">
        <v>1455</v>
      </c>
      <c r="F125" s="930" t="s">
        <v>1456</v>
      </c>
      <c r="G125" s="919" t="s">
        <v>17</v>
      </c>
    </row>
    <row r="126" spans="1:10" s="905" customFormat="1" x14ac:dyDescent="0.25">
      <c r="A126" s="900" t="str">
        <f t="shared" ca="1" si="3"/>
        <v>B E N C H M A R K I N G</v>
      </c>
      <c r="B126" s="901"/>
      <c r="C126" s="902" t="s">
        <v>162</v>
      </c>
      <c r="D126" s="902" t="s">
        <v>162</v>
      </c>
      <c r="E126" s="902" t="s">
        <v>162</v>
      </c>
      <c r="F126" s="902" t="s">
        <v>162</v>
      </c>
      <c r="G126" s="904" t="s">
        <v>17</v>
      </c>
      <c r="I126" s="892"/>
      <c r="J126" s="883"/>
    </row>
    <row r="127" spans="1:10" x14ac:dyDescent="0.25">
      <c r="A127" s="906" t="str">
        <f t="shared" ca="1" si="3"/>
        <v>Statut</v>
      </c>
      <c r="B127" s="889"/>
      <c r="C127" s="908" t="s">
        <v>44</v>
      </c>
      <c r="D127" s="908" t="s">
        <v>45</v>
      </c>
      <c r="E127" s="922" t="s">
        <v>44</v>
      </c>
      <c r="F127" s="922" t="s">
        <v>1454</v>
      </c>
      <c r="G127" s="910" t="s">
        <v>17</v>
      </c>
    </row>
    <row r="128" spans="1:10" x14ac:dyDescent="0.25">
      <c r="A128" s="888" t="str">
        <f t="shared" ca="1" si="3"/>
        <v>No.</v>
      </c>
      <c r="B128" s="889"/>
      <c r="C128" s="912" t="s">
        <v>39</v>
      </c>
      <c r="D128" s="912" t="s">
        <v>40</v>
      </c>
      <c r="E128" s="925" t="s">
        <v>40</v>
      </c>
      <c r="F128" s="925" t="s">
        <v>1359</v>
      </c>
      <c r="G128" s="913" t="s">
        <v>17</v>
      </c>
    </row>
    <row r="129" spans="1:10" x14ac:dyDescent="0.25">
      <c r="A129" s="888" t="str">
        <f t="shared" ca="1" si="3"/>
        <v>Objets de comparaison</v>
      </c>
      <c r="B129" s="889"/>
      <c r="C129" s="912" t="s">
        <v>163</v>
      </c>
      <c r="D129" s="890" t="s">
        <v>164</v>
      </c>
      <c r="E129" s="925" t="s">
        <v>1457</v>
      </c>
      <c r="F129" s="925" t="s">
        <v>1458</v>
      </c>
      <c r="G129" s="913" t="s">
        <v>17</v>
      </c>
    </row>
    <row r="130" spans="1:10" x14ac:dyDescent="0.25">
      <c r="A130" s="888" t="str">
        <f t="shared" ca="1" si="3"/>
        <v>Innovations possibles</v>
      </c>
      <c r="B130" s="889"/>
      <c r="C130" s="890" t="s">
        <v>931</v>
      </c>
      <c r="D130" s="890" t="s">
        <v>932</v>
      </c>
      <c r="E130" s="923" t="s">
        <v>1319</v>
      </c>
      <c r="F130" s="923" t="s">
        <v>1363</v>
      </c>
      <c r="G130" s="913" t="s">
        <v>17</v>
      </c>
    </row>
    <row r="131" spans="1:10" x14ac:dyDescent="0.25">
      <c r="A131" s="888" t="str">
        <f t="shared" ca="1" si="3"/>
        <v>Nous</v>
      </c>
      <c r="B131" s="889"/>
      <c r="C131" s="912" t="s">
        <v>35</v>
      </c>
      <c r="D131" s="912" t="s">
        <v>36</v>
      </c>
      <c r="E131" s="925" t="s">
        <v>1459</v>
      </c>
      <c r="F131" s="925" t="s">
        <v>1460</v>
      </c>
      <c r="G131" s="913" t="s">
        <v>17</v>
      </c>
    </row>
    <row r="132" spans="1:10" x14ac:dyDescent="0.25">
      <c r="A132" s="916" t="str">
        <f t="shared" ca="1" si="3"/>
        <v>Concurrence</v>
      </c>
      <c r="B132" s="889"/>
      <c r="C132" s="918" t="s">
        <v>23</v>
      </c>
      <c r="D132" s="918" t="s">
        <v>24</v>
      </c>
      <c r="E132" s="927" t="s">
        <v>1357</v>
      </c>
      <c r="F132" s="927" t="s">
        <v>1358</v>
      </c>
      <c r="G132" s="919" t="s">
        <v>17</v>
      </c>
    </row>
    <row r="133" spans="1:10" s="905" customFormat="1" x14ac:dyDescent="0.25">
      <c r="A133" s="900" t="str">
        <f t="shared" ca="1" si="3"/>
        <v>A N A L Y S E   S W O T</v>
      </c>
      <c r="B133" s="901"/>
      <c r="C133" s="902" t="s">
        <v>165</v>
      </c>
      <c r="D133" s="902" t="s">
        <v>166</v>
      </c>
      <c r="E133" s="902" t="s">
        <v>1461</v>
      </c>
      <c r="F133" s="902" t="s">
        <v>1462</v>
      </c>
      <c r="G133" s="904" t="s">
        <v>17</v>
      </c>
      <c r="I133" s="892"/>
      <c r="J133" s="883"/>
    </row>
    <row r="134" spans="1:10" x14ac:dyDescent="0.25">
      <c r="A134" s="906" t="str">
        <f t="shared" ca="1" si="3"/>
        <v>Forces / faiblesses -&gt; facteurs internes</v>
      </c>
      <c r="B134" s="889"/>
      <c r="C134" s="909" t="s">
        <v>167</v>
      </c>
      <c r="D134" s="908" t="s">
        <v>168</v>
      </c>
      <c r="E134" s="928" t="s">
        <v>1463</v>
      </c>
      <c r="F134" s="928" t="s">
        <v>1464</v>
      </c>
      <c r="G134" s="910" t="s">
        <v>17</v>
      </c>
    </row>
    <row r="135" spans="1:10" x14ac:dyDescent="0.25">
      <c r="A135" s="888" t="str">
        <f t="shared" ca="1" si="3"/>
        <v>Forces / faiblesses</v>
      </c>
      <c r="B135" s="889"/>
      <c r="C135" s="890" t="s">
        <v>169</v>
      </c>
      <c r="D135" s="890" t="s">
        <v>170</v>
      </c>
      <c r="E135" s="923" t="s">
        <v>1465</v>
      </c>
      <c r="F135" s="923" t="s">
        <v>1466</v>
      </c>
      <c r="G135" s="913" t="s">
        <v>17</v>
      </c>
    </row>
    <row r="136" spans="1:10" x14ac:dyDescent="0.25">
      <c r="A136" s="888" t="str">
        <f t="shared" ref="A136:A167" ca="1" si="4">OFFSET($C136,0,$Z$5-1)</f>
        <v>Opportunités / menaces</v>
      </c>
      <c r="B136" s="889"/>
      <c r="C136" s="890" t="s">
        <v>171</v>
      </c>
      <c r="D136" s="890" t="s">
        <v>172</v>
      </c>
      <c r="E136" s="923" t="s">
        <v>1467</v>
      </c>
      <c r="F136" s="923" t="s">
        <v>1468</v>
      </c>
      <c r="G136" s="913" t="s">
        <v>17</v>
      </c>
    </row>
    <row r="137" spans="1:10" x14ac:dyDescent="0.25">
      <c r="A137" s="888" t="str">
        <f t="shared" ca="1" si="4"/>
        <v>Pondération</v>
      </c>
      <c r="B137" s="889"/>
      <c r="C137" s="912" t="s">
        <v>173</v>
      </c>
      <c r="D137" s="912" t="s">
        <v>174</v>
      </c>
      <c r="E137" s="925" t="s">
        <v>1469</v>
      </c>
      <c r="F137" s="925" t="s">
        <v>1470</v>
      </c>
      <c r="G137" s="913" t="s">
        <v>17</v>
      </c>
    </row>
    <row r="138" spans="1:10" x14ac:dyDescent="0.25">
      <c r="A138" s="888" t="str">
        <f t="shared" ca="1" si="4"/>
        <v>Opportunités / menaces -&gt; facteurs externes</v>
      </c>
      <c r="B138" s="889"/>
      <c r="C138" s="912" t="s">
        <v>175</v>
      </c>
      <c r="D138" s="890" t="s">
        <v>176</v>
      </c>
      <c r="E138" s="925" t="s">
        <v>1471</v>
      </c>
      <c r="F138" s="925" t="s">
        <v>1472</v>
      </c>
      <c r="G138" s="913" t="s">
        <v>17</v>
      </c>
    </row>
    <row r="139" spans="1:10" x14ac:dyDescent="0.25">
      <c r="A139" s="888" t="str">
        <f t="shared" ca="1" si="4"/>
        <v>Forces</v>
      </c>
      <c r="B139" s="889"/>
      <c r="C139" s="890" t="s">
        <v>177</v>
      </c>
      <c r="D139" s="890" t="s">
        <v>178</v>
      </c>
      <c r="E139" s="923" t="s">
        <v>1473</v>
      </c>
      <c r="F139" s="923" t="s">
        <v>1474</v>
      </c>
      <c r="G139" s="913" t="s">
        <v>17</v>
      </c>
    </row>
    <row r="140" spans="1:10" x14ac:dyDescent="0.25">
      <c r="A140" s="888" t="str">
        <f t="shared" ca="1" si="4"/>
        <v>Faiblesses</v>
      </c>
      <c r="B140" s="889"/>
      <c r="C140" s="890" t="s">
        <v>179</v>
      </c>
      <c r="D140" s="890" t="s">
        <v>180</v>
      </c>
      <c r="E140" s="923" t="s">
        <v>1475</v>
      </c>
      <c r="F140" s="923" t="s">
        <v>1476</v>
      </c>
      <c r="G140" s="913" t="s">
        <v>17</v>
      </c>
    </row>
    <row r="141" spans="1:10" x14ac:dyDescent="0.25">
      <c r="A141" s="888" t="str">
        <f t="shared" ca="1" si="4"/>
        <v>Opportunités</v>
      </c>
      <c r="B141" s="889"/>
      <c r="C141" s="890" t="s">
        <v>181</v>
      </c>
      <c r="D141" s="890" t="s">
        <v>182</v>
      </c>
      <c r="E141" s="923" t="s">
        <v>1477</v>
      </c>
      <c r="F141" s="923" t="s">
        <v>1478</v>
      </c>
      <c r="G141" s="913" t="s">
        <v>17</v>
      </c>
    </row>
    <row r="142" spans="1:10" x14ac:dyDescent="0.25">
      <c r="A142" s="916" t="str">
        <f t="shared" ca="1" si="4"/>
        <v>Menaces</v>
      </c>
      <c r="B142" s="889"/>
      <c r="C142" s="929" t="s">
        <v>183</v>
      </c>
      <c r="D142" s="929" t="s">
        <v>184</v>
      </c>
      <c r="E142" s="930" t="s">
        <v>1479</v>
      </c>
      <c r="F142" s="930" t="s">
        <v>1480</v>
      </c>
      <c r="G142" s="919" t="s">
        <v>17</v>
      </c>
    </row>
    <row r="143" spans="1:10" s="905" customFormat="1" x14ac:dyDescent="0.25">
      <c r="A143" s="900" t="str">
        <f t="shared" ca="1" si="4"/>
        <v>P R O D U I T S   &amp;   P R E S T A T I O N S   C L É</v>
      </c>
      <c r="B143" s="901"/>
      <c r="C143" s="902" t="s">
        <v>185</v>
      </c>
      <c r="D143" s="902" t="s">
        <v>186</v>
      </c>
      <c r="E143" s="902" t="s">
        <v>1481</v>
      </c>
      <c r="F143" s="902" t="s">
        <v>1482</v>
      </c>
      <c r="G143" s="904" t="s">
        <v>17</v>
      </c>
      <c r="I143" s="892"/>
      <c r="J143" s="883"/>
    </row>
    <row r="144" spans="1:10" x14ac:dyDescent="0.25">
      <c r="A144" s="906" t="str">
        <f t="shared" ca="1" si="4"/>
        <v>Produit/Prestations de service</v>
      </c>
      <c r="B144" s="889"/>
      <c r="C144" s="908" t="s">
        <v>187</v>
      </c>
      <c r="D144" s="908" t="s">
        <v>188</v>
      </c>
      <c r="E144" s="922" t="s">
        <v>1483</v>
      </c>
      <c r="F144" s="922" t="s">
        <v>1484</v>
      </c>
      <c r="G144" s="910" t="s">
        <v>17</v>
      </c>
    </row>
    <row r="145" spans="1:10" x14ac:dyDescent="0.25">
      <c r="A145" s="888" t="str">
        <f t="shared" ca="1" si="4"/>
        <v>Demande du produit</v>
      </c>
      <c r="B145" s="889"/>
      <c r="C145" s="890" t="s">
        <v>189</v>
      </c>
      <c r="D145" s="890" t="s">
        <v>190</v>
      </c>
      <c r="E145" s="923" t="s">
        <v>1485</v>
      </c>
      <c r="F145" s="923" t="s">
        <v>1486</v>
      </c>
      <c r="G145" s="913" t="s">
        <v>17</v>
      </c>
    </row>
    <row r="146" spans="1:10" x14ac:dyDescent="0.25">
      <c r="A146" s="888" t="str">
        <f t="shared" ca="1" si="4"/>
        <v>Argument publicitaire unique (USP)</v>
      </c>
      <c r="B146" s="889"/>
      <c r="C146" s="890" t="s">
        <v>191</v>
      </c>
      <c r="D146" s="890" t="s">
        <v>192</v>
      </c>
      <c r="E146" s="923" t="s">
        <v>1487</v>
      </c>
      <c r="F146" s="923" t="s">
        <v>1488</v>
      </c>
      <c r="G146" s="913" t="s">
        <v>17</v>
      </c>
    </row>
    <row r="147" spans="1:10" x14ac:dyDescent="0.25">
      <c r="A147" s="888" t="str">
        <f t="shared" ca="1" si="4"/>
        <v>USP</v>
      </c>
      <c r="B147" s="889"/>
      <c r="C147" s="890" t="s">
        <v>193</v>
      </c>
      <c r="D147" s="890" t="s">
        <v>193</v>
      </c>
      <c r="E147" s="923" t="s">
        <v>193</v>
      </c>
      <c r="F147" s="923" t="s">
        <v>193</v>
      </c>
      <c r="G147" s="913" t="s">
        <v>17</v>
      </c>
    </row>
    <row r="148" spans="1:10" x14ac:dyDescent="0.25">
      <c r="A148" s="888" t="str">
        <f t="shared" ca="1" si="4"/>
        <v>Demande</v>
      </c>
      <c r="B148" s="889"/>
      <c r="C148" s="890" t="s">
        <v>194</v>
      </c>
      <c r="D148" s="890" t="s">
        <v>195</v>
      </c>
      <c r="E148" s="923" t="s">
        <v>1489</v>
      </c>
      <c r="F148" s="923" t="s">
        <v>1490</v>
      </c>
      <c r="G148" s="913" t="s">
        <v>17</v>
      </c>
    </row>
    <row r="149" spans="1:10" x14ac:dyDescent="0.25">
      <c r="A149" s="888" t="str">
        <f t="shared" ca="1" si="4"/>
        <v>Chiffre d'affaire</v>
      </c>
      <c r="B149" s="889"/>
      <c r="C149" s="890" t="s">
        <v>54</v>
      </c>
      <c r="D149" s="890" t="s">
        <v>196</v>
      </c>
      <c r="E149" s="923" t="s">
        <v>1491</v>
      </c>
      <c r="F149" s="923" t="s">
        <v>1492</v>
      </c>
      <c r="G149" s="913" t="s">
        <v>17</v>
      </c>
    </row>
    <row r="150" spans="1:10" x14ac:dyDescent="0.25">
      <c r="A150" s="888" t="str">
        <f t="shared" ca="1" si="4"/>
        <v>Totale</v>
      </c>
      <c r="B150" s="889"/>
      <c r="C150" s="890" t="s">
        <v>197</v>
      </c>
      <c r="D150" s="890" t="s">
        <v>198</v>
      </c>
      <c r="E150" s="931" t="s">
        <v>197</v>
      </c>
      <c r="F150" s="931" t="s">
        <v>198</v>
      </c>
      <c r="G150" s="913" t="s">
        <v>17</v>
      </c>
    </row>
    <row r="151" spans="1:10" x14ac:dyDescent="0.25">
      <c r="A151" s="888" t="str">
        <f t="shared" ca="1" si="4"/>
        <v>Stratégie d'innovation possible</v>
      </c>
      <c r="B151" s="889"/>
      <c r="C151" s="890" t="s">
        <v>933</v>
      </c>
      <c r="D151" s="890" t="s">
        <v>934</v>
      </c>
      <c r="E151" s="931" t="s">
        <v>1493</v>
      </c>
      <c r="F151" s="931" t="s">
        <v>1494</v>
      </c>
      <c r="G151" s="913" t="s">
        <v>17</v>
      </c>
    </row>
    <row r="152" spans="1:10" x14ac:dyDescent="0.25">
      <c r="A152" s="888" t="str">
        <f t="shared" ca="1" si="4"/>
        <v>No.</v>
      </c>
      <c r="B152" s="889"/>
      <c r="C152" s="890" t="s">
        <v>39</v>
      </c>
      <c r="D152" s="890" t="s">
        <v>40</v>
      </c>
      <c r="E152" s="925" t="s">
        <v>40</v>
      </c>
      <c r="F152" s="925" t="s">
        <v>1359</v>
      </c>
      <c r="G152" s="913" t="s">
        <v>17</v>
      </c>
    </row>
    <row r="153" spans="1:10" x14ac:dyDescent="0.25">
      <c r="A153" s="888" t="str">
        <f t="shared" ca="1" si="4"/>
        <v>House of Quality</v>
      </c>
      <c r="B153" s="889"/>
      <c r="C153" s="890" t="s">
        <v>41</v>
      </c>
      <c r="D153" s="890" t="s">
        <v>41</v>
      </c>
      <c r="E153" s="890" t="s">
        <v>41</v>
      </c>
      <c r="F153" s="890" t="s">
        <v>41</v>
      </c>
      <c r="G153" s="913" t="s">
        <v>17</v>
      </c>
    </row>
    <row r="154" spans="1:10" x14ac:dyDescent="0.25">
      <c r="A154" s="888" t="str">
        <f t="shared" ca="1" si="4"/>
        <v>Statut</v>
      </c>
      <c r="B154" s="889"/>
      <c r="C154" s="890" t="s">
        <v>44</v>
      </c>
      <c r="D154" s="890" t="s">
        <v>45</v>
      </c>
      <c r="E154" s="890" t="s">
        <v>44</v>
      </c>
      <c r="F154" s="890" t="s">
        <v>1454</v>
      </c>
      <c r="G154" s="913" t="s">
        <v>17</v>
      </c>
    </row>
    <row r="155" spans="1:10" x14ac:dyDescent="0.25">
      <c r="A155" s="888" t="str">
        <f t="shared" ca="1" si="4"/>
        <v>grande</v>
      </c>
      <c r="B155" s="889"/>
      <c r="C155" s="890" t="s">
        <v>880</v>
      </c>
      <c r="D155" s="914" t="s">
        <v>879</v>
      </c>
      <c r="E155" s="923" t="s">
        <v>1726</v>
      </c>
      <c r="F155" s="923" t="s">
        <v>879</v>
      </c>
      <c r="G155" s="913"/>
    </row>
    <row r="156" spans="1:10" x14ac:dyDescent="0.25">
      <c r="A156" s="916" t="str">
        <f t="shared" ca="1" si="4"/>
        <v>petit</v>
      </c>
      <c r="B156" s="889"/>
      <c r="C156" s="929" t="s">
        <v>885</v>
      </c>
      <c r="D156" s="929" t="s">
        <v>886</v>
      </c>
      <c r="E156" s="930" t="s">
        <v>1730</v>
      </c>
      <c r="F156" s="930" t="s">
        <v>1731</v>
      </c>
      <c r="G156" s="919"/>
    </row>
    <row r="157" spans="1:10" s="905" customFormat="1" x14ac:dyDescent="0.25">
      <c r="A157" s="900" t="str">
        <f t="shared" ca="1" si="4"/>
        <v>C O Û T S  -   A V A N T A G E</v>
      </c>
      <c r="B157" s="901"/>
      <c r="C157" s="902" t="s">
        <v>950</v>
      </c>
      <c r="D157" s="902" t="s">
        <v>1970</v>
      </c>
      <c r="E157" s="903" t="s">
        <v>1971</v>
      </c>
      <c r="F157" s="903"/>
      <c r="G157" s="904" t="s">
        <v>17</v>
      </c>
      <c r="I157" s="892"/>
      <c r="J157" s="883"/>
    </row>
    <row r="158" spans="1:10" x14ac:dyDescent="0.25">
      <c r="A158" s="906" t="str">
        <f t="shared" ca="1" si="4"/>
        <v>Avantages</v>
      </c>
      <c r="B158" s="889"/>
      <c r="C158" s="908" t="s">
        <v>974</v>
      </c>
      <c r="D158" s="908" t="s">
        <v>975</v>
      </c>
      <c r="E158" s="909" t="s">
        <v>1972</v>
      </c>
      <c r="F158" s="909"/>
      <c r="G158" s="910" t="s">
        <v>17</v>
      </c>
    </row>
    <row r="159" spans="1:10" x14ac:dyDescent="0.25">
      <c r="A159" s="888" t="str">
        <f t="shared" ca="1" si="4"/>
        <v>grands</v>
      </c>
      <c r="B159" s="889"/>
      <c r="C159" s="914" t="s">
        <v>37</v>
      </c>
      <c r="D159" s="914" t="s">
        <v>984</v>
      </c>
      <c r="E159" s="912" t="s">
        <v>1973</v>
      </c>
      <c r="F159" s="912"/>
      <c r="G159" s="913" t="s">
        <v>17</v>
      </c>
    </row>
    <row r="160" spans="1:10" x14ac:dyDescent="0.25">
      <c r="A160" s="888" t="str">
        <f t="shared" ca="1" si="4"/>
        <v>petits</v>
      </c>
      <c r="B160" s="889"/>
      <c r="C160" s="914" t="s">
        <v>38</v>
      </c>
      <c r="D160" s="914" t="s">
        <v>985</v>
      </c>
      <c r="E160" s="912" t="s">
        <v>1974</v>
      </c>
      <c r="F160" s="912"/>
      <c r="G160" s="913" t="s">
        <v>17</v>
      </c>
    </row>
    <row r="161" spans="1:10" x14ac:dyDescent="0.25">
      <c r="A161" s="888" t="str">
        <f t="shared" ca="1" si="4"/>
        <v>Innovation</v>
      </c>
      <c r="B161" s="889"/>
      <c r="C161" s="890" t="s">
        <v>764</v>
      </c>
      <c r="D161" s="890" t="s">
        <v>764</v>
      </c>
      <c r="E161" s="912" t="s">
        <v>764</v>
      </c>
      <c r="F161" s="912"/>
      <c r="G161" s="913" t="s">
        <v>17</v>
      </c>
    </row>
    <row r="162" spans="1:10" x14ac:dyDescent="0.25">
      <c r="A162" s="888" t="str">
        <f t="shared" ca="1" si="4"/>
        <v>Coûts</v>
      </c>
      <c r="B162" s="889"/>
      <c r="C162" s="890" t="s">
        <v>973</v>
      </c>
      <c r="D162" s="890" t="s">
        <v>215</v>
      </c>
      <c r="E162" s="912" t="s">
        <v>1975</v>
      </c>
      <c r="F162" s="912"/>
      <c r="G162" s="913" t="s">
        <v>17</v>
      </c>
    </row>
    <row r="163" spans="1:10" x14ac:dyDescent="0.25">
      <c r="A163" s="888" t="str">
        <f t="shared" ca="1" si="4"/>
        <v>Efforts</v>
      </c>
      <c r="B163" s="889"/>
      <c r="C163" s="914" t="s">
        <v>1007</v>
      </c>
      <c r="D163" s="914" t="s">
        <v>981</v>
      </c>
      <c r="E163" s="912" t="s">
        <v>1976</v>
      </c>
      <c r="F163" s="912"/>
      <c r="G163" s="913" t="s">
        <v>17</v>
      </c>
    </row>
    <row r="164" spans="1:10" x14ac:dyDescent="0.25">
      <c r="A164" s="888" t="str">
        <f t="shared" ca="1" si="4"/>
        <v>Remarques</v>
      </c>
      <c r="B164" s="889"/>
      <c r="C164" s="914" t="s">
        <v>55</v>
      </c>
      <c r="D164" s="914" t="s">
        <v>56</v>
      </c>
      <c r="E164" s="912" t="s">
        <v>1362</v>
      </c>
      <c r="F164" s="912"/>
      <c r="G164" s="913" t="s">
        <v>17</v>
      </c>
    </row>
    <row r="165" spans="1:10" x14ac:dyDescent="0.25">
      <c r="A165" s="888" t="str">
        <f t="shared" ca="1" si="4"/>
        <v>Innovation produit</v>
      </c>
      <c r="B165" s="889"/>
      <c r="C165" s="932" t="s">
        <v>976</v>
      </c>
      <c r="D165" s="890" t="s">
        <v>979</v>
      </c>
      <c r="E165" s="912" t="s">
        <v>1977</v>
      </c>
      <c r="F165" s="912"/>
      <c r="G165" s="913" t="s">
        <v>17</v>
      </c>
    </row>
    <row r="166" spans="1:10" x14ac:dyDescent="0.25">
      <c r="A166" s="888" t="str">
        <f t="shared" ca="1" si="4"/>
        <v>Innovation prest. service</v>
      </c>
      <c r="B166" s="889"/>
      <c r="C166" s="932" t="s">
        <v>980</v>
      </c>
      <c r="D166" s="914" t="s">
        <v>982</v>
      </c>
      <c r="E166" s="912" t="s">
        <v>1978</v>
      </c>
      <c r="F166" s="912"/>
      <c r="G166" s="913" t="s">
        <v>17</v>
      </c>
    </row>
    <row r="167" spans="1:10" x14ac:dyDescent="0.25">
      <c r="A167" s="888" t="str">
        <f t="shared" ca="1" si="4"/>
        <v>Innovation processus</v>
      </c>
      <c r="B167" s="889"/>
      <c r="C167" s="932" t="s">
        <v>977</v>
      </c>
      <c r="D167" s="890" t="s">
        <v>1979</v>
      </c>
      <c r="E167" s="912" t="s">
        <v>1980</v>
      </c>
      <c r="F167" s="912"/>
      <c r="G167" s="913" t="s">
        <v>17</v>
      </c>
    </row>
    <row r="168" spans="1:10" x14ac:dyDescent="0.25">
      <c r="A168" s="916" t="str">
        <f t="shared" ref="A168:A191" ca="1" si="5">OFFSET($C168,0,$Z$5-1)</f>
        <v>Innovation organisationnelle</v>
      </c>
      <c r="B168" s="889"/>
      <c r="C168" s="933" t="s">
        <v>978</v>
      </c>
      <c r="D168" s="917" t="s">
        <v>983</v>
      </c>
      <c r="E168" s="918" t="s">
        <v>1981</v>
      </c>
      <c r="F168" s="918"/>
      <c r="G168" s="919" t="s">
        <v>17</v>
      </c>
    </row>
    <row r="169" spans="1:10" s="905" customFormat="1" ht="22.8" x14ac:dyDescent="0.25">
      <c r="A169" s="900" t="str">
        <f t="shared" ca="1" si="5"/>
        <v>D O M A I N E   D' A C T I V I T É   S T R A T É G I Q U E   (DAS)</v>
      </c>
      <c r="B169" s="901"/>
      <c r="C169" s="902" t="s">
        <v>200</v>
      </c>
      <c r="D169" s="902" t="s">
        <v>201</v>
      </c>
      <c r="E169" s="902" t="s">
        <v>1495</v>
      </c>
      <c r="F169" s="902" t="s">
        <v>1496</v>
      </c>
      <c r="G169" s="904" t="s">
        <v>17</v>
      </c>
      <c r="I169" s="892"/>
      <c r="J169" s="883"/>
    </row>
    <row r="170" spans="1:10" x14ac:dyDescent="0.25">
      <c r="A170" s="906" t="str">
        <f t="shared" ca="1" si="5"/>
        <v>Domaine d'activité stratégique</v>
      </c>
      <c r="B170" s="889"/>
      <c r="C170" s="908" t="s">
        <v>202</v>
      </c>
      <c r="D170" s="908" t="s">
        <v>203</v>
      </c>
      <c r="E170" s="922" t="s">
        <v>1497</v>
      </c>
      <c r="F170" s="922" t="s">
        <v>1498</v>
      </c>
      <c r="G170" s="910" t="s">
        <v>17</v>
      </c>
    </row>
    <row r="171" spans="1:10" x14ac:dyDescent="0.25">
      <c r="A171" s="888" t="str">
        <f t="shared" ca="1" si="5"/>
        <v>DAS</v>
      </c>
      <c r="B171" s="889"/>
      <c r="C171" s="890" t="s">
        <v>204</v>
      </c>
      <c r="D171" s="890" t="s">
        <v>205</v>
      </c>
      <c r="E171" s="923" t="s">
        <v>1499</v>
      </c>
      <c r="F171" s="923" t="s">
        <v>1500</v>
      </c>
      <c r="G171" s="913" t="s">
        <v>17</v>
      </c>
    </row>
    <row r="172" spans="1:10" x14ac:dyDescent="0.25">
      <c r="A172" s="888" t="str">
        <f t="shared" ca="1" si="5"/>
        <v>Effets de synergies</v>
      </c>
      <c r="B172" s="889"/>
      <c r="C172" s="890" t="s">
        <v>206</v>
      </c>
      <c r="D172" s="890" t="s">
        <v>207</v>
      </c>
      <c r="E172" s="923" t="s">
        <v>1501</v>
      </c>
      <c r="F172" s="923" t="s">
        <v>1502</v>
      </c>
      <c r="G172" s="913" t="s">
        <v>17</v>
      </c>
    </row>
    <row r="173" spans="1:10" x14ac:dyDescent="0.25">
      <c r="A173" s="888" t="str">
        <f t="shared" ca="1" si="5"/>
        <v>Segments du marché</v>
      </c>
      <c r="B173" s="889"/>
      <c r="C173" s="890" t="s">
        <v>208</v>
      </c>
      <c r="D173" s="890" t="s">
        <v>209</v>
      </c>
      <c r="E173" s="923" t="s">
        <v>1503</v>
      </c>
      <c r="F173" s="923" t="s">
        <v>1504</v>
      </c>
      <c r="G173" s="913" t="s">
        <v>17</v>
      </c>
    </row>
    <row r="174" spans="1:10" x14ac:dyDescent="0.25">
      <c r="A174" s="916" t="str">
        <f t="shared" ca="1" si="5"/>
        <v>Indépendance</v>
      </c>
      <c r="B174" s="889"/>
      <c r="C174" s="929" t="s">
        <v>210</v>
      </c>
      <c r="D174" s="929" t="s">
        <v>211</v>
      </c>
      <c r="E174" s="930" t="s">
        <v>1505</v>
      </c>
      <c r="F174" s="930" t="s">
        <v>1506</v>
      </c>
      <c r="G174" s="919" t="s">
        <v>17</v>
      </c>
    </row>
    <row r="175" spans="1:10" s="905" customFormat="1" x14ac:dyDescent="0.25">
      <c r="A175" s="902" t="str">
        <f t="shared" ca="1" si="5"/>
        <v>C O Û T S   D E   L ' I N N O V A T I O N</v>
      </c>
      <c r="B175" s="901"/>
      <c r="C175" s="902" t="s">
        <v>1016</v>
      </c>
      <c r="D175" s="902" t="s">
        <v>1017</v>
      </c>
      <c r="E175" s="903" t="s">
        <v>1017</v>
      </c>
      <c r="F175" s="903" t="s">
        <v>1982</v>
      </c>
      <c r="G175" s="904" t="s">
        <v>17</v>
      </c>
      <c r="I175" s="892"/>
      <c r="J175" s="883"/>
    </row>
    <row r="176" spans="1:10" x14ac:dyDescent="0.25">
      <c r="A176" s="906" t="str">
        <f t="shared" ca="1" si="5"/>
        <v>Coûts</v>
      </c>
      <c r="B176" s="889"/>
      <c r="C176" s="908" t="s">
        <v>214</v>
      </c>
      <c r="D176" s="908" t="s">
        <v>215</v>
      </c>
      <c r="E176" s="909" t="s">
        <v>215</v>
      </c>
      <c r="F176" s="909" t="s">
        <v>1983</v>
      </c>
      <c r="G176" s="910" t="s">
        <v>17</v>
      </c>
    </row>
    <row r="177" spans="1:10" x14ac:dyDescent="0.25">
      <c r="A177" s="888" t="str">
        <f t="shared" ca="1" si="5"/>
        <v>en %</v>
      </c>
      <c r="B177" s="889"/>
      <c r="C177" s="890" t="s">
        <v>212</v>
      </c>
      <c r="D177" s="890" t="s">
        <v>213</v>
      </c>
      <c r="E177" s="912" t="s">
        <v>213</v>
      </c>
      <c r="F177" s="912" t="s">
        <v>212</v>
      </c>
      <c r="G177" s="913" t="s">
        <v>17</v>
      </c>
    </row>
    <row r="178" spans="1:10" x14ac:dyDescent="0.25">
      <c r="A178" s="888" t="str">
        <f t="shared" ca="1" si="5"/>
        <v>Influença-bilité?</v>
      </c>
      <c r="B178" s="889"/>
      <c r="C178" s="890" t="s">
        <v>216</v>
      </c>
      <c r="D178" s="890" t="s">
        <v>217</v>
      </c>
      <c r="E178" s="912" t="s">
        <v>1984</v>
      </c>
      <c r="F178" s="912" t="s">
        <v>1985</v>
      </c>
      <c r="G178" s="913" t="s">
        <v>17</v>
      </c>
    </row>
    <row r="179" spans="1:10" x14ac:dyDescent="0.25">
      <c r="A179" s="888" t="str">
        <f t="shared" ca="1" si="5"/>
        <v>No.</v>
      </c>
      <c r="B179" s="889"/>
      <c r="C179" s="890" t="s">
        <v>39</v>
      </c>
      <c r="D179" s="890" t="s">
        <v>40</v>
      </c>
      <c r="E179" s="912" t="s">
        <v>40</v>
      </c>
      <c r="F179" s="912" t="s">
        <v>40</v>
      </c>
      <c r="G179" s="913" t="s">
        <v>17</v>
      </c>
    </row>
    <row r="180" spans="1:10" x14ac:dyDescent="0.25">
      <c r="A180" s="888" t="str">
        <f t="shared" ca="1" si="5"/>
        <v>Statut</v>
      </c>
      <c r="B180" s="889"/>
      <c r="C180" s="890" t="s">
        <v>44</v>
      </c>
      <c r="D180" s="890" t="s">
        <v>45</v>
      </c>
      <c r="E180" s="912" t="s">
        <v>45</v>
      </c>
      <c r="F180" s="912" t="s">
        <v>44</v>
      </c>
      <c r="G180" s="913" t="s">
        <v>17</v>
      </c>
    </row>
    <row r="181" spans="1:10" x14ac:dyDescent="0.25">
      <c r="A181" s="916" t="str">
        <f t="shared" ca="1" si="5"/>
        <v>Mesures</v>
      </c>
      <c r="B181" s="889"/>
      <c r="C181" s="929" t="s">
        <v>753</v>
      </c>
      <c r="D181" s="929" t="s">
        <v>752</v>
      </c>
      <c r="E181" s="918" t="s">
        <v>752</v>
      </c>
      <c r="F181" s="918" t="s">
        <v>1986</v>
      </c>
      <c r="G181" s="919" t="s">
        <v>17</v>
      </c>
    </row>
    <row r="182" spans="1:10" s="905" customFormat="1" x14ac:dyDescent="0.25">
      <c r="A182" s="902" t="str">
        <f t="shared" ca="1" si="5"/>
        <v>C A N V A S :   F O R C E S   &amp;   F A I B L E S S E S</v>
      </c>
      <c r="B182" s="901"/>
      <c r="C182" s="902" t="s">
        <v>1160</v>
      </c>
      <c r="D182" s="902" t="s">
        <v>1161</v>
      </c>
      <c r="E182" s="902" t="s">
        <v>1162</v>
      </c>
      <c r="F182" s="902" t="s">
        <v>2000</v>
      </c>
      <c r="G182" s="904" t="s">
        <v>17</v>
      </c>
      <c r="I182" s="892"/>
      <c r="J182" s="883"/>
    </row>
    <row r="183" spans="1:10" x14ac:dyDescent="0.25">
      <c r="A183" s="906" t="str">
        <f t="shared" ca="1" si="5"/>
        <v xml:space="preserve">correspond tout à fait </v>
      </c>
      <c r="B183" s="889"/>
      <c r="C183" s="908" t="s">
        <v>218</v>
      </c>
      <c r="D183" s="908" t="s">
        <v>219</v>
      </c>
      <c r="E183" s="922" t="s">
        <v>1507</v>
      </c>
      <c r="F183" s="922" t="s">
        <v>1508</v>
      </c>
      <c r="G183" s="910" t="s">
        <v>17</v>
      </c>
    </row>
    <row r="184" spans="1:10" x14ac:dyDescent="0.25">
      <c r="A184" s="888" t="str">
        <f t="shared" ca="1" si="5"/>
        <v xml:space="preserve">correspond plutôt </v>
      </c>
      <c r="B184" s="889"/>
      <c r="C184" s="890" t="s">
        <v>220</v>
      </c>
      <c r="D184" s="890" t="s">
        <v>221</v>
      </c>
      <c r="E184" s="923" t="s">
        <v>1509</v>
      </c>
      <c r="F184" s="923" t="s">
        <v>1510</v>
      </c>
      <c r="G184" s="913" t="s">
        <v>17</v>
      </c>
    </row>
    <row r="185" spans="1:10" x14ac:dyDescent="0.25">
      <c r="A185" s="888" t="str">
        <f t="shared" ca="1" si="5"/>
        <v xml:space="preserve">correspond partiellement </v>
      </c>
      <c r="B185" s="889"/>
      <c r="C185" s="890" t="s">
        <v>222</v>
      </c>
      <c r="D185" s="890" t="s">
        <v>223</v>
      </c>
      <c r="E185" s="923" t="s">
        <v>1511</v>
      </c>
      <c r="F185" s="923" t="s">
        <v>1512</v>
      </c>
      <c r="G185" s="913" t="s">
        <v>17</v>
      </c>
    </row>
    <row r="186" spans="1:10" x14ac:dyDescent="0.25">
      <c r="A186" s="888" t="str">
        <f t="shared" ca="1" si="5"/>
        <v>correspond peu</v>
      </c>
      <c r="B186" s="889"/>
      <c r="C186" s="890" t="s">
        <v>224</v>
      </c>
      <c r="D186" s="890" t="s">
        <v>225</v>
      </c>
      <c r="E186" s="923" t="s">
        <v>1513</v>
      </c>
      <c r="F186" s="923" t="s">
        <v>1514</v>
      </c>
      <c r="G186" s="913" t="s">
        <v>17</v>
      </c>
    </row>
    <row r="187" spans="1:10" x14ac:dyDescent="0.25">
      <c r="A187" s="888" t="str">
        <f t="shared" ca="1" si="5"/>
        <v xml:space="preserve">ne correspond pas du tout </v>
      </c>
      <c r="B187" s="889"/>
      <c r="C187" s="890" t="s">
        <v>226</v>
      </c>
      <c r="D187" s="890" t="s">
        <v>227</v>
      </c>
      <c r="E187" s="923" t="s">
        <v>1515</v>
      </c>
      <c r="F187" s="923" t="s">
        <v>1516</v>
      </c>
      <c r="G187" s="913" t="s">
        <v>17</v>
      </c>
    </row>
    <row r="188" spans="1:10" ht="28.8" x14ac:dyDescent="0.25">
      <c r="A188" s="888" t="str">
        <f t="shared" ca="1" si="5"/>
        <v>Nos propositions de valeur correspondent aux besoins de nos clients</v>
      </c>
      <c r="B188" s="889"/>
      <c r="C188" s="890" t="s">
        <v>1163</v>
      </c>
      <c r="D188" s="890" t="s">
        <v>228</v>
      </c>
      <c r="E188" s="923" t="s">
        <v>1164</v>
      </c>
      <c r="F188" s="923" t="s">
        <v>1517</v>
      </c>
      <c r="G188" s="913" t="s">
        <v>17</v>
      </c>
    </row>
    <row r="189" spans="1:10" ht="28.8" x14ac:dyDescent="0.25">
      <c r="A189" s="888" t="str">
        <f t="shared" ca="1" si="5"/>
        <v>Nos propositions de valeur ont de forts effets sur le réseau (Networking)</v>
      </c>
      <c r="B189" s="889"/>
      <c r="C189" s="890" t="s">
        <v>1165</v>
      </c>
      <c r="D189" s="890" t="s">
        <v>229</v>
      </c>
      <c r="E189" s="923" t="s">
        <v>1166</v>
      </c>
      <c r="F189" s="923" t="s">
        <v>1518</v>
      </c>
      <c r="G189" s="913" t="s">
        <v>17</v>
      </c>
    </row>
    <row r="190" spans="1:10" ht="28.8" x14ac:dyDescent="0.25">
      <c r="A190" s="888" t="str">
        <f t="shared" ca="1" si="5"/>
        <v>Il existe des synergies fortes entre nos produits et nos services</v>
      </c>
      <c r="B190" s="889"/>
      <c r="C190" s="890" t="s">
        <v>1167</v>
      </c>
      <c r="D190" s="890" t="s">
        <v>1168</v>
      </c>
      <c r="E190" s="923" t="s">
        <v>1519</v>
      </c>
      <c r="F190" s="923" t="s">
        <v>1520</v>
      </c>
      <c r="G190" s="913" t="s">
        <v>17</v>
      </c>
    </row>
    <row r="191" spans="1:10" x14ac:dyDescent="0.25">
      <c r="A191" s="888" t="str">
        <f t="shared" ca="1" si="5"/>
        <v>Nos clients sont satisfaits</v>
      </c>
      <c r="B191" s="889"/>
      <c r="C191" s="890" t="s">
        <v>1169</v>
      </c>
      <c r="D191" s="890" t="s">
        <v>1170</v>
      </c>
      <c r="E191" s="923" t="s">
        <v>1171</v>
      </c>
      <c r="F191" s="923" t="s">
        <v>1521</v>
      </c>
      <c r="G191" s="913" t="s">
        <v>17</v>
      </c>
    </row>
    <row r="192" spans="1:10" x14ac:dyDescent="0.25">
      <c r="A192" s="888"/>
      <c r="B192" s="889"/>
      <c r="C192" s="890"/>
      <c r="D192" s="890"/>
      <c r="E192" s="923"/>
      <c r="F192" s="923"/>
      <c r="G192" s="913"/>
    </row>
    <row r="193" spans="1:7" x14ac:dyDescent="0.25">
      <c r="A193" s="888" t="str">
        <f t="shared" ref="A193:A224" ca="1" si="6">OFFSET($C193,0,$Z$5-1)</f>
        <v>Nos marges sont élevées</v>
      </c>
      <c r="B193" s="889"/>
      <c r="C193" s="890" t="s">
        <v>230</v>
      </c>
      <c r="D193" s="890" t="s">
        <v>231</v>
      </c>
      <c r="E193" s="923" t="s">
        <v>1172</v>
      </c>
      <c r="F193" s="923" t="s">
        <v>1522</v>
      </c>
      <c r="G193" s="913" t="s">
        <v>17</v>
      </c>
    </row>
    <row r="194" spans="1:7" x14ac:dyDescent="0.25">
      <c r="A194" s="888" t="str">
        <f t="shared" ca="1" si="6"/>
        <v>Nos revenus sont prévisibles</v>
      </c>
      <c r="B194" s="889"/>
      <c r="C194" s="890" t="s">
        <v>232</v>
      </c>
      <c r="D194" s="890" t="s">
        <v>233</v>
      </c>
      <c r="E194" s="923" t="s">
        <v>1173</v>
      </c>
      <c r="F194" s="923" t="s">
        <v>1523</v>
      </c>
      <c r="G194" s="913" t="s">
        <v>17</v>
      </c>
    </row>
    <row r="195" spans="1:7" ht="28.8" x14ac:dyDescent="0.25">
      <c r="A195" s="888" t="str">
        <f t="shared" ca="1" si="6"/>
        <v>Nous avons des flux de revenus récurrents et des achats répétés fréquents</v>
      </c>
      <c r="B195" s="889"/>
      <c r="C195" s="890" t="s">
        <v>234</v>
      </c>
      <c r="D195" s="890" t="s">
        <v>235</v>
      </c>
      <c r="E195" s="923" t="s">
        <v>1174</v>
      </c>
      <c r="F195" s="923" t="s">
        <v>1524</v>
      </c>
      <c r="G195" s="913" t="s">
        <v>17</v>
      </c>
    </row>
    <row r="196" spans="1:7" x14ac:dyDescent="0.25">
      <c r="A196" s="888" t="str">
        <f t="shared" ca="1" si="6"/>
        <v>Nos flux de revenus sont diversifiés</v>
      </c>
      <c r="B196" s="889"/>
      <c r="C196" s="890" t="s">
        <v>236</v>
      </c>
      <c r="D196" s="890" t="s">
        <v>237</v>
      </c>
      <c r="E196" s="923" t="s">
        <v>1175</v>
      </c>
      <c r="F196" s="923" t="s">
        <v>1525</v>
      </c>
      <c r="G196" s="913" t="s">
        <v>17</v>
      </c>
    </row>
    <row r="197" spans="1:7" x14ac:dyDescent="0.25">
      <c r="A197" s="888" t="str">
        <f t="shared" ca="1" si="6"/>
        <v>Nos flux de revenus sont durables</v>
      </c>
      <c r="B197" s="889"/>
      <c r="C197" s="890" t="s">
        <v>238</v>
      </c>
      <c r="D197" s="890" t="s">
        <v>239</v>
      </c>
      <c r="E197" s="923" t="s">
        <v>1176</v>
      </c>
      <c r="F197" s="923" t="s">
        <v>1526</v>
      </c>
      <c r="G197" s="913" t="s">
        <v>17</v>
      </c>
    </row>
    <row r="198" spans="1:7" ht="28.8" x14ac:dyDescent="0.25">
      <c r="A198" s="888" t="str">
        <f t="shared" ca="1" si="6"/>
        <v>Nous encaissons nos revenus avant d'engager nos dépenses</v>
      </c>
      <c r="B198" s="889"/>
      <c r="C198" s="890" t="s">
        <v>240</v>
      </c>
      <c r="D198" s="890" t="s">
        <v>241</v>
      </c>
      <c r="E198" s="923" t="s">
        <v>1177</v>
      </c>
      <c r="F198" s="923" t="s">
        <v>1527</v>
      </c>
      <c r="G198" s="913" t="s">
        <v>17</v>
      </c>
    </row>
    <row r="199" spans="1:7" ht="28.8" x14ac:dyDescent="0.25">
      <c r="A199" s="888" t="str">
        <f t="shared" ca="1" si="6"/>
        <v>Nous facturons ce pour quoi les clients ont réellement envie de payer</v>
      </c>
      <c r="B199" s="889"/>
      <c r="C199" s="890" t="s">
        <v>242</v>
      </c>
      <c r="D199" s="890" t="s">
        <v>243</v>
      </c>
      <c r="E199" s="923" t="s">
        <v>1178</v>
      </c>
      <c r="F199" s="923" t="s">
        <v>1528</v>
      </c>
      <c r="G199" s="913" t="s">
        <v>17</v>
      </c>
    </row>
    <row r="200" spans="1:7" ht="28.8" x14ac:dyDescent="0.25">
      <c r="A200" s="888" t="str">
        <f t="shared" ca="1" si="6"/>
        <v>Nos mécanismes de fixation des prix permettent de capter tout ce que le client est prêt à payer</v>
      </c>
      <c r="B200" s="889"/>
      <c r="C200" s="890" t="s">
        <v>244</v>
      </c>
      <c r="D200" s="890" t="s">
        <v>245</v>
      </c>
      <c r="E200" s="923" t="s">
        <v>1179</v>
      </c>
      <c r="F200" s="923" t="s">
        <v>1529</v>
      </c>
      <c r="G200" s="913" t="s">
        <v>17</v>
      </c>
    </row>
    <row r="201" spans="1:7" x14ac:dyDescent="0.25">
      <c r="A201" s="888">
        <f t="shared" ca="1" si="6"/>
        <v>0</v>
      </c>
      <c r="B201" s="889"/>
      <c r="C201" s="890"/>
      <c r="D201" s="890"/>
      <c r="E201" s="923"/>
      <c r="F201" s="923"/>
      <c r="G201" s="913" t="s">
        <v>17</v>
      </c>
    </row>
    <row r="202" spans="1:7" x14ac:dyDescent="0.25">
      <c r="A202" s="888" t="str">
        <f t="shared" ca="1" si="6"/>
        <v>Nos coûts sont prévisibles</v>
      </c>
      <c r="B202" s="889"/>
      <c r="C202" s="890" t="s">
        <v>246</v>
      </c>
      <c r="D202" s="890" t="s">
        <v>247</v>
      </c>
      <c r="E202" s="923" t="s">
        <v>1180</v>
      </c>
      <c r="F202" s="923" t="s">
        <v>1530</v>
      </c>
      <c r="G202" s="913" t="s">
        <v>17</v>
      </c>
    </row>
    <row r="203" spans="1:7" ht="28.8" x14ac:dyDescent="0.25">
      <c r="A203" s="888" t="str">
        <f t="shared" ca="1" si="6"/>
        <v>Notre structure de coûts est correctement adaptée à notre modèle d'affaires</v>
      </c>
      <c r="B203" s="889"/>
      <c r="C203" s="890" t="s">
        <v>248</v>
      </c>
      <c r="D203" s="890" t="s">
        <v>249</v>
      </c>
      <c r="E203" s="923" t="s">
        <v>1181</v>
      </c>
      <c r="F203" s="923" t="s">
        <v>1531</v>
      </c>
      <c r="G203" s="913" t="s">
        <v>17</v>
      </c>
    </row>
    <row r="204" spans="1:7" x14ac:dyDescent="0.25">
      <c r="A204" s="888" t="str">
        <f t="shared" ca="1" si="6"/>
        <v>Nos activités sont efficace par rapport aux coûts</v>
      </c>
      <c r="B204" s="889"/>
      <c r="C204" s="890" t="s">
        <v>1182</v>
      </c>
      <c r="D204" s="890" t="s">
        <v>1183</v>
      </c>
      <c r="E204" s="923" t="s">
        <v>1184</v>
      </c>
      <c r="F204" s="923" t="s">
        <v>1532</v>
      </c>
      <c r="G204" s="913" t="s">
        <v>17</v>
      </c>
    </row>
    <row r="205" spans="1:7" x14ac:dyDescent="0.25">
      <c r="A205" s="888" t="str">
        <f t="shared" ca="1" si="6"/>
        <v>Nous bénéficions d'économies d'échelle</v>
      </c>
      <c r="B205" s="889"/>
      <c r="C205" s="890" t="s">
        <v>250</v>
      </c>
      <c r="D205" s="890" t="s">
        <v>251</v>
      </c>
      <c r="E205" s="923" t="s">
        <v>1185</v>
      </c>
      <c r="F205" s="923" t="s">
        <v>1533</v>
      </c>
      <c r="G205" s="913" t="s">
        <v>17</v>
      </c>
    </row>
    <row r="206" spans="1:7" x14ac:dyDescent="0.25">
      <c r="A206" s="888">
        <f t="shared" ca="1" si="6"/>
        <v>0</v>
      </c>
      <c r="B206" s="889"/>
      <c r="C206" s="890"/>
      <c r="D206" s="890"/>
      <c r="E206" s="923"/>
      <c r="F206" s="923"/>
      <c r="G206" s="913" t="s">
        <v>17</v>
      </c>
    </row>
    <row r="207" spans="1:7" x14ac:dyDescent="0.25">
      <c r="A207" s="888" t="str">
        <f t="shared" ca="1" si="6"/>
        <v>Le taux de roulement de la clientèle est faible</v>
      </c>
      <c r="B207" s="889"/>
      <c r="C207" s="890" t="s">
        <v>252</v>
      </c>
      <c r="D207" s="890" t="s">
        <v>253</v>
      </c>
      <c r="E207" s="923" t="s">
        <v>1186</v>
      </c>
      <c r="F207" s="923" t="s">
        <v>1534</v>
      </c>
      <c r="G207" s="913" t="s">
        <v>17</v>
      </c>
    </row>
    <row r="208" spans="1:7" x14ac:dyDescent="0.25">
      <c r="A208" s="888" t="str">
        <f t="shared" ca="1" si="6"/>
        <v>La clientèle est bien segmentée</v>
      </c>
      <c r="B208" s="889"/>
      <c r="C208" s="890" t="s">
        <v>254</v>
      </c>
      <c r="D208" s="890" t="s">
        <v>255</v>
      </c>
      <c r="E208" s="923" t="s">
        <v>1187</v>
      </c>
      <c r="F208" s="923" t="s">
        <v>1535</v>
      </c>
      <c r="G208" s="913" t="s">
        <v>17</v>
      </c>
    </row>
    <row r="209" spans="1:7" x14ac:dyDescent="0.25">
      <c r="A209" s="888" t="str">
        <f t="shared" ca="1" si="6"/>
        <v>Nous acquérons régulièrement de nouveaux clients</v>
      </c>
      <c r="B209" s="889"/>
      <c r="C209" s="890" t="s">
        <v>256</v>
      </c>
      <c r="D209" s="890" t="s">
        <v>257</v>
      </c>
      <c r="E209" s="923" t="s">
        <v>1188</v>
      </c>
      <c r="F209" s="923" t="s">
        <v>1536</v>
      </c>
      <c r="G209" s="913" t="s">
        <v>17</v>
      </c>
    </row>
    <row r="210" spans="1:7" x14ac:dyDescent="0.25">
      <c r="A210" s="888">
        <f t="shared" ca="1" si="6"/>
        <v>0</v>
      </c>
      <c r="B210" s="889"/>
      <c r="C210" s="890"/>
      <c r="D210" s="890"/>
      <c r="E210" s="923"/>
      <c r="F210" s="923"/>
      <c r="G210" s="913" t="s">
        <v>17</v>
      </c>
    </row>
    <row r="211" spans="1:7" x14ac:dyDescent="0.25">
      <c r="A211" s="888" t="str">
        <f t="shared" ca="1" si="6"/>
        <v xml:space="preserve">Nos canaux de distribution sont efficients </v>
      </c>
      <c r="B211" s="889"/>
      <c r="C211" s="890" t="s">
        <v>1189</v>
      </c>
      <c r="D211" s="890" t="s">
        <v>1190</v>
      </c>
      <c r="E211" s="923" t="s">
        <v>1191</v>
      </c>
      <c r="F211" s="923" t="s">
        <v>1537</v>
      </c>
      <c r="G211" s="913" t="s">
        <v>17</v>
      </c>
    </row>
    <row r="212" spans="1:7" x14ac:dyDescent="0.25">
      <c r="A212" s="888" t="str">
        <f t="shared" ca="1" si="6"/>
        <v>Nos canaux de distribution sont efficaces (effective)</v>
      </c>
      <c r="B212" s="889"/>
      <c r="C212" s="890" t="s">
        <v>1192</v>
      </c>
      <c r="D212" s="890" t="s">
        <v>1193</v>
      </c>
      <c r="E212" s="923" t="s">
        <v>1194</v>
      </c>
      <c r="F212" s="923" t="s">
        <v>1538</v>
      </c>
      <c r="G212" s="913" t="s">
        <v>17</v>
      </c>
    </row>
    <row r="213" spans="1:7" x14ac:dyDescent="0.25">
      <c r="A213" s="888" t="str">
        <f t="shared" ca="1" si="6"/>
        <v>La pénétration des canaux est bonne</v>
      </c>
      <c r="B213" s="889"/>
      <c r="C213" s="890" t="s">
        <v>1195</v>
      </c>
      <c r="D213" s="890" t="s">
        <v>258</v>
      </c>
      <c r="E213" s="923" t="s">
        <v>1196</v>
      </c>
      <c r="F213" s="923" t="s">
        <v>1539</v>
      </c>
      <c r="G213" s="913" t="s">
        <v>17</v>
      </c>
    </row>
    <row r="214" spans="1:7" ht="28.8" x14ac:dyDescent="0.25">
      <c r="A214" s="888" t="str">
        <f t="shared" ca="1" si="6"/>
        <v>Les clients repèrent facilement nos canaux de distribution</v>
      </c>
      <c r="B214" s="889"/>
      <c r="C214" s="890" t="s">
        <v>259</v>
      </c>
      <c r="D214" s="890" t="s">
        <v>260</v>
      </c>
      <c r="E214" s="923" t="s">
        <v>1197</v>
      </c>
      <c r="F214" s="923" t="s">
        <v>1540</v>
      </c>
      <c r="G214" s="913" t="s">
        <v>17</v>
      </c>
    </row>
    <row r="215" spans="1:7" x14ac:dyDescent="0.25">
      <c r="A215" s="888" t="str">
        <f t="shared" ca="1" si="6"/>
        <v>Les canaux sont très intégrés</v>
      </c>
      <c r="B215" s="889"/>
      <c r="C215" s="890" t="s">
        <v>261</v>
      </c>
      <c r="D215" s="890" t="s">
        <v>262</v>
      </c>
      <c r="E215" s="923" t="s">
        <v>1198</v>
      </c>
      <c r="F215" s="923" t="s">
        <v>1541</v>
      </c>
      <c r="G215" s="913" t="s">
        <v>17</v>
      </c>
    </row>
    <row r="216" spans="1:7" ht="39.6" x14ac:dyDescent="0.25">
      <c r="A216" s="888" t="str">
        <f t="shared" ca="1" si="6"/>
        <v>Les canaux sont sources d'économie d'envergure (economies of scope)</v>
      </c>
      <c r="B216" s="889"/>
      <c r="C216" s="890" t="s">
        <v>1199</v>
      </c>
      <c r="D216" s="890" t="s">
        <v>263</v>
      </c>
      <c r="E216" s="923" t="s">
        <v>1200</v>
      </c>
      <c r="F216" s="923" t="s">
        <v>1542</v>
      </c>
      <c r="G216" s="913" t="s">
        <v>17</v>
      </c>
    </row>
    <row r="217" spans="1:7" ht="28.8" x14ac:dyDescent="0.25">
      <c r="A217" s="888" t="str">
        <f t="shared" ca="1" si="6"/>
        <v>Les canaux de distribution sont  adaptés aux segments clients</v>
      </c>
      <c r="B217" s="889"/>
      <c r="C217" s="890" t="s">
        <v>1201</v>
      </c>
      <c r="D217" s="890" t="s">
        <v>1202</v>
      </c>
      <c r="E217" s="923" t="s">
        <v>1203</v>
      </c>
      <c r="F217" s="923" t="s">
        <v>1543</v>
      </c>
      <c r="G217" s="913" t="s">
        <v>17</v>
      </c>
    </row>
    <row r="218" spans="1:7" x14ac:dyDescent="0.25">
      <c r="A218" s="888">
        <f t="shared" ca="1" si="6"/>
        <v>0</v>
      </c>
      <c r="B218" s="889"/>
      <c r="C218" s="890"/>
      <c r="D218" s="890"/>
      <c r="E218" s="923"/>
      <c r="F218" s="923"/>
      <c r="G218" s="913" t="s">
        <v>17</v>
      </c>
    </row>
    <row r="219" spans="1:7" x14ac:dyDescent="0.25">
      <c r="A219" s="888" t="str">
        <f t="shared" ca="1" si="6"/>
        <v>Forte relations avec les clients</v>
      </c>
      <c r="B219" s="889"/>
      <c r="C219" s="890" t="s">
        <v>1204</v>
      </c>
      <c r="D219" s="890" t="s">
        <v>1205</v>
      </c>
      <c r="E219" s="923" t="s">
        <v>1206</v>
      </c>
      <c r="F219" s="923" t="s">
        <v>1544</v>
      </c>
      <c r="G219" s="913" t="s">
        <v>17</v>
      </c>
    </row>
    <row r="220" spans="1:7" ht="28.8" x14ac:dyDescent="0.25">
      <c r="A220" s="888" t="str">
        <f t="shared" ca="1" si="6"/>
        <v>La qualité de la relation correspond à la segmentation de la clientèle</v>
      </c>
      <c r="B220" s="889"/>
      <c r="C220" s="890" t="s">
        <v>264</v>
      </c>
      <c r="D220" s="890" t="s">
        <v>1207</v>
      </c>
      <c r="E220" s="923" t="s">
        <v>1208</v>
      </c>
      <c r="F220" s="923" t="s">
        <v>1545</v>
      </c>
      <c r="G220" s="913" t="s">
        <v>17</v>
      </c>
    </row>
    <row r="221" spans="1:7" ht="28.8" x14ac:dyDescent="0.25">
      <c r="A221" s="888" t="str">
        <f t="shared" ca="1" si="6"/>
        <v>Les relations avec les clients sont forte. Pour le client, un changement a des coûts élevés</v>
      </c>
      <c r="B221" s="889"/>
      <c r="C221" s="890" t="s">
        <v>1209</v>
      </c>
      <c r="D221" s="890" t="s">
        <v>1210</v>
      </c>
      <c r="E221" s="923" t="s">
        <v>1211</v>
      </c>
      <c r="F221" s="923" t="s">
        <v>1546</v>
      </c>
      <c r="G221" s="913" t="s">
        <v>17</v>
      </c>
    </row>
    <row r="222" spans="1:7" x14ac:dyDescent="0.25">
      <c r="A222" s="888" t="str">
        <f t="shared" ca="1" si="6"/>
        <v>Notre marque est forte</v>
      </c>
      <c r="B222" s="889"/>
      <c r="C222" s="890" t="s">
        <v>265</v>
      </c>
      <c r="D222" s="890" t="s">
        <v>266</v>
      </c>
      <c r="E222" s="923" t="s">
        <v>1212</v>
      </c>
      <c r="F222" s="923" t="s">
        <v>1547</v>
      </c>
      <c r="G222" s="913" t="s">
        <v>17</v>
      </c>
    </row>
    <row r="223" spans="1:7" x14ac:dyDescent="0.25">
      <c r="A223" s="888">
        <f t="shared" ca="1" si="6"/>
        <v>0</v>
      </c>
      <c r="B223" s="889"/>
      <c r="C223" s="890"/>
      <c r="D223" s="890"/>
      <c r="E223" s="923"/>
      <c r="F223" s="923"/>
      <c r="G223" s="913" t="s">
        <v>17</v>
      </c>
    </row>
    <row r="224" spans="1:7" ht="28.8" x14ac:dyDescent="0.25">
      <c r="A224" s="888" t="str">
        <f t="shared" ca="1" si="6"/>
        <v>Nos ressources clés sont difficiles à reproduire pour nos concurrents</v>
      </c>
      <c r="B224" s="889"/>
      <c r="C224" s="890" t="s">
        <v>267</v>
      </c>
      <c r="D224" s="890" t="s">
        <v>268</v>
      </c>
      <c r="E224" s="923" t="s">
        <v>1213</v>
      </c>
      <c r="F224" s="923" t="s">
        <v>1548</v>
      </c>
      <c r="G224" s="913" t="s">
        <v>17</v>
      </c>
    </row>
    <row r="225" spans="1:7" x14ac:dyDescent="0.25">
      <c r="A225" s="888" t="str">
        <f t="shared" ref="A225:A256" ca="1" si="7">OFFSET($C225,0,$Z$5-1)</f>
        <v>Les besoins en ressources sont prévisibles</v>
      </c>
      <c r="B225" s="889"/>
      <c r="C225" s="890" t="s">
        <v>269</v>
      </c>
      <c r="D225" s="890" t="s">
        <v>270</v>
      </c>
      <c r="E225" s="923" t="s">
        <v>1214</v>
      </c>
      <c r="F225" s="923" t="s">
        <v>1549</v>
      </c>
      <c r="G225" s="913" t="s">
        <v>17</v>
      </c>
    </row>
    <row r="226" spans="1:7" ht="28.8" x14ac:dyDescent="0.25">
      <c r="A226" s="888" t="str">
        <f t="shared" ca="1" si="7"/>
        <v>Nous savons déployer nos ressources clés au bon moment et dans les bonnes quantités</v>
      </c>
      <c r="B226" s="889"/>
      <c r="C226" s="890" t="s">
        <v>1215</v>
      </c>
      <c r="D226" s="890" t="s">
        <v>1216</v>
      </c>
      <c r="E226" s="923" t="s">
        <v>1217</v>
      </c>
      <c r="F226" s="923" t="s">
        <v>1550</v>
      </c>
      <c r="G226" s="913" t="s">
        <v>17</v>
      </c>
    </row>
    <row r="227" spans="1:7" x14ac:dyDescent="0.25">
      <c r="A227" s="888">
        <f t="shared" ca="1" si="7"/>
        <v>0</v>
      </c>
      <c r="B227" s="889"/>
      <c r="C227" s="890"/>
      <c r="D227" s="890"/>
      <c r="E227" s="923"/>
      <c r="F227" s="923"/>
      <c r="G227" s="913" t="s">
        <v>17</v>
      </c>
    </row>
    <row r="228" spans="1:7" x14ac:dyDescent="0.25">
      <c r="A228" s="888" t="str">
        <f t="shared" ca="1" si="7"/>
        <v>Nous exécutons efficacement nos activités clés</v>
      </c>
      <c r="B228" s="889"/>
      <c r="C228" s="890" t="s">
        <v>271</v>
      </c>
      <c r="D228" s="890" t="s">
        <v>272</v>
      </c>
      <c r="E228" s="923" t="s">
        <v>1218</v>
      </c>
      <c r="F228" s="923" t="s">
        <v>1551</v>
      </c>
      <c r="G228" s="913" t="s">
        <v>17</v>
      </c>
    </row>
    <row r="229" spans="1:7" x14ac:dyDescent="0.25">
      <c r="A229" s="888" t="str">
        <f t="shared" ca="1" si="7"/>
        <v>Nos activités clés sont difficilement copiables</v>
      </c>
      <c r="B229" s="889"/>
      <c r="C229" s="890" t="s">
        <v>273</v>
      </c>
      <c r="D229" s="890" t="s">
        <v>274</v>
      </c>
      <c r="E229" s="923" t="s">
        <v>1219</v>
      </c>
      <c r="F229" s="923" t="s">
        <v>1552</v>
      </c>
      <c r="G229" s="913" t="s">
        <v>17</v>
      </c>
    </row>
    <row r="230" spans="1:7" x14ac:dyDescent="0.25">
      <c r="A230" s="888" t="str">
        <f t="shared" ca="1" si="7"/>
        <v xml:space="preserve">La qualité d'exécution est élevée </v>
      </c>
      <c r="B230" s="889"/>
      <c r="C230" s="890" t="s">
        <v>275</v>
      </c>
      <c r="D230" s="890" t="s">
        <v>276</v>
      </c>
      <c r="E230" s="923" t="s">
        <v>1220</v>
      </c>
      <c r="F230" s="923" t="s">
        <v>1553</v>
      </c>
      <c r="G230" s="913" t="s">
        <v>17</v>
      </c>
    </row>
    <row r="231" spans="1:7" ht="28.8" x14ac:dyDescent="0.25">
      <c r="A231" s="888" t="str">
        <f t="shared" ca="1" si="7"/>
        <v>L'équilibre entre les exécutions internes et les activités sous-traitées est idéale</v>
      </c>
      <c r="B231" s="889"/>
      <c r="C231" s="890" t="s">
        <v>277</v>
      </c>
      <c r="D231" s="890" t="s">
        <v>278</v>
      </c>
      <c r="E231" s="923" t="s">
        <v>1221</v>
      </c>
      <c r="F231" s="923" t="s">
        <v>1554</v>
      </c>
      <c r="G231" s="913" t="s">
        <v>17</v>
      </c>
    </row>
    <row r="232" spans="1:7" x14ac:dyDescent="0.25">
      <c r="A232" s="888">
        <f t="shared" ca="1" si="7"/>
        <v>0</v>
      </c>
      <c r="B232" s="889"/>
      <c r="C232" s="890"/>
      <c r="D232" s="890"/>
      <c r="E232" s="923"/>
      <c r="F232" s="923"/>
      <c r="G232" s="913" t="s">
        <v>17</v>
      </c>
    </row>
    <row r="233" spans="1:7" ht="28.8" x14ac:dyDescent="0.25">
      <c r="A233" s="888" t="str">
        <f t="shared" ca="1" si="7"/>
        <v>Nous sommes orientés partenaires et nous travaillons avec eux lorsque cela est nécessaire</v>
      </c>
      <c r="B233" s="889"/>
      <c r="C233" s="890" t="s">
        <v>1222</v>
      </c>
      <c r="D233" s="890" t="s">
        <v>279</v>
      </c>
      <c r="E233" s="923" t="s">
        <v>1223</v>
      </c>
      <c r="F233" s="923" t="s">
        <v>1555</v>
      </c>
      <c r="G233" s="913" t="s">
        <v>17</v>
      </c>
    </row>
    <row r="234" spans="1:7" ht="28.8" x14ac:dyDescent="0.25">
      <c r="A234" s="888" t="str">
        <f t="shared" ca="1" si="7"/>
        <v>Nous entretenons de bonnes relations de travail avec nos partenaires clés</v>
      </c>
      <c r="B234" s="889"/>
      <c r="C234" s="890" t="s">
        <v>280</v>
      </c>
      <c r="D234" s="890" t="s">
        <v>281</v>
      </c>
      <c r="E234" s="923" t="s">
        <v>1224</v>
      </c>
      <c r="F234" s="923" t="s">
        <v>1556</v>
      </c>
      <c r="G234" s="913" t="s">
        <v>17</v>
      </c>
    </row>
    <row r="235" spans="1:7" ht="26.4" x14ac:dyDescent="0.25">
      <c r="A235" s="888" t="str">
        <f t="shared" ca="1" si="7"/>
        <v>Impact (1 - 10)</v>
      </c>
      <c r="B235" s="889"/>
      <c r="C235" s="890" t="s">
        <v>1225</v>
      </c>
      <c r="D235" s="890" t="s">
        <v>282</v>
      </c>
      <c r="E235" s="923" t="s">
        <v>282</v>
      </c>
      <c r="F235" s="923" t="s">
        <v>1557</v>
      </c>
      <c r="G235" s="913" t="s">
        <v>17</v>
      </c>
    </row>
    <row r="236" spans="1:7" x14ac:dyDescent="0.25">
      <c r="A236" s="888" t="str">
        <f t="shared" ca="1" si="7"/>
        <v>Remarques</v>
      </c>
      <c r="B236" s="889"/>
      <c r="C236" s="890" t="s">
        <v>55</v>
      </c>
      <c r="D236" s="890" t="s">
        <v>56</v>
      </c>
      <c r="E236" s="923" t="s">
        <v>1319</v>
      </c>
      <c r="F236" s="923" t="s">
        <v>1363</v>
      </c>
      <c r="G236" s="913" t="s">
        <v>17</v>
      </c>
    </row>
    <row r="237" spans="1:7" x14ac:dyDescent="0.25">
      <c r="A237" s="888" t="str">
        <f t="shared" ca="1" si="7"/>
        <v>Questions:</v>
      </c>
      <c r="B237" s="889"/>
      <c r="C237" s="890" t="s">
        <v>283</v>
      </c>
      <c r="D237" s="890" t="s">
        <v>284</v>
      </c>
      <c r="E237" s="923" t="s">
        <v>284</v>
      </c>
      <c r="F237" s="923" t="s">
        <v>1558</v>
      </c>
      <c r="G237" s="913" t="s">
        <v>17</v>
      </c>
    </row>
    <row r="238" spans="1:7" x14ac:dyDescent="0.25">
      <c r="A238" s="888" t="str">
        <f t="shared" ca="1" si="7"/>
        <v>Impact:</v>
      </c>
      <c r="B238" s="889"/>
      <c r="C238" s="890" t="s">
        <v>285</v>
      </c>
      <c r="D238" s="890" t="s">
        <v>286</v>
      </c>
      <c r="E238" s="923" t="s">
        <v>286</v>
      </c>
      <c r="F238" s="923" t="s">
        <v>1559</v>
      </c>
      <c r="G238" s="913" t="s">
        <v>17</v>
      </c>
    </row>
    <row r="239" spans="1:7" x14ac:dyDescent="0.25">
      <c r="A239" s="888" t="str">
        <f t="shared" ca="1" si="7"/>
        <v>Total points :</v>
      </c>
      <c r="B239" s="889"/>
      <c r="C239" s="890" t="s">
        <v>287</v>
      </c>
      <c r="D239" s="890" t="s">
        <v>288</v>
      </c>
      <c r="E239" s="923" t="s">
        <v>288</v>
      </c>
      <c r="F239" s="923" t="s">
        <v>1560</v>
      </c>
      <c r="G239" s="913" t="s">
        <v>17</v>
      </c>
    </row>
    <row r="240" spans="1:7" x14ac:dyDescent="0.25">
      <c r="A240" s="888" t="str">
        <f t="shared" ca="1" si="7"/>
        <v xml:space="preserve"> de </v>
      </c>
      <c r="B240" s="889"/>
      <c r="C240" s="890" t="s">
        <v>289</v>
      </c>
      <c r="D240" s="890" t="s">
        <v>290</v>
      </c>
      <c r="E240" s="923" t="s">
        <v>1320</v>
      </c>
      <c r="F240" s="923" t="s">
        <v>1561</v>
      </c>
      <c r="G240" s="913" t="s">
        <v>17</v>
      </c>
    </row>
    <row r="241" spans="1:10" x14ac:dyDescent="0.25">
      <c r="A241" s="888" t="str">
        <f t="shared" ca="1" si="7"/>
        <v>Résumé</v>
      </c>
      <c r="B241" s="889"/>
      <c r="C241" s="890" t="s">
        <v>291</v>
      </c>
      <c r="D241" s="890" t="s">
        <v>292</v>
      </c>
      <c r="E241" s="923" t="s">
        <v>1321</v>
      </c>
      <c r="F241" s="923" t="s">
        <v>1562</v>
      </c>
      <c r="G241" s="913" t="s">
        <v>17</v>
      </c>
    </row>
    <row r="242" spans="1:10" x14ac:dyDescent="0.25">
      <c r="A242" s="888" t="str">
        <f t="shared" ca="1" si="7"/>
        <v>SW</v>
      </c>
      <c r="B242" s="889"/>
      <c r="C242" s="890" t="s">
        <v>1226</v>
      </c>
      <c r="D242" s="890" t="s">
        <v>1226</v>
      </c>
      <c r="E242" s="923" t="s">
        <v>1226</v>
      </c>
      <c r="F242" s="923" t="s">
        <v>1226</v>
      </c>
      <c r="G242" s="913" t="s">
        <v>17</v>
      </c>
    </row>
    <row r="243" spans="1:10" x14ac:dyDescent="0.25">
      <c r="A243" s="916" t="str">
        <f t="shared" ca="1" si="7"/>
        <v>OT</v>
      </c>
      <c r="B243" s="889"/>
      <c r="C243" s="929" t="s">
        <v>1227</v>
      </c>
      <c r="D243" s="929" t="s">
        <v>1227</v>
      </c>
      <c r="E243" s="930" t="s">
        <v>1227</v>
      </c>
      <c r="F243" s="930" t="s">
        <v>1227</v>
      </c>
      <c r="G243" s="919" t="s">
        <v>17</v>
      </c>
    </row>
    <row r="244" spans="1:10" s="905" customFormat="1" x14ac:dyDescent="0.25">
      <c r="A244" s="902" t="str">
        <f t="shared" ca="1" si="7"/>
        <v>C A N V A S : O P P O R T U N I T É S   &amp;  D A N G E R S</v>
      </c>
      <c r="B244" s="901"/>
      <c r="C244" s="902" t="s">
        <v>1228</v>
      </c>
      <c r="D244" s="902" t="s">
        <v>1229</v>
      </c>
      <c r="E244" s="902" t="s">
        <v>1563</v>
      </c>
      <c r="F244" s="902" t="s">
        <v>1564</v>
      </c>
      <c r="G244" s="904" t="s">
        <v>17</v>
      </c>
      <c r="I244" s="892"/>
      <c r="J244" s="883"/>
    </row>
    <row r="245" spans="1:10" ht="28.8" x14ac:dyDescent="0.25">
      <c r="A245" s="906" t="str">
        <f t="shared" ca="1" si="7"/>
        <v>Nous pouvons générer des revenus récurrents en convertissant des produits en services</v>
      </c>
      <c r="B245" s="889"/>
      <c r="C245" s="908" t="s">
        <v>293</v>
      </c>
      <c r="D245" s="908" t="s">
        <v>294</v>
      </c>
      <c r="E245" s="922" t="s">
        <v>1230</v>
      </c>
      <c r="F245" s="922" t="s">
        <v>1565</v>
      </c>
      <c r="G245" s="910" t="s">
        <v>17</v>
      </c>
    </row>
    <row r="246" spans="1:10" x14ac:dyDescent="0.25">
      <c r="A246" s="888" t="str">
        <f t="shared" ca="1" si="7"/>
        <v>Nous intégrons nos produits ou services</v>
      </c>
      <c r="B246" s="889"/>
      <c r="C246" s="890" t="s">
        <v>1231</v>
      </c>
      <c r="D246" s="890" t="s">
        <v>1232</v>
      </c>
      <c r="E246" s="923" t="s">
        <v>1233</v>
      </c>
      <c r="F246" s="923" t="s">
        <v>1566</v>
      </c>
      <c r="G246" s="913" t="s">
        <v>17</v>
      </c>
    </row>
    <row r="247" spans="1:10" ht="28.8" x14ac:dyDescent="0.25">
      <c r="A247" s="888" t="str">
        <f t="shared" ca="1" si="7"/>
        <v>Nous satisfaisons les besoins supplémentaires de nos clients</v>
      </c>
      <c r="B247" s="889"/>
      <c r="C247" s="890" t="s">
        <v>1234</v>
      </c>
      <c r="D247" s="890" t="s">
        <v>1235</v>
      </c>
      <c r="E247" s="923" t="s">
        <v>1236</v>
      </c>
      <c r="F247" s="923" t="s">
        <v>1567</v>
      </c>
      <c r="G247" s="913" t="s">
        <v>17</v>
      </c>
    </row>
    <row r="248" spans="1:10" ht="28.8" x14ac:dyDescent="0.25">
      <c r="A248" s="888" t="str">
        <f t="shared" ca="1" si="7"/>
        <v>Il existe des compléments ou des extensions possibles de notre proposition de valeur</v>
      </c>
      <c r="B248" s="889"/>
      <c r="C248" s="890" t="s">
        <v>1237</v>
      </c>
      <c r="D248" s="890" t="s">
        <v>295</v>
      </c>
      <c r="E248" s="923" t="s">
        <v>1238</v>
      </c>
      <c r="F248" s="923" t="s">
        <v>1568</v>
      </c>
      <c r="G248" s="913" t="s">
        <v>17</v>
      </c>
    </row>
    <row r="249" spans="1:10" ht="28.8" x14ac:dyDescent="0.25">
      <c r="A249" s="888" t="str">
        <f t="shared" ca="1" si="7"/>
        <v>Nous pourrions accomplir d'autres tâches pour nos clients</v>
      </c>
      <c r="B249" s="889"/>
      <c r="C249" s="890" t="s">
        <v>1239</v>
      </c>
      <c r="D249" s="890" t="s">
        <v>296</v>
      </c>
      <c r="E249" s="923" t="s">
        <v>1240</v>
      </c>
      <c r="F249" s="923" t="s">
        <v>1569</v>
      </c>
      <c r="G249" s="913" t="s">
        <v>17</v>
      </c>
    </row>
    <row r="250" spans="1:10" ht="28.8" x14ac:dyDescent="0.25">
      <c r="A250" s="888" t="str">
        <f t="shared" ca="1" si="7"/>
        <v>Des produits et des services de substitution sont disponibles</v>
      </c>
      <c r="B250" s="889"/>
      <c r="C250" s="890" t="s">
        <v>297</v>
      </c>
      <c r="D250" s="890" t="s">
        <v>298</v>
      </c>
      <c r="E250" s="923" t="s">
        <v>1241</v>
      </c>
      <c r="F250" s="923" t="s">
        <v>1570</v>
      </c>
      <c r="G250" s="913" t="s">
        <v>17</v>
      </c>
    </row>
    <row r="251" spans="1:10" ht="28.8" x14ac:dyDescent="0.25">
      <c r="A251" s="888" t="str">
        <f t="shared" ca="1" si="7"/>
        <v>Les concurrents menacent d'offrir de meilleurs prix ou plus de valeur</v>
      </c>
      <c r="B251" s="889"/>
      <c r="C251" s="890" t="s">
        <v>1242</v>
      </c>
      <c r="D251" s="890" t="s">
        <v>299</v>
      </c>
      <c r="E251" s="923" t="s">
        <v>1243</v>
      </c>
      <c r="F251" s="923" t="s">
        <v>1571</v>
      </c>
      <c r="G251" s="913" t="s">
        <v>17</v>
      </c>
    </row>
    <row r="252" spans="1:10" x14ac:dyDescent="0.25">
      <c r="A252" s="888">
        <f t="shared" ca="1" si="7"/>
        <v>0</v>
      </c>
      <c r="B252" s="889"/>
      <c r="C252" s="890"/>
      <c r="D252" s="890"/>
      <c r="E252" s="923"/>
      <c r="F252" s="923" t="s">
        <v>1114</v>
      </c>
      <c r="G252" s="913" t="s">
        <v>17</v>
      </c>
    </row>
    <row r="253" spans="1:10" ht="28.8" x14ac:dyDescent="0.25">
      <c r="A253" s="888" t="str">
        <f t="shared" ca="1" si="7"/>
        <v>Nous pourrions remplacer des revenus de transactions ponctuels par des revenus récurrents</v>
      </c>
      <c r="B253" s="889"/>
      <c r="C253" s="890" t="s">
        <v>1244</v>
      </c>
      <c r="D253" s="890" t="s">
        <v>300</v>
      </c>
      <c r="E253" s="923" t="s">
        <v>1245</v>
      </c>
      <c r="F253" s="923" t="s">
        <v>1572</v>
      </c>
      <c r="G253" s="913" t="s">
        <v>17</v>
      </c>
    </row>
    <row r="254" spans="1:10" ht="28.8" x14ac:dyDescent="0.25">
      <c r="A254" s="888" t="str">
        <f t="shared" ca="1" si="7"/>
        <v>Nos clients seraient disposés à payer pour d'autres produits et services</v>
      </c>
      <c r="B254" s="889"/>
      <c r="C254" s="890" t="s">
        <v>301</v>
      </c>
      <c r="D254" s="890" t="s">
        <v>302</v>
      </c>
      <c r="E254" s="923" t="s">
        <v>1246</v>
      </c>
      <c r="F254" s="923" t="s">
        <v>1573</v>
      </c>
      <c r="G254" s="913" t="s">
        <v>17</v>
      </c>
    </row>
    <row r="255" spans="1:10" ht="39.6" x14ac:dyDescent="0.25">
      <c r="A255" s="888" t="str">
        <f t="shared" ca="1" si="7"/>
        <v>Nous avons des occasions de ventes croisées/associées soit en interne, soit avec des partenaires</v>
      </c>
      <c r="B255" s="889"/>
      <c r="C255" s="890" t="s">
        <v>1247</v>
      </c>
      <c r="D255" s="890" t="s">
        <v>303</v>
      </c>
      <c r="E255" s="923" t="s">
        <v>1248</v>
      </c>
      <c r="F255" s="923" t="s">
        <v>1574</v>
      </c>
      <c r="G255" s="913" t="s">
        <v>17</v>
      </c>
    </row>
    <row r="256" spans="1:10" ht="28.8" x14ac:dyDescent="0.25">
      <c r="A256" s="888" t="str">
        <f t="shared" ca="1" si="7"/>
        <v>Nous pourrions rajouter ou créer d'autres flux de revenus</v>
      </c>
      <c r="B256" s="889"/>
      <c r="C256" s="890" t="s">
        <v>304</v>
      </c>
      <c r="D256" s="890" t="s">
        <v>305</v>
      </c>
      <c r="E256" s="923" t="s">
        <v>1249</v>
      </c>
      <c r="F256" s="923" t="s">
        <v>1575</v>
      </c>
      <c r="G256" s="913" t="s">
        <v>17</v>
      </c>
    </row>
    <row r="257" spans="1:7" x14ac:dyDescent="0.25">
      <c r="A257" s="888" t="str">
        <f t="shared" ref="A257:A288" ca="1" si="8">OFFSET($C257,0,$Z$5-1)</f>
        <v>Nous pouvons augmenter les prix</v>
      </c>
      <c r="B257" s="889"/>
      <c r="C257" s="890" t="s">
        <v>306</v>
      </c>
      <c r="D257" s="890" t="s">
        <v>307</v>
      </c>
      <c r="E257" s="923" t="s">
        <v>1250</v>
      </c>
      <c r="F257" s="923" t="s">
        <v>1576</v>
      </c>
      <c r="G257" s="913" t="s">
        <v>17</v>
      </c>
    </row>
    <row r="258" spans="1:7" ht="28.8" x14ac:dyDescent="0.25">
      <c r="A258" s="888" t="str">
        <f t="shared" ca="1" si="8"/>
        <v>Nos marges sont menacées par des concurrents, et/ou des nouvelles technologies</v>
      </c>
      <c r="B258" s="889"/>
      <c r="C258" s="890" t="s">
        <v>1251</v>
      </c>
      <c r="D258" s="890" t="s">
        <v>308</v>
      </c>
      <c r="E258" s="923" t="s">
        <v>1252</v>
      </c>
      <c r="F258" s="923" t="s">
        <v>1577</v>
      </c>
      <c r="G258" s="913" t="s">
        <v>17</v>
      </c>
    </row>
    <row r="259" spans="1:7" ht="26.4" x14ac:dyDescent="0.25">
      <c r="A259" s="888" t="str">
        <f t="shared" ca="1" si="8"/>
        <v>Nous dépendons d'un ou de plusieurs flux de revenus</v>
      </c>
      <c r="B259" s="889"/>
      <c r="C259" s="890" t="s">
        <v>309</v>
      </c>
      <c r="D259" s="890" t="s">
        <v>1253</v>
      </c>
      <c r="E259" s="923" t="s">
        <v>1254</v>
      </c>
      <c r="F259" s="923" t="s">
        <v>1578</v>
      </c>
      <c r="G259" s="913" t="s">
        <v>17</v>
      </c>
    </row>
    <row r="260" spans="1:7" ht="26.4" x14ac:dyDescent="0.25">
      <c r="A260" s="888" t="str">
        <f t="shared" ca="1" si="8"/>
        <v xml:space="preserve">Nous avons des flux de revenus appelés à disparaître </v>
      </c>
      <c r="B260" s="889"/>
      <c r="C260" s="890" t="s">
        <v>310</v>
      </c>
      <c r="D260" s="890" t="s">
        <v>311</v>
      </c>
      <c r="E260" s="923" t="s">
        <v>1255</v>
      </c>
      <c r="F260" s="923" t="s">
        <v>1579</v>
      </c>
      <c r="G260" s="913" t="s">
        <v>17</v>
      </c>
    </row>
    <row r="261" spans="1:7" x14ac:dyDescent="0.25">
      <c r="A261" s="888">
        <f t="shared" ca="1" si="8"/>
        <v>0</v>
      </c>
      <c r="B261" s="889"/>
      <c r="C261" s="890"/>
      <c r="D261" s="890"/>
      <c r="E261" s="923"/>
      <c r="F261" s="923" t="s">
        <v>1114</v>
      </c>
      <c r="G261" s="913" t="s">
        <v>17</v>
      </c>
    </row>
    <row r="262" spans="1:7" x14ac:dyDescent="0.25">
      <c r="A262" s="888" t="str">
        <f t="shared" ca="1" si="8"/>
        <v>Nous pouvons réduire nos coûts</v>
      </c>
      <c r="B262" s="889"/>
      <c r="C262" s="890" t="s">
        <v>312</v>
      </c>
      <c r="D262" s="890" t="s">
        <v>313</v>
      </c>
      <c r="E262" s="923" t="s">
        <v>1256</v>
      </c>
      <c r="F262" s="923" t="s">
        <v>1580</v>
      </c>
      <c r="G262" s="913" t="s">
        <v>17</v>
      </c>
    </row>
    <row r="263" spans="1:7" x14ac:dyDescent="0.25">
      <c r="A263" s="888" t="str">
        <f t="shared" ca="1" si="8"/>
        <v>Certains coûts risquent de devenir imprévisibles</v>
      </c>
      <c r="B263" s="889"/>
      <c r="C263" s="890" t="s">
        <v>314</v>
      </c>
      <c r="D263" s="890" t="s">
        <v>315</v>
      </c>
      <c r="E263" s="923" t="s">
        <v>1257</v>
      </c>
      <c r="F263" s="923" t="s">
        <v>1581</v>
      </c>
      <c r="G263" s="913" t="s">
        <v>17</v>
      </c>
    </row>
    <row r="264" spans="1:7" ht="28.8" x14ac:dyDescent="0.25">
      <c r="A264" s="888" t="str">
        <f t="shared" ca="1" si="8"/>
        <v>Certains coûts menacent d'augmenter plus rapidement que les revenus correspondants</v>
      </c>
      <c r="B264" s="889"/>
      <c r="C264" s="890" t="s">
        <v>316</v>
      </c>
      <c r="D264" s="890" t="s">
        <v>317</v>
      </c>
      <c r="E264" s="923" t="s">
        <v>1258</v>
      </c>
      <c r="F264" s="923" t="s">
        <v>1582</v>
      </c>
      <c r="G264" s="913" t="s">
        <v>17</v>
      </c>
    </row>
    <row r="265" spans="1:7" x14ac:dyDescent="0.25">
      <c r="A265" s="888">
        <f t="shared" ca="1" si="8"/>
        <v>0</v>
      </c>
      <c r="B265" s="889"/>
      <c r="C265" s="890"/>
      <c r="D265" s="890"/>
      <c r="E265" s="923"/>
      <c r="F265" s="923" t="s">
        <v>1114</v>
      </c>
      <c r="G265" s="913" t="s">
        <v>17</v>
      </c>
    </row>
    <row r="266" spans="1:7" ht="28.8" x14ac:dyDescent="0.25">
      <c r="A266" s="888" t="str">
        <f t="shared" ca="1" si="8"/>
        <v>Nous pourrions bénéficier d'un marché en pleine croissance</v>
      </c>
      <c r="B266" s="889"/>
      <c r="C266" s="890" t="s">
        <v>1259</v>
      </c>
      <c r="D266" s="890" t="s">
        <v>1260</v>
      </c>
      <c r="E266" s="923" t="s">
        <v>1261</v>
      </c>
      <c r="F266" s="923" t="s">
        <v>1583</v>
      </c>
      <c r="G266" s="913" t="s">
        <v>17</v>
      </c>
    </row>
    <row r="267" spans="1:7" ht="28.8" x14ac:dyDescent="0.25">
      <c r="A267" s="888" t="str">
        <f t="shared" ca="1" si="8"/>
        <v>Nous pourrions servir de nouveaux segments de clientèle</v>
      </c>
      <c r="B267" s="889"/>
      <c r="C267" s="890" t="s">
        <v>318</v>
      </c>
      <c r="D267" s="890" t="s">
        <v>319</v>
      </c>
      <c r="E267" s="923" t="s">
        <v>1262</v>
      </c>
      <c r="F267" s="923" t="s">
        <v>1584</v>
      </c>
      <c r="G267" s="913" t="s">
        <v>17</v>
      </c>
    </row>
    <row r="268" spans="1:7" ht="28.8" x14ac:dyDescent="0.25">
      <c r="A268" s="888" t="str">
        <f t="shared" ca="1" si="8"/>
        <v>Nous pourrions mieux servir nos clients grâce à une segmentation plus fine</v>
      </c>
      <c r="B268" s="889"/>
      <c r="C268" s="890" t="s">
        <v>320</v>
      </c>
      <c r="D268" s="890" t="s">
        <v>321</v>
      </c>
      <c r="E268" s="923" t="s">
        <v>1263</v>
      </c>
      <c r="F268" s="923" t="s">
        <v>1585</v>
      </c>
      <c r="G268" s="913" t="s">
        <v>17</v>
      </c>
    </row>
    <row r="269" spans="1:7" x14ac:dyDescent="0.25">
      <c r="A269" s="888" t="str">
        <f t="shared" ca="1" si="8"/>
        <v>Notre marché risque d'être bientôt saturé</v>
      </c>
      <c r="B269" s="889"/>
      <c r="C269" s="890" t="s">
        <v>322</v>
      </c>
      <c r="D269" s="890" t="s">
        <v>323</v>
      </c>
      <c r="E269" s="923" t="s">
        <v>1264</v>
      </c>
      <c r="F269" s="923" t="s">
        <v>1586</v>
      </c>
      <c r="G269" s="913" t="s">
        <v>17</v>
      </c>
    </row>
    <row r="270" spans="1:7" ht="26.4" x14ac:dyDescent="0.25">
      <c r="A270" s="888" t="str">
        <f t="shared" ca="1" si="8"/>
        <v>Nos concurrents menacent nos parts de marché</v>
      </c>
      <c r="B270" s="889"/>
      <c r="C270" s="890" t="s">
        <v>324</v>
      </c>
      <c r="D270" s="890" t="s">
        <v>325</v>
      </c>
      <c r="E270" s="923" t="s">
        <v>1265</v>
      </c>
      <c r="F270" s="923" t="s">
        <v>1587</v>
      </c>
      <c r="G270" s="913" t="s">
        <v>17</v>
      </c>
    </row>
    <row r="271" spans="1:7" x14ac:dyDescent="0.25">
      <c r="A271" s="888" t="str">
        <f t="shared" ca="1" si="8"/>
        <v>Il y a une probabilité que nos clients nous quittent</v>
      </c>
      <c r="B271" s="889"/>
      <c r="C271" s="890" t="s">
        <v>326</v>
      </c>
      <c r="D271" s="890" t="s">
        <v>327</v>
      </c>
      <c r="E271" s="923" t="s">
        <v>1266</v>
      </c>
      <c r="F271" s="923" t="s">
        <v>1588</v>
      </c>
      <c r="G271" s="913" t="s">
        <v>17</v>
      </c>
    </row>
    <row r="272" spans="1:7" ht="28.8" x14ac:dyDescent="0.25">
      <c r="A272" s="888" t="str">
        <f t="shared" ca="1" si="8"/>
        <v>Il y a des chances que nos clients sont en défaut de paiement</v>
      </c>
      <c r="B272" s="889"/>
      <c r="C272" s="890" t="s">
        <v>328</v>
      </c>
      <c r="D272" s="890" t="s">
        <v>329</v>
      </c>
      <c r="E272" s="923" t="s">
        <v>1267</v>
      </c>
      <c r="F272" s="923" t="s">
        <v>1589</v>
      </c>
      <c r="G272" s="913" t="s">
        <v>17</v>
      </c>
    </row>
    <row r="273" spans="1:7" ht="26.4" x14ac:dyDescent="0.25">
      <c r="A273" s="888" t="str">
        <f t="shared" ca="1" si="8"/>
        <v>La concurrence risque de s'intensifier sur notre marché</v>
      </c>
      <c r="B273" s="889"/>
      <c r="C273" s="890" t="s">
        <v>330</v>
      </c>
      <c r="D273" s="890" t="s">
        <v>1268</v>
      </c>
      <c r="E273" s="923" t="s">
        <v>1269</v>
      </c>
      <c r="F273" s="923" t="s">
        <v>1590</v>
      </c>
      <c r="G273" s="913" t="s">
        <v>17</v>
      </c>
    </row>
    <row r="274" spans="1:7" x14ac:dyDescent="0.25">
      <c r="A274" s="888">
        <f t="shared" ca="1" si="8"/>
        <v>0</v>
      </c>
      <c r="B274" s="889"/>
      <c r="C274" s="890"/>
      <c r="D274" s="890"/>
      <c r="E274" s="923"/>
      <c r="F274" s="923" t="s">
        <v>1114</v>
      </c>
      <c r="G274" s="913" t="s">
        <v>17</v>
      </c>
    </row>
    <row r="275" spans="1:7" ht="28.8" x14ac:dyDescent="0.25">
      <c r="A275" s="888" t="str">
        <f t="shared" ca="1" si="8"/>
        <v>Nous pourrions améliorer l'efficacité et l'efficience de nos canaux de distribution</v>
      </c>
      <c r="B275" s="889"/>
      <c r="C275" s="890" t="s">
        <v>1270</v>
      </c>
      <c r="D275" s="890" t="s">
        <v>1271</v>
      </c>
      <c r="E275" s="923" t="s">
        <v>1272</v>
      </c>
      <c r="F275" s="923" t="s">
        <v>1591</v>
      </c>
      <c r="G275" s="913" t="s">
        <v>17</v>
      </c>
    </row>
    <row r="276" spans="1:7" ht="26.4" x14ac:dyDescent="0.25">
      <c r="A276" s="888" t="str">
        <f t="shared" ca="1" si="8"/>
        <v>Nous pourrions améliorer l'intégration de nos canaux</v>
      </c>
      <c r="B276" s="889"/>
      <c r="C276" s="890" t="s">
        <v>1273</v>
      </c>
      <c r="D276" s="890" t="s">
        <v>331</v>
      </c>
      <c r="E276" s="923" t="s">
        <v>1274</v>
      </c>
      <c r="F276" s="923" t="s">
        <v>1592</v>
      </c>
      <c r="G276" s="913" t="s">
        <v>17</v>
      </c>
    </row>
    <row r="277" spans="1:7" ht="28.8" x14ac:dyDescent="0.25">
      <c r="A277" s="888" t="str">
        <f t="shared" ca="1" si="8"/>
        <v>Nous pourrions trouver de nouveaux canaux partenaires complémentaires</v>
      </c>
      <c r="B277" s="889"/>
      <c r="C277" s="890" t="s">
        <v>1275</v>
      </c>
      <c r="D277" s="890" t="s">
        <v>332</v>
      </c>
      <c r="E277" s="923" t="s">
        <v>1276</v>
      </c>
      <c r="F277" s="923" t="s">
        <v>1593</v>
      </c>
      <c r="G277" s="913" t="s">
        <v>17</v>
      </c>
    </row>
    <row r="278" spans="1:7" ht="28.8" x14ac:dyDescent="0.25">
      <c r="A278" s="888" t="str">
        <f t="shared" ca="1" si="8"/>
        <v>Nous pourrions augmenter nos marges en servant directement nos clients</v>
      </c>
      <c r="B278" s="889"/>
      <c r="C278" s="890" t="s">
        <v>333</v>
      </c>
      <c r="D278" s="890" t="s">
        <v>334</v>
      </c>
      <c r="E278" s="923" t="s">
        <v>1277</v>
      </c>
      <c r="F278" s="923" t="s">
        <v>1594</v>
      </c>
      <c r="G278" s="913" t="s">
        <v>17</v>
      </c>
    </row>
    <row r="279" spans="1:7" ht="28.8" x14ac:dyDescent="0.25">
      <c r="A279" s="888" t="str">
        <f t="shared" ca="1" si="8"/>
        <v>Nous pouvons améliorer l'adéquation des canaux et des segments de clients</v>
      </c>
      <c r="B279" s="889"/>
      <c r="C279" s="890" t="s">
        <v>1278</v>
      </c>
      <c r="D279" s="890" t="s">
        <v>335</v>
      </c>
      <c r="E279" s="923" t="s">
        <v>1279</v>
      </c>
      <c r="F279" s="923" t="s">
        <v>1595</v>
      </c>
      <c r="G279" s="913" t="s">
        <v>17</v>
      </c>
    </row>
    <row r="280" spans="1:7" ht="26.4" x14ac:dyDescent="0.25">
      <c r="A280" s="888" t="str">
        <f t="shared" ca="1" si="8"/>
        <v>Nos concurrents menacent nos canaux de distribution</v>
      </c>
      <c r="B280" s="889"/>
      <c r="C280" s="890" t="s">
        <v>336</v>
      </c>
      <c r="D280" s="890" t="s">
        <v>337</v>
      </c>
      <c r="E280" s="923" t="s">
        <v>1280</v>
      </c>
      <c r="F280" s="923" t="s">
        <v>1596</v>
      </c>
      <c r="G280" s="913" t="s">
        <v>17</v>
      </c>
    </row>
    <row r="281" spans="1:7" ht="28.8" x14ac:dyDescent="0.25">
      <c r="A281" s="888" t="str">
        <f t="shared" ca="1" si="8"/>
        <v>Nos canaux de distribution risquent de ne plus être pertinents/adaptés pour nos clients</v>
      </c>
      <c r="B281" s="889"/>
      <c r="C281" s="890" t="s">
        <v>1281</v>
      </c>
      <c r="D281" s="890" t="s">
        <v>338</v>
      </c>
      <c r="E281" s="923" t="s">
        <v>1282</v>
      </c>
      <c r="F281" s="923" t="s">
        <v>1597</v>
      </c>
      <c r="G281" s="913" t="s">
        <v>17</v>
      </c>
    </row>
    <row r="282" spans="1:7" x14ac:dyDescent="0.25">
      <c r="A282" s="888">
        <f t="shared" ca="1" si="8"/>
        <v>0</v>
      </c>
      <c r="B282" s="889"/>
      <c r="C282" s="890"/>
      <c r="D282" s="890"/>
      <c r="E282" s="923"/>
      <c r="F282" s="923" t="s">
        <v>1114</v>
      </c>
      <c r="G282" s="913" t="s">
        <v>17</v>
      </c>
    </row>
    <row r="283" spans="1:7" x14ac:dyDescent="0.25">
      <c r="A283" s="888" t="str">
        <f t="shared" ca="1" si="8"/>
        <v>Le suivi clients recèle un potentiel d'amélioration</v>
      </c>
      <c r="B283" s="889"/>
      <c r="C283" s="890" t="s">
        <v>339</v>
      </c>
      <c r="D283" s="890" t="s">
        <v>340</v>
      </c>
      <c r="E283" s="923" t="s">
        <v>1283</v>
      </c>
      <c r="F283" s="923" t="s">
        <v>1598</v>
      </c>
      <c r="G283" s="913" t="s">
        <v>17</v>
      </c>
    </row>
    <row r="284" spans="1:7" ht="26.4" x14ac:dyDescent="0.25">
      <c r="A284" s="888" t="str">
        <f t="shared" ca="1" si="8"/>
        <v>Nous pourrions resserrer nos relations avec nos clients</v>
      </c>
      <c r="B284" s="889"/>
      <c r="C284" s="890" t="s">
        <v>341</v>
      </c>
      <c r="D284" s="890" t="s">
        <v>342</v>
      </c>
      <c r="E284" s="923" t="s">
        <v>1284</v>
      </c>
      <c r="F284" s="923" t="s">
        <v>1599</v>
      </c>
      <c r="G284" s="913" t="s">
        <v>17</v>
      </c>
    </row>
    <row r="285" spans="1:7" x14ac:dyDescent="0.25">
      <c r="A285" s="888" t="str">
        <f t="shared" ca="1" si="8"/>
        <v>Nous pourrions améliorer la personnalisation</v>
      </c>
      <c r="B285" s="889"/>
      <c r="C285" s="890" t="s">
        <v>1285</v>
      </c>
      <c r="D285" s="890" t="s">
        <v>343</v>
      </c>
      <c r="E285" s="923" t="s">
        <v>1286</v>
      </c>
      <c r="F285" s="923" t="s">
        <v>1600</v>
      </c>
      <c r="G285" s="913" t="s">
        <v>17</v>
      </c>
    </row>
    <row r="286" spans="1:7" ht="28.8" x14ac:dyDescent="0.25">
      <c r="A286" s="888" t="str">
        <f t="shared" ca="1" si="8"/>
        <v xml:space="preserve">Nous pourrions augmenter pour le client les coûts de changement vers un concurrent (switching costs) </v>
      </c>
      <c r="B286" s="889"/>
      <c r="C286" s="890" t="s">
        <v>1287</v>
      </c>
      <c r="D286" s="890" t="s">
        <v>1288</v>
      </c>
      <c r="E286" s="923" t="s">
        <v>1289</v>
      </c>
      <c r="F286" s="923" t="s">
        <v>1601</v>
      </c>
      <c r="G286" s="913" t="s">
        <v>17</v>
      </c>
    </row>
    <row r="287" spans="1:7" ht="28.8" x14ac:dyDescent="0.25">
      <c r="A287" s="888" t="str">
        <f t="shared" ca="1" si="8"/>
        <v>Nous avons identifié et "éliminé" les clients non rentables</v>
      </c>
      <c r="B287" s="889"/>
      <c r="C287" s="890" t="s">
        <v>344</v>
      </c>
      <c r="D287" s="890" t="s">
        <v>345</v>
      </c>
      <c r="E287" s="923" t="s">
        <v>1290</v>
      </c>
      <c r="F287" s="923" t="s">
        <v>1602</v>
      </c>
      <c r="G287" s="913" t="s">
        <v>17</v>
      </c>
    </row>
    <row r="288" spans="1:7" x14ac:dyDescent="0.25">
      <c r="A288" s="888" t="str">
        <f t="shared" ca="1" si="8"/>
        <v>Nous avons automatisé certaines relations</v>
      </c>
      <c r="B288" s="889"/>
      <c r="C288" s="890" t="s">
        <v>346</v>
      </c>
      <c r="D288" s="890" t="s">
        <v>347</v>
      </c>
      <c r="E288" s="923" t="s">
        <v>1291</v>
      </c>
      <c r="F288" s="923" t="s">
        <v>1603</v>
      </c>
      <c r="G288" s="913" t="s">
        <v>17</v>
      </c>
    </row>
    <row r="289" spans="1:7" ht="26.4" x14ac:dyDescent="0.25">
      <c r="A289" s="888" t="str">
        <f t="shared" ref="A289:A320" ca="1" si="9">OFFSET($C289,0,$Z$5-1)</f>
        <v>Nos relations avec les clients risquent de se détériorer</v>
      </c>
      <c r="B289" s="889"/>
      <c r="C289" s="890" t="s">
        <v>348</v>
      </c>
      <c r="D289" s="890" t="s">
        <v>349</v>
      </c>
      <c r="E289" s="923" t="s">
        <v>1292</v>
      </c>
      <c r="F289" s="923" t="s">
        <v>1604</v>
      </c>
      <c r="G289" s="913" t="s">
        <v>17</v>
      </c>
    </row>
    <row r="290" spans="1:7" x14ac:dyDescent="0.25">
      <c r="A290" s="888">
        <f t="shared" ca="1" si="9"/>
        <v>0</v>
      </c>
      <c r="B290" s="889"/>
      <c r="C290" s="890"/>
      <c r="D290" s="890"/>
      <c r="E290" s="923"/>
      <c r="F290" s="923" t="s">
        <v>1114</v>
      </c>
      <c r="G290" s="913" t="s">
        <v>17</v>
      </c>
    </row>
    <row r="291" spans="1:7" ht="28.8" x14ac:dyDescent="0.25">
      <c r="A291" s="888" t="str">
        <f t="shared" ca="1" si="9"/>
        <v>Nous pouvons utiliser moins de ressources coûteuses pour arriver au même résultat</v>
      </c>
      <c r="B291" s="889"/>
      <c r="C291" s="890" t="s">
        <v>350</v>
      </c>
      <c r="D291" s="890" t="s">
        <v>351</v>
      </c>
      <c r="E291" s="923" t="s">
        <v>1293</v>
      </c>
      <c r="F291" s="923" t="s">
        <v>1605</v>
      </c>
      <c r="G291" s="913" t="s">
        <v>17</v>
      </c>
    </row>
    <row r="292" spans="1:7" ht="28.8" x14ac:dyDescent="0.25">
      <c r="A292" s="888" t="str">
        <f t="shared" ca="1" si="9"/>
        <v>Nous avons des ressources clés qui pourront être procuré auprès de partenaires</v>
      </c>
      <c r="B292" s="889"/>
      <c r="C292" s="890" t="s">
        <v>1294</v>
      </c>
      <c r="D292" s="890" t="s">
        <v>1295</v>
      </c>
      <c r="E292" s="923" t="s">
        <v>1296</v>
      </c>
      <c r="F292" s="923" t="s">
        <v>1606</v>
      </c>
      <c r="G292" s="913" t="s">
        <v>17</v>
      </c>
    </row>
    <row r="293" spans="1:7" ht="28.8" x14ac:dyDescent="0.25">
      <c r="A293" s="888" t="str">
        <f t="shared" ca="1" si="9"/>
        <v>Nous avons des ressources clés qui sont sous-exploitées</v>
      </c>
      <c r="B293" s="889"/>
      <c r="C293" s="890" t="s">
        <v>352</v>
      </c>
      <c r="D293" s="890" t="s">
        <v>353</v>
      </c>
      <c r="E293" s="923" t="s">
        <v>1297</v>
      </c>
      <c r="F293" s="923" t="s">
        <v>1607</v>
      </c>
      <c r="G293" s="913" t="s">
        <v>17</v>
      </c>
    </row>
    <row r="294" spans="1:7" ht="43.2" x14ac:dyDescent="0.25">
      <c r="A294" s="888" t="str">
        <f t="shared" ca="1" si="9"/>
        <v>Nous avons des brevets ou d'autres découvertes inexploités qui pourraient avoir de la valeur pour d'autres</v>
      </c>
      <c r="B294" s="889"/>
      <c r="C294" s="890" t="s">
        <v>354</v>
      </c>
      <c r="D294" s="890" t="s">
        <v>355</v>
      </c>
      <c r="E294" s="923" t="s">
        <v>1298</v>
      </c>
      <c r="F294" s="923" t="s">
        <v>1608</v>
      </c>
      <c r="G294" s="913" t="s">
        <v>17</v>
      </c>
    </row>
    <row r="295" spans="1:7" ht="28.8" x14ac:dyDescent="0.25">
      <c r="A295" s="888" t="str">
        <f t="shared" ca="1" si="9"/>
        <v>Nous risquons d'être confrontés à une rupture de l'offre de certaines ressources</v>
      </c>
      <c r="B295" s="889"/>
      <c r="C295" s="890" t="s">
        <v>356</v>
      </c>
      <c r="D295" s="890" t="s">
        <v>357</v>
      </c>
      <c r="E295" s="923" t="s">
        <v>1299</v>
      </c>
      <c r="F295" s="923" t="s">
        <v>1609</v>
      </c>
      <c r="G295" s="913" t="s">
        <v>17</v>
      </c>
    </row>
    <row r="296" spans="1:7" x14ac:dyDescent="0.25">
      <c r="A296" s="888" t="str">
        <f t="shared" ca="1" si="9"/>
        <v>La qualité de nos ressources est menacée</v>
      </c>
      <c r="B296" s="889"/>
      <c r="C296" s="890" t="s">
        <v>358</v>
      </c>
      <c r="D296" s="890" t="s">
        <v>359</v>
      </c>
      <c r="E296" s="923" t="s">
        <v>1300</v>
      </c>
      <c r="F296" s="923" t="s">
        <v>1610</v>
      </c>
      <c r="G296" s="913" t="s">
        <v>17</v>
      </c>
    </row>
    <row r="297" spans="1:7" x14ac:dyDescent="0.25">
      <c r="A297" s="888">
        <f t="shared" ca="1" si="9"/>
        <v>0</v>
      </c>
      <c r="B297" s="889"/>
      <c r="C297" s="890"/>
      <c r="D297" s="890"/>
      <c r="E297" s="923"/>
      <c r="F297" s="923" t="s">
        <v>1114</v>
      </c>
      <c r="G297" s="913" t="s">
        <v>17</v>
      </c>
    </row>
    <row r="298" spans="1:7" x14ac:dyDescent="0.25">
      <c r="A298" s="888" t="str">
        <f t="shared" ca="1" si="9"/>
        <v>Nous pouvons standardiser certaines activités clés</v>
      </c>
      <c r="B298" s="889"/>
      <c r="C298" s="890" t="s">
        <v>360</v>
      </c>
      <c r="D298" s="890" t="s">
        <v>361</v>
      </c>
      <c r="E298" s="923" t="s">
        <v>1301</v>
      </c>
      <c r="F298" s="923" t="s">
        <v>1611</v>
      </c>
      <c r="G298" s="913" t="s">
        <v>17</v>
      </c>
    </row>
    <row r="299" spans="1:7" ht="28.8" x14ac:dyDescent="0.25">
      <c r="A299" s="888" t="str">
        <f t="shared" ca="1" si="9"/>
        <v>Nous pourrions améliorer notre performance de manière générale</v>
      </c>
      <c r="B299" s="889"/>
      <c r="C299" s="890" t="s">
        <v>362</v>
      </c>
      <c r="D299" s="890" t="s">
        <v>363</v>
      </c>
      <c r="E299" s="923" t="s">
        <v>1302</v>
      </c>
      <c r="F299" s="923" t="s">
        <v>1612</v>
      </c>
      <c r="G299" s="913" t="s">
        <v>17</v>
      </c>
    </row>
    <row r="300" spans="1:7" ht="28.8" x14ac:dyDescent="0.25">
      <c r="A300" s="888" t="str">
        <f t="shared" ca="1" si="9"/>
        <v>Un support informatique pourrait améliorer notre performance</v>
      </c>
      <c r="B300" s="889"/>
      <c r="C300" s="890" t="s">
        <v>364</v>
      </c>
      <c r="D300" s="890" t="s">
        <v>365</v>
      </c>
      <c r="E300" s="923" t="s">
        <v>1303</v>
      </c>
      <c r="F300" s="923" t="s">
        <v>1613</v>
      </c>
      <c r="G300" s="913" t="s">
        <v>17</v>
      </c>
    </row>
    <row r="301" spans="1:7" ht="26.4" x14ac:dyDescent="0.25">
      <c r="A301" s="888" t="str">
        <f t="shared" ca="1" si="9"/>
        <v>Des activités clés pourraient être perturbées</v>
      </c>
      <c r="B301" s="889"/>
      <c r="C301" s="890" t="s">
        <v>366</v>
      </c>
      <c r="D301" s="890" t="s">
        <v>1304</v>
      </c>
      <c r="E301" s="923" t="s">
        <v>1305</v>
      </c>
      <c r="F301" s="923" t="s">
        <v>1614</v>
      </c>
      <c r="G301" s="913" t="s">
        <v>17</v>
      </c>
    </row>
    <row r="302" spans="1:7" x14ac:dyDescent="0.25">
      <c r="A302" s="888" t="str">
        <f t="shared" ca="1" si="9"/>
        <v>La qualité de nos activités est menacée</v>
      </c>
      <c r="B302" s="889"/>
      <c r="C302" s="890" t="s">
        <v>367</v>
      </c>
      <c r="D302" s="890" t="s">
        <v>368</v>
      </c>
      <c r="E302" s="923" t="s">
        <v>1306</v>
      </c>
      <c r="F302" s="923" t="s">
        <v>1615</v>
      </c>
      <c r="G302" s="913" t="s">
        <v>17</v>
      </c>
    </row>
    <row r="303" spans="1:7" x14ac:dyDescent="0.25">
      <c r="A303" s="888">
        <f t="shared" ca="1" si="9"/>
        <v>0</v>
      </c>
      <c r="B303" s="889"/>
      <c r="C303" s="890"/>
      <c r="D303" s="890"/>
      <c r="E303" s="923"/>
      <c r="F303" s="923" t="s">
        <v>1114</v>
      </c>
      <c r="G303" s="913" t="s">
        <v>17</v>
      </c>
    </row>
    <row r="304" spans="1:7" ht="28.8" x14ac:dyDescent="0.25">
      <c r="A304" s="888" t="str">
        <f t="shared" ca="1" si="9"/>
        <v>Des opportunités d'externationalisation (outsourcing) existent</v>
      </c>
      <c r="B304" s="889"/>
      <c r="C304" s="890" t="s">
        <v>1307</v>
      </c>
      <c r="D304" s="890" t="s">
        <v>1308</v>
      </c>
      <c r="E304" s="923" t="s">
        <v>1309</v>
      </c>
      <c r="F304" s="923" t="s">
        <v>1616</v>
      </c>
      <c r="G304" s="913" t="s">
        <v>17</v>
      </c>
    </row>
    <row r="305" spans="1:7" ht="39.6" x14ac:dyDescent="0.25">
      <c r="A305" s="888" t="str">
        <f t="shared" ca="1" si="9"/>
        <v>Une collaboration plus étroite avec nos partenaires nous aiderait à nous concentrer sur nos activités clés</v>
      </c>
      <c r="B305" s="889"/>
      <c r="C305" s="890" t="s">
        <v>369</v>
      </c>
      <c r="D305" s="890" t="s">
        <v>1310</v>
      </c>
      <c r="E305" s="923" t="s">
        <v>1311</v>
      </c>
      <c r="F305" s="923" t="s">
        <v>1617</v>
      </c>
      <c r="G305" s="913" t="s">
        <v>17</v>
      </c>
    </row>
    <row r="306" spans="1:7" ht="28.8" x14ac:dyDescent="0.25">
      <c r="A306" s="888" t="str">
        <f t="shared" ca="1" si="9"/>
        <v>Il existe des opportunités de ventes-croisées/associées avec nos partenaires</v>
      </c>
      <c r="B306" s="889"/>
      <c r="C306" s="890" t="s">
        <v>370</v>
      </c>
      <c r="D306" s="890" t="s">
        <v>371</v>
      </c>
      <c r="E306" s="923" t="s">
        <v>1312</v>
      </c>
      <c r="F306" s="923" t="s">
        <v>1618</v>
      </c>
      <c r="G306" s="913" t="s">
        <v>17</v>
      </c>
    </row>
    <row r="307" spans="1:7" ht="28.8" x14ac:dyDescent="0.25">
      <c r="A307" s="888" t="str">
        <f t="shared" ca="1" si="9"/>
        <v>Les canaux de distribution de partenaires pourraient nous aider à toucher davantage de clients</v>
      </c>
      <c r="B307" s="889"/>
      <c r="C307" s="890" t="s">
        <v>372</v>
      </c>
      <c r="D307" s="890" t="s">
        <v>373</v>
      </c>
      <c r="E307" s="923" t="s">
        <v>1313</v>
      </c>
      <c r="F307" s="923" t="s">
        <v>1619</v>
      </c>
      <c r="G307" s="913" t="s">
        <v>17</v>
      </c>
    </row>
    <row r="308" spans="1:7" ht="28.8" x14ac:dyDescent="0.25">
      <c r="A308" s="888" t="str">
        <f t="shared" ca="1" si="9"/>
        <v>Nos partenaires pourraient compléter notre proposition de valeur</v>
      </c>
      <c r="B308" s="889"/>
      <c r="C308" s="890" t="s">
        <v>1314</v>
      </c>
      <c r="D308" s="890" t="s">
        <v>374</v>
      </c>
      <c r="E308" s="923" t="s">
        <v>1315</v>
      </c>
      <c r="F308" s="923" t="s">
        <v>1620</v>
      </c>
      <c r="G308" s="913" t="s">
        <v>17</v>
      </c>
    </row>
    <row r="309" spans="1:7" x14ac:dyDescent="0.25">
      <c r="A309" s="888" t="str">
        <f t="shared" ca="1" si="9"/>
        <v>Nous risquons de perdre des partenaires</v>
      </c>
      <c r="B309" s="889"/>
      <c r="C309" s="890" t="s">
        <v>375</v>
      </c>
      <c r="D309" s="890" t="s">
        <v>376</v>
      </c>
      <c r="E309" s="923" t="s">
        <v>1316</v>
      </c>
      <c r="F309" s="923" t="s">
        <v>1621</v>
      </c>
      <c r="G309" s="913" t="s">
        <v>17</v>
      </c>
    </row>
    <row r="310" spans="1:7" ht="28.8" x14ac:dyDescent="0.25">
      <c r="A310" s="888" t="str">
        <f t="shared" ca="1" si="9"/>
        <v>Nos partenaires pourraient collaborer avec des concurrents</v>
      </c>
      <c r="B310" s="889"/>
      <c r="C310" s="890" t="s">
        <v>377</v>
      </c>
      <c r="D310" s="890" t="s">
        <v>378</v>
      </c>
      <c r="E310" s="923" t="s">
        <v>1317</v>
      </c>
      <c r="F310" s="923" t="s">
        <v>1622</v>
      </c>
      <c r="G310" s="913" t="s">
        <v>17</v>
      </c>
    </row>
    <row r="311" spans="1:7" ht="26.4" x14ac:dyDescent="0.25">
      <c r="A311" s="916" t="str">
        <f t="shared" ca="1" si="9"/>
        <v>Nous sommes trop dépendants de certains partenaires</v>
      </c>
      <c r="B311" s="889"/>
      <c r="C311" s="929" t="s">
        <v>379</v>
      </c>
      <c r="D311" s="929" t="s">
        <v>380</v>
      </c>
      <c r="E311" s="930" t="s">
        <v>1318</v>
      </c>
      <c r="F311" s="930" t="s">
        <v>1623</v>
      </c>
      <c r="G311" s="919" t="s">
        <v>17</v>
      </c>
    </row>
    <row r="312" spans="1:7" x14ac:dyDescent="0.25">
      <c r="A312" s="902" t="str">
        <f t="shared" ca="1" si="9"/>
        <v>I N D I C A T E U R S   S T R A T É G I Q U E</v>
      </c>
      <c r="B312" s="921"/>
      <c r="C312" s="902" t="s">
        <v>417</v>
      </c>
      <c r="D312" s="902" t="s">
        <v>418</v>
      </c>
      <c r="E312" s="902" t="s">
        <v>1710</v>
      </c>
      <c r="F312" s="902"/>
      <c r="G312" s="904" t="s">
        <v>17</v>
      </c>
    </row>
    <row r="313" spans="1:7" x14ac:dyDescent="0.25">
      <c r="A313" s="906" t="str">
        <f t="shared" ca="1" si="9"/>
        <v>Calcul</v>
      </c>
      <c r="B313" s="889"/>
      <c r="C313" s="934" t="s">
        <v>419</v>
      </c>
      <c r="D313" s="935" t="s">
        <v>420</v>
      </c>
      <c r="E313" s="909" t="s">
        <v>1706</v>
      </c>
      <c r="F313" s="909"/>
      <c r="G313" s="910" t="s">
        <v>17</v>
      </c>
    </row>
    <row r="314" spans="1:7" x14ac:dyDescent="0.25">
      <c r="A314" s="888" t="str">
        <f t="shared" ca="1" si="9"/>
        <v>Description/Remarques</v>
      </c>
      <c r="B314" s="889"/>
      <c r="C314" s="936" t="s">
        <v>421</v>
      </c>
      <c r="D314" s="937" t="s">
        <v>422</v>
      </c>
      <c r="E314" s="912" t="s">
        <v>1707</v>
      </c>
      <c r="F314" s="912"/>
      <c r="G314" s="913" t="s">
        <v>17</v>
      </c>
    </row>
    <row r="315" spans="1:7" x14ac:dyDescent="0.25">
      <c r="A315" s="888" t="str">
        <f t="shared" ca="1" si="9"/>
        <v>Source</v>
      </c>
      <c r="B315" s="889"/>
      <c r="C315" s="936" t="s">
        <v>137</v>
      </c>
      <c r="D315" s="937" t="s">
        <v>138</v>
      </c>
      <c r="E315" s="912" t="s">
        <v>138</v>
      </c>
      <c r="F315" s="912"/>
      <c r="G315" s="913" t="s">
        <v>17</v>
      </c>
    </row>
    <row r="316" spans="1:7" x14ac:dyDescent="0.25">
      <c r="A316" s="888" t="str">
        <f t="shared" ca="1" si="9"/>
        <v>Moment de l'enquête &amp; Comparaison avec la branche</v>
      </c>
      <c r="B316" s="889"/>
      <c r="C316" s="938" t="s">
        <v>423</v>
      </c>
      <c r="D316" s="938" t="s">
        <v>424</v>
      </c>
      <c r="E316" s="938" t="s">
        <v>1708</v>
      </c>
      <c r="F316" s="912"/>
      <c r="G316" s="913" t="s">
        <v>17</v>
      </c>
    </row>
    <row r="317" spans="1:7" x14ac:dyDescent="0.25">
      <c r="A317" s="916" t="str">
        <f t="shared" ca="1" si="9"/>
        <v>I N D I C A T E U R S   O B J E C T I F S</v>
      </c>
      <c r="B317" s="889"/>
      <c r="C317" s="939" t="s">
        <v>425</v>
      </c>
      <c r="D317" s="940" t="s">
        <v>426</v>
      </c>
      <c r="E317" s="918" t="s">
        <v>1709</v>
      </c>
      <c r="F317" s="918"/>
      <c r="G317" s="919" t="s">
        <v>17</v>
      </c>
    </row>
    <row r="318" spans="1:7" x14ac:dyDescent="0.25">
      <c r="A318" s="902" t="str">
        <f t="shared" ca="1" si="9"/>
        <v>G E S T I O N   D E S   I D É E S</v>
      </c>
      <c r="B318" s="921"/>
      <c r="C318" s="902" t="s">
        <v>1044</v>
      </c>
      <c r="D318" s="902" t="s">
        <v>1045</v>
      </c>
      <c r="E318" s="902"/>
      <c r="F318" s="902"/>
      <c r="G318" s="904" t="s">
        <v>17</v>
      </c>
    </row>
    <row r="319" spans="1:7" x14ac:dyDescent="0.25">
      <c r="A319" s="941" t="str">
        <f t="shared" ca="1" si="9"/>
        <v>No.</v>
      </c>
      <c r="B319" s="889"/>
      <c r="C319" s="942" t="s">
        <v>39</v>
      </c>
      <c r="D319" s="942" t="s">
        <v>40</v>
      </c>
      <c r="E319" s="943" t="s">
        <v>40</v>
      </c>
      <c r="F319" s="943" t="s">
        <v>1359</v>
      </c>
      <c r="G319" s="944" t="s">
        <v>17</v>
      </c>
    </row>
    <row r="320" spans="1:7" x14ac:dyDescent="0.25">
      <c r="A320" s="902" t="str">
        <f t="shared" ca="1" si="9"/>
        <v>C O M M U N I C A T I O N</v>
      </c>
      <c r="B320" s="945"/>
      <c r="C320" s="902" t="s">
        <v>427</v>
      </c>
      <c r="D320" s="902" t="s">
        <v>428</v>
      </c>
      <c r="E320" s="902" t="s">
        <v>428</v>
      </c>
      <c r="F320" s="902"/>
      <c r="G320" s="904" t="s">
        <v>17</v>
      </c>
    </row>
    <row r="321" spans="1:7" x14ac:dyDescent="0.25">
      <c r="A321" s="906" t="str">
        <f t="shared" ref="A321:A346" ca="1" si="10">OFFSET($C321,0,$Z$5-1)</f>
        <v>Interne</v>
      </c>
      <c r="B321" s="889"/>
      <c r="C321" s="935" t="s">
        <v>762</v>
      </c>
      <c r="D321" s="935" t="s">
        <v>760</v>
      </c>
      <c r="E321" s="909" t="s">
        <v>1624</v>
      </c>
      <c r="F321" s="909"/>
      <c r="G321" s="910" t="s">
        <v>17</v>
      </c>
    </row>
    <row r="322" spans="1:7" x14ac:dyDescent="0.25">
      <c r="A322" s="888" t="str">
        <f t="shared" ca="1" si="10"/>
        <v>Externe</v>
      </c>
      <c r="B322" s="889"/>
      <c r="C322" s="937" t="s">
        <v>763</v>
      </c>
      <c r="D322" s="937" t="s">
        <v>761</v>
      </c>
      <c r="E322" s="912" t="s">
        <v>1625</v>
      </c>
      <c r="F322" s="912"/>
      <c r="G322" s="913" t="s">
        <v>17</v>
      </c>
    </row>
    <row r="323" spans="1:7" x14ac:dyDescent="0.25">
      <c r="A323" s="888" t="str">
        <f t="shared" ca="1" si="10"/>
        <v>Internet</v>
      </c>
      <c r="B323" s="889"/>
      <c r="C323" s="937" t="s">
        <v>429</v>
      </c>
      <c r="D323" s="937" t="s">
        <v>429</v>
      </c>
      <c r="E323" s="912" t="s">
        <v>429</v>
      </c>
      <c r="F323" s="912"/>
      <c r="G323" s="913" t="s">
        <v>17</v>
      </c>
    </row>
    <row r="324" spans="1:7" x14ac:dyDescent="0.25">
      <c r="A324" s="888" t="str">
        <f t="shared" ca="1" si="10"/>
        <v>Social Medias</v>
      </c>
      <c r="B324" s="889"/>
      <c r="C324" s="937" t="s">
        <v>430</v>
      </c>
      <c r="D324" s="937" t="s">
        <v>430</v>
      </c>
      <c r="E324" s="912" t="s">
        <v>1626</v>
      </c>
      <c r="F324" s="912"/>
      <c r="G324" s="913" t="s">
        <v>17</v>
      </c>
    </row>
    <row r="325" spans="1:7" x14ac:dyDescent="0.25">
      <c r="A325" s="888" t="str">
        <f t="shared" ca="1" si="10"/>
        <v>Relations publiques</v>
      </c>
      <c r="B325" s="889"/>
      <c r="C325" s="937" t="s">
        <v>431</v>
      </c>
      <c r="D325" s="937" t="s">
        <v>432</v>
      </c>
      <c r="E325" s="912" t="s">
        <v>1627</v>
      </c>
      <c r="F325" s="912"/>
      <c r="G325" s="913" t="s">
        <v>17</v>
      </c>
    </row>
    <row r="326" spans="1:7" x14ac:dyDescent="0.25">
      <c r="A326" s="888" t="str">
        <f t="shared" ca="1" si="10"/>
        <v>Divers</v>
      </c>
      <c r="B326" s="889"/>
      <c r="C326" s="937" t="s">
        <v>433</v>
      </c>
      <c r="D326" s="937" t="s">
        <v>434</v>
      </c>
      <c r="E326" s="912" t="s">
        <v>1628</v>
      </c>
      <c r="F326" s="912"/>
      <c r="G326" s="913" t="s">
        <v>17</v>
      </c>
    </row>
    <row r="327" spans="1:7" x14ac:dyDescent="0.25">
      <c r="A327" s="888" t="str">
        <f t="shared" ca="1" si="10"/>
        <v>Impact</v>
      </c>
      <c r="B327" s="889"/>
      <c r="C327" s="937" t="s">
        <v>49</v>
      </c>
      <c r="D327" s="937" t="s">
        <v>49</v>
      </c>
      <c r="E327" s="912" t="s">
        <v>49</v>
      </c>
      <c r="F327" s="912"/>
      <c r="G327" s="913" t="s">
        <v>17</v>
      </c>
    </row>
    <row r="328" spans="1:7" x14ac:dyDescent="0.25">
      <c r="A328" s="888" t="str">
        <f t="shared" ca="1" si="10"/>
        <v>No.</v>
      </c>
      <c r="B328" s="889"/>
      <c r="C328" s="912" t="s">
        <v>39</v>
      </c>
      <c r="D328" s="912" t="s">
        <v>40</v>
      </c>
      <c r="E328" s="912" t="s">
        <v>40</v>
      </c>
      <c r="F328" s="912"/>
      <c r="G328" s="913"/>
    </row>
    <row r="329" spans="1:7" x14ac:dyDescent="0.25">
      <c r="A329" s="888" t="str">
        <f t="shared" ca="1" si="10"/>
        <v>Désignation</v>
      </c>
      <c r="B329" s="889"/>
      <c r="C329" s="912" t="s">
        <v>858</v>
      </c>
      <c r="D329" s="912" t="s">
        <v>859</v>
      </c>
      <c r="E329" s="912" t="s">
        <v>1629</v>
      </c>
      <c r="F329" s="912"/>
      <c r="G329" s="913"/>
    </row>
    <row r="330" spans="1:7" x14ac:dyDescent="0.25">
      <c r="A330" s="888" t="str">
        <f t="shared" ca="1" si="10"/>
        <v>en %</v>
      </c>
      <c r="B330" s="889"/>
      <c r="C330" s="937" t="s">
        <v>212</v>
      </c>
      <c r="D330" s="937" t="s">
        <v>213</v>
      </c>
      <c r="E330" s="912" t="s">
        <v>1630</v>
      </c>
      <c r="F330" s="912"/>
      <c r="G330" s="913"/>
    </row>
    <row r="331" spans="1:7" x14ac:dyDescent="0.25">
      <c r="A331" s="888" t="str">
        <f t="shared" ca="1" si="10"/>
        <v>Forces principales</v>
      </c>
      <c r="B331" s="889"/>
      <c r="C331" s="937" t="s">
        <v>860</v>
      </c>
      <c r="D331" s="937" t="s">
        <v>861</v>
      </c>
      <c r="E331" s="912" t="s">
        <v>1631</v>
      </c>
      <c r="F331" s="912"/>
      <c r="G331" s="913"/>
    </row>
    <row r="332" spans="1:7" x14ac:dyDescent="0.25">
      <c r="A332" s="888" t="str">
        <f t="shared" ca="1" si="10"/>
        <v>Faiblesses principales</v>
      </c>
      <c r="B332" s="889"/>
      <c r="C332" s="937" t="s">
        <v>862</v>
      </c>
      <c r="D332" s="937" t="s">
        <v>863</v>
      </c>
      <c r="E332" s="912" t="s">
        <v>1632</v>
      </c>
      <c r="F332" s="912"/>
      <c r="G332" s="913"/>
    </row>
    <row r="333" spans="1:7" x14ac:dyDescent="0.25">
      <c r="A333" s="888" t="str">
        <f t="shared" ca="1" si="10"/>
        <v>Impact</v>
      </c>
      <c r="B333" s="889"/>
      <c r="C333" s="937" t="s">
        <v>49</v>
      </c>
      <c r="D333" s="937" t="s">
        <v>49</v>
      </c>
      <c r="E333" s="912" t="s">
        <v>49</v>
      </c>
      <c r="F333" s="912"/>
      <c r="G333" s="913"/>
    </row>
    <row r="334" spans="1:7" x14ac:dyDescent="0.25">
      <c r="A334" s="888" t="str">
        <f t="shared" ca="1" si="10"/>
        <v>Remarques</v>
      </c>
      <c r="B334" s="889"/>
      <c r="C334" s="937" t="s">
        <v>55</v>
      </c>
      <c r="D334" s="937" t="s">
        <v>56</v>
      </c>
      <c r="E334" s="912" t="s">
        <v>1362</v>
      </c>
      <c r="F334" s="912"/>
      <c r="G334" s="913"/>
    </row>
    <row r="335" spans="1:7" x14ac:dyDescent="0.25">
      <c r="A335" s="916" t="str">
        <f t="shared" ca="1" si="10"/>
        <v>Statut</v>
      </c>
      <c r="B335" s="889"/>
      <c r="C335" s="940" t="s">
        <v>44</v>
      </c>
      <c r="D335" s="940" t="s">
        <v>45</v>
      </c>
      <c r="E335" s="918" t="s">
        <v>44</v>
      </c>
      <c r="F335" s="918"/>
      <c r="G335" s="919"/>
    </row>
    <row r="336" spans="1:7" x14ac:dyDescent="0.25">
      <c r="A336" s="902" t="str">
        <f t="shared" ca="1" si="10"/>
        <v>M A T R I C E  D E  C O M P A R A I S O N   D' I D É E S</v>
      </c>
      <c r="B336" s="945"/>
      <c r="C336" s="902" t="s">
        <v>648</v>
      </c>
      <c r="D336" s="902" t="s">
        <v>649</v>
      </c>
      <c r="E336" s="902" t="s">
        <v>1633</v>
      </c>
      <c r="F336" s="902" t="s">
        <v>1633</v>
      </c>
      <c r="G336" s="904" t="s">
        <v>17</v>
      </c>
    </row>
    <row r="337" spans="1:9" x14ac:dyDescent="0.25">
      <c r="A337" s="906" t="str">
        <f t="shared" ca="1" si="10"/>
        <v>Idée</v>
      </c>
      <c r="B337" s="889"/>
      <c r="C337" s="946" t="s">
        <v>645</v>
      </c>
      <c r="D337" s="946" t="s">
        <v>646</v>
      </c>
      <c r="E337" s="909" t="s">
        <v>1634</v>
      </c>
      <c r="F337" s="909"/>
      <c r="G337" s="910" t="s">
        <v>17</v>
      </c>
    </row>
    <row r="338" spans="1:9" x14ac:dyDescent="0.25">
      <c r="A338" s="888" t="str">
        <f t="shared" ca="1" si="10"/>
        <v>Critère</v>
      </c>
      <c r="B338" s="889"/>
      <c r="C338" s="937" t="s">
        <v>435</v>
      </c>
      <c r="D338" s="937" t="s">
        <v>436</v>
      </c>
      <c r="E338" s="912" t="s">
        <v>1635</v>
      </c>
      <c r="F338" s="912"/>
      <c r="G338" s="913" t="s">
        <v>17</v>
      </c>
    </row>
    <row r="339" spans="1:9" x14ac:dyDescent="0.25">
      <c r="A339" s="888" t="str">
        <f t="shared" ca="1" si="10"/>
        <v>Pondération</v>
      </c>
      <c r="B339" s="889"/>
      <c r="C339" s="937" t="s">
        <v>173</v>
      </c>
      <c r="D339" s="937" t="s">
        <v>174</v>
      </c>
      <c r="E339" s="912" t="s">
        <v>1636</v>
      </c>
      <c r="F339" s="912"/>
      <c r="G339" s="913" t="s">
        <v>17</v>
      </c>
    </row>
    <row r="340" spans="1:9" x14ac:dyDescent="0.25">
      <c r="A340" s="888" t="str">
        <f t="shared" ca="1" si="10"/>
        <v>Evaluation</v>
      </c>
      <c r="B340" s="889"/>
      <c r="C340" s="937" t="s">
        <v>437</v>
      </c>
      <c r="D340" s="937" t="s">
        <v>438</v>
      </c>
      <c r="E340" s="912" t="s">
        <v>1637</v>
      </c>
      <c r="F340" s="912"/>
      <c r="G340" s="913" t="s">
        <v>17</v>
      </c>
    </row>
    <row r="341" spans="1:9" x14ac:dyDescent="0.25">
      <c r="A341" s="916" t="str">
        <f t="shared" ca="1" si="10"/>
        <v>Totale</v>
      </c>
      <c r="B341" s="889"/>
      <c r="C341" s="929" t="s">
        <v>197</v>
      </c>
      <c r="D341" s="929" t="s">
        <v>198</v>
      </c>
      <c r="E341" s="918" t="s">
        <v>197</v>
      </c>
      <c r="F341" s="918"/>
      <c r="G341" s="919" t="s">
        <v>17</v>
      </c>
    </row>
    <row r="342" spans="1:9" x14ac:dyDescent="0.25">
      <c r="A342" s="902" t="str">
        <f t="shared" ca="1" si="10"/>
        <v>A N A L Y S E</v>
      </c>
      <c r="B342" s="945"/>
      <c r="C342" s="902" t="s">
        <v>866</v>
      </c>
      <c r="D342" s="902" t="s">
        <v>866</v>
      </c>
      <c r="E342" s="902" t="s">
        <v>866</v>
      </c>
      <c r="F342" s="902" t="s">
        <v>1639</v>
      </c>
      <c r="G342" s="904" t="s">
        <v>17</v>
      </c>
    </row>
    <row r="343" spans="1:9" x14ac:dyDescent="0.25">
      <c r="A343" s="906" t="str">
        <f t="shared" ca="1" si="10"/>
        <v>Interne</v>
      </c>
      <c r="B343" s="889"/>
      <c r="C343" s="946" t="s">
        <v>762</v>
      </c>
      <c r="D343" s="946" t="s">
        <v>760</v>
      </c>
      <c r="E343" s="946" t="s">
        <v>1624</v>
      </c>
      <c r="F343" s="946" t="s">
        <v>1641</v>
      </c>
      <c r="G343" s="910" t="s">
        <v>17</v>
      </c>
      <c r="H343" s="947"/>
      <c r="I343" s="948"/>
    </row>
    <row r="344" spans="1:9" x14ac:dyDescent="0.25">
      <c r="A344" s="888" t="str">
        <f t="shared" ca="1" si="10"/>
        <v>Externe</v>
      </c>
      <c r="B344" s="889"/>
      <c r="C344" s="949" t="s">
        <v>763</v>
      </c>
      <c r="D344" s="949" t="s">
        <v>761</v>
      </c>
      <c r="E344" s="949" t="s">
        <v>1625</v>
      </c>
      <c r="F344" s="949" t="s">
        <v>1642</v>
      </c>
      <c r="G344" s="913" t="s">
        <v>17</v>
      </c>
      <c r="H344" s="947"/>
      <c r="I344" s="948"/>
    </row>
    <row r="345" spans="1:9" x14ac:dyDescent="0.25">
      <c r="A345" s="916" t="str">
        <f t="shared" ca="1" si="10"/>
        <v>Potentiel</v>
      </c>
      <c r="B345" s="889"/>
      <c r="C345" s="950" t="s">
        <v>25</v>
      </c>
      <c r="D345" s="950" t="s">
        <v>26</v>
      </c>
      <c r="E345" s="950" t="s">
        <v>1638</v>
      </c>
      <c r="F345" s="950" t="s">
        <v>1643</v>
      </c>
      <c r="G345" s="919" t="s">
        <v>17</v>
      </c>
      <c r="H345" s="947"/>
      <c r="I345" s="948"/>
    </row>
    <row r="346" spans="1:9" x14ac:dyDescent="0.25">
      <c r="A346" s="902" t="str">
        <f t="shared" ca="1" si="10"/>
        <v>D I A G R A M M E   D E   C A U S E S   E T   E F F E T S</v>
      </c>
      <c r="B346" s="945"/>
      <c r="C346" s="902" t="s">
        <v>439</v>
      </c>
      <c r="D346" s="902" t="s">
        <v>440</v>
      </c>
      <c r="E346" s="902" t="s">
        <v>1644</v>
      </c>
      <c r="F346" s="902"/>
      <c r="G346" s="904" t="s">
        <v>17</v>
      </c>
    </row>
    <row r="347" spans="1:9" x14ac:dyDescent="0.25">
      <c r="A347" s="941"/>
      <c r="B347" s="889"/>
      <c r="C347" s="951"/>
      <c r="D347" s="951"/>
      <c r="F347" s="951"/>
      <c r="G347" s="944" t="s">
        <v>17</v>
      </c>
      <c r="H347" s="947"/>
      <c r="I347" s="948"/>
    </row>
    <row r="348" spans="1:9" x14ac:dyDescent="0.25">
      <c r="A348" s="902" t="str">
        <f t="shared" ref="A348:A379" ca="1" si="11">OFFSET($C348,0,$Z$5-1)</f>
        <v>D I A G R A M M E   D E   P A R E T O</v>
      </c>
      <c r="B348" s="945"/>
      <c r="C348" s="902" t="s">
        <v>578</v>
      </c>
      <c r="D348" s="902" t="s">
        <v>579</v>
      </c>
      <c r="E348" s="902" t="s">
        <v>1645</v>
      </c>
      <c r="F348" s="902"/>
      <c r="G348" s="904" t="s">
        <v>17</v>
      </c>
    </row>
    <row r="349" spans="1:9" x14ac:dyDescent="0.25">
      <c r="A349" s="906" t="str">
        <f t="shared" ca="1" si="11"/>
        <v>Ranking</v>
      </c>
      <c r="B349" s="889"/>
      <c r="C349" s="946" t="s">
        <v>577</v>
      </c>
      <c r="D349" s="946" t="s">
        <v>577</v>
      </c>
      <c r="E349" s="935" t="s">
        <v>577</v>
      </c>
      <c r="F349" s="935"/>
      <c r="G349" s="910" t="s">
        <v>17</v>
      </c>
      <c r="H349" s="947"/>
      <c r="I349" s="948"/>
    </row>
    <row r="350" spans="1:9" x14ac:dyDescent="0.25">
      <c r="A350" s="888" t="str">
        <f t="shared" ca="1" si="11"/>
        <v>Raisons du problème</v>
      </c>
      <c r="B350" s="889"/>
      <c r="C350" s="949" t="s">
        <v>576</v>
      </c>
      <c r="D350" s="949" t="s">
        <v>656</v>
      </c>
      <c r="E350" s="937" t="s">
        <v>1646</v>
      </c>
      <c r="F350" s="937"/>
      <c r="G350" s="913" t="s">
        <v>17</v>
      </c>
      <c r="H350" s="947"/>
      <c r="I350" s="948"/>
    </row>
    <row r="351" spans="1:9" x14ac:dyDescent="0.25">
      <c r="A351" s="916" t="str">
        <f t="shared" ca="1" si="11"/>
        <v>Fré-quence</v>
      </c>
      <c r="B351" s="889"/>
      <c r="C351" s="950" t="s">
        <v>680</v>
      </c>
      <c r="D351" s="950" t="s">
        <v>681</v>
      </c>
      <c r="E351" s="950" t="s">
        <v>1647</v>
      </c>
      <c r="F351" s="940"/>
      <c r="G351" s="919" t="s">
        <v>17</v>
      </c>
      <c r="H351" s="947"/>
      <c r="I351" s="948"/>
    </row>
    <row r="352" spans="1:9" x14ac:dyDescent="0.25">
      <c r="A352" s="902" t="str">
        <f t="shared" ca="1" si="11"/>
        <v>É V A L U A T I O N   D E S   V A R I A N T E S</v>
      </c>
      <c r="B352" s="945"/>
      <c r="C352" s="902" t="s">
        <v>1054</v>
      </c>
      <c r="D352" s="902" t="s">
        <v>1055</v>
      </c>
      <c r="E352" s="902" t="s">
        <v>1654</v>
      </c>
      <c r="F352" s="902"/>
      <c r="G352" s="904" t="s">
        <v>17</v>
      </c>
    </row>
    <row r="353" spans="1:10" x14ac:dyDescent="0.25">
      <c r="A353" s="906" t="str">
        <f t="shared" ca="1" si="11"/>
        <v>Domaine</v>
      </c>
      <c r="B353" s="889"/>
      <c r="C353" s="946" t="s">
        <v>942</v>
      </c>
      <c r="D353" s="946" t="s">
        <v>943</v>
      </c>
      <c r="E353" s="935" t="s">
        <v>943</v>
      </c>
      <c r="F353" s="935"/>
      <c r="G353" s="910" t="s">
        <v>17</v>
      </c>
      <c r="H353" s="947"/>
      <c r="I353" s="948"/>
    </row>
    <row r="354" spans="1:10" x14ac:dyDescent="0.25">
      <c r="A354" s="888" t="str">
        <f t="shared" ca="1" si="11"/>
        <v>Indicateur</v>
      </c>
      <c r="B354" s="889"/>
      <c r="C354" s="949" t="s">
        <v>1056</v>
      </c>
      <c r="D354" s="949" t="s">
        <v>1057</v>
      </c>
      <c r="E354" s="949" t="s">
        <v>1652</v>
      </c>
      <c r="F354" s="937"/>
      <c r="G354" s="913" t="s">
        <v>17</v>
      </c>
      <c r="H354" s="947"/>
      <c r="I354" s="948"/>
    </row>
    <row r="355" spans="1:10" x14ac:dyDescent="0.25">
      <c r="A355" s="888" t="str">
        <f t="shared" ca="1" si="11"/>
        <v>Unité</v>
      </c>
      <c r="B355" s="889"/>
      <c r="C355" s="949" t="s">
        <v>584</v>
      </c>
      <c r="D355" s="949" t="s">
        <v>600</v>
      </c>
      <c r="E355" s="937" t="s">
        <v>1648</v>
      </c>
      <c r="F355" s="937"/>
      <c r="G355" s="913" t="s">
        <v>17</v>
      </c>
      <c r="H355" s="947"/>
      <c r="I355" s="948"/>
    </row>
    <row r="356" spans="1:10" x14ac:dyDescent="0.25">
      <c r="A356" s="888" t="str">
        <f t="shared" ca="1" si="11"/>
        <v>Valeur actuelle</v>
      </c>
      <c r="B356" s="889"/>
      <c r="C356" s="949" t="s">
        <v>585</v>
      </c>
      <c r="D356" s="949" t="s">
        <v>601</v>
      </c>
      <c r="E356" s="937" t="s">
        <v>1649</v>
      </c>
      <c r="F356" s="937"/>
      <c r="G356" s="913" t="s">
        <v>17</v>
      </c>
      <c r="H356" s="947"/>
      <c r="I356" s="948"/>
    </row>
    <row r="357" spans="1:10" x14ac:dyDescent="0.25">
      <c r="A357" s="888" t="str">
        <f t="shared" ca="1" si="11"/>
        <v>Amélioration / détérioration</v>
      </c>
      <c r="B357" s="889"/>
      <c r="C357" s="949" t="s">
        <v>586</v>
      </c>
      <c r="D357" s="949" t="s">
        <v>602</v>
      </c>
      <c r="E357" s="937" t="s">
        <v>1650</v>
      </c>
      <c r="F357" s="937"/>
      <c r="G357" s="913" t="s">
        <v>17</v>
      </c>
      <c r="H357" s="947"/>
      <c r="I357" s="948"/>
    </row>
    <row r="358" spans="1:10" x14ac:dyDescent="0.25">
      <c r="A358" s="888" t="str">
        <f t="shared" ca="1" si="11"/>
        <v>absolue</v>
      </c>
      <c r="B358" s="889"/>
      <c r="C358" s="949" t="s">
        <v>592</v>
      </c>
      <c r="D358" s="949" t="s">
        <v>603</v>
      </c>
      <c r="E358" s="937" t="s">
        <v>1651</v>
      </c>
      <c r="F358" s="937"/>
      <c r="G358" s="913" t="s">
        <v>17</v>
      </c>
      <c r="H358" s="947"/>
      <c r="I358" s="948"/>
    </row>
    <row r="359" spans="1:10" x14ac:dyDescent="0.25">
      <c r="A359" s="888" t="str">
        <f t="shared" ca="1" si="11"/>
        <v>Finances</v>
      </c>
      <c r="B359" s="889"/>
      <c r="C359" s="949" t="s">
        <v>765</v>
      </c>
      <c r="D359" s="949" t="s">
        <v>766</v>
      </c>
      <c r="E359" s="937" t="s">
        <v>766</v>
      </c>
      <c r="F359" s="937"/>
      <c r="G359" s="913"/>
      <c r="H359" s="947"/>
      <c r="I359" s="948"/>
    </row>
    <row r="360" spans="1:10" x14ac:dyDescent="0.25">
      <c r="A360" s="916" t="str">
        <f t="shared" ca="1" si="11"/>
        <v>Clients</v>
      </c>
      <c r="B360" s="889"/>
      <c r="C360" s="950" t="s">
        <v>27</v>
      </c>
      <c r="D360" s="950" t="s">
        <v>28</v>
      </c>
      <c r="E360" s="940" t="s">
        <v>1653</v>
      </c>
      <c r="F360" s="940"/>
      <c r="G360" s="919"/>
      <c r="H360" s="947"/>
      <c r="I360" s="948"/>
    </row>
    <row r="361" spans="1:10" s="905" customFormat="1" x14ac:dyDescent="0.25">
      <c r="A361" s="902" t="str">
        <f t="shared" ca="1" si="11"/>
        <v>P R O C E S S U S</v>
      </c>
      <c r="B361" s="901"/>
      <c r="C361" s="902" t="s">
        <v>605</v>
      </c>
      <c r="D361" s="902" t="s">
        <v>606</v>
      </c>
      <c r="E361" s="903" t="s">
        <v>1655</v>
      </c>
      <c r="F361" s="903"/>
      <c r="G361" s="904" t="s">
        <v>17</v>
      </c>
      <c r="I361" s="892"/>
      <c r="J361" s="883"/>
    </row>
    <row r="362" spans="1:10" x14ac:dyDescent="0.25">
      <c r="A362" s="906" t="str">
        <f t="shared" ca="1" si="11"/>
        <v>No.</v>
      </c>
      <c r="B362" s="889"/>
      <c r="C362" s="908" t="s">
        <v>39</v>
      </c>
      <c r="D362" s="908" t="s">
        <v>40</v>
      </c>
      <c r="E362" s="909" t="s">
        <v>40</v>
      </c>
      <c r="F362" s="909"/>
      <c r="G362" s="910" t="s">
        <v>17</v>
      </c>
    </row>
    <row r="363" spans="1:10" x14ac:dyDescent="0.25">
      <c r="A363" s="888" t="str">
        <f t="shared" ca="1" si="11"/>
        <v>Nom</v>
      </c>
      <c r="B363" s="889"/>
      <c r="C363" s="890" t="s">
        <v>607</v>
      </c>
      <c r="D363" s="890" t="s">
        <v>608</v>
      </c>
      <c r="E363" s="912" t="s">
        <v>607</v>
      </c>
      <c r="F363" s="912"/>
      <c r="G363" s="913" t="s">
        <v>17</v>
      </c>
    </row>
    <row r="364" spans="1:10" x14ac:dyDescent="0.25">
      <c r="A364" s="888" t="str">
        <f t="shared" ca="1" si="11"/>
        <v>Responsable</v>
      </c>
      <c r="B364" s="889"/>
      <c r="C364" s="890" t="s">
        <v>609</v>
      </c>
      <c r="D364" s="890" t="s">
        <v>610</v>
      </c>
      <c r="E364" s="912" t="s">
        <v>1656</v>
      </c>
      <c r="F364" s="912"/>
      <c r="G364" s="913" t="s">
        <v>17</v>
      </c>
    </row>
    <row r="365" spans="1:10" x14ac:dyDescent="0.25">
      <c r="A365" s="888" t="str">
        <f t="shared" ca="1" si="11"/>
        <v>actualisé le :</v>
      </c>
      <c r="B365" s="889"/>
      <c r="C365" s="890" t="s">
        <v>611</v>
      </c>
      <c r="D365" s="890" t="s">
        <v>612</v>
      </c>
      <c r="E365" s="912" t="s">
        <v>1657</v>
      </c>
      <c r="F365" s="912"/>
      <c r="G365" s="913" t="s">
        <v>17</v>
      </c>
    </row>
    <row r="366" spans="1:10" x14ac:dyDescent="0.25">
      <c r="A366" s="888" t="str">
        <f t="shared" ca="1" si="11"/>
        <v>Autre Processus</v>
      </c>
      <c r="B366" s="889"/>
      <c r="C366" s="890" t="s">
        <v>613</v>
      </c>
      <c r="D366" s="890" t="s">
        <v>614</v>
      </c>
      <c r="E366" s="912" t="s">
        <v>1658</v>
      </c>
      <c r="F366" s="912"/>
      <c r="G366" s="913" t="s">
        <v>17</v>
      </c>
    </row>
    <row r="367" spans="1:10" x14ac:dyDescent="0.25">
      <c r="A367" s="888" t="str">
        <f t="shared" ca="1" si="11"/>
        <v>Page suivante</v>
      </c>
      <c r="B367" s="889"/>
      <c r="C367" s="890" t="s">
        <v>615</v>
      </c>
      <c r="D367" s="890" t="s">
        <v>616</v>
      </c>
      <c r="E367" s="912" t="s">
        <v>1659</v>
      </c>
      <c r="F367" s="912"/>
      <c r="G367" s="913" t="s">
        <v>17</v>
      </c>
    </row>
    <row r="368" spans="1:10" x14ac:dyDescent="0.25">
      <c r="A368" s="888" t="str">
        <f t="shared" ca="1" si="11"/>
        <v>Début/Fin</v>
      </c>
      <c r="B368" s="889"/>
      <c r="C368" s="890" t="s">
        <v>617</v>
      </c>
      <c r="D368" s="890" t="s">
        <v>618</v>
      </c>
      <c r="E368" s="912" t="s">
        <v>1660</v>
      </c>
      <c r="F368" s="912"/>
      <c r="G368" s="913" t="s">
        <v>17</v>
      </c>
    </row>
    <row r="369" spans="1:7" x14ac:dyDescent="0.25">
      <c r="A369" s="888" t="str">
        <f t="shared" ca="1" si="11"/>
        <v>Lien</v>
      </c>
      <c r="B369" s="889"/>
      <c r="C369" s="890" t="s">
        <v>619</v>
      </c>
      <c r="D369" s="890" t="s">
        <v>620</v>
      </c>
      <c r="E369" s="912" t="s">
        <v>1661</v>
      </c>
      <c r="F369" s="912"/>
      <c r="G369" s="913" t="s">
        <v>17</v>
      </c>
    </row>
    <row r="370" spans="1:7" x14ac:dyDescent="0.25">
      <c r="A370" s="888" t="str">
        <f t="shared" ca="1" si="11"/>
        <v>Processus</v>
      </c>
      <c r="B370" s="889"/>
      <c r="C370" s="890" t="s">
        <v>583</v>
      </c>
      <c r="D370" s="890" t="s">
        <v>599</v>
      </c>
      <c r="E370" s="912" t="s">
        <v>1662</v>
      </c>
      <c r="F370" s="912"/>
      <c r="G370" s="913" t="s">
        <v>17</v>
      </c>
    </row>
    <row r="371" spans="1:7" x14ac:dyDescent="0.25">
      <c r="A371" s="888" t="str">
        <f t="shared" ca="1" si="11"/>
        <v>Document</v>
      </c>
      <c r="B371" s="889"/>
      <c r="C371" s="890" t="s">
        <v>621</v>
      </c>
      <c r="D371" s="890" t="s">
        <v>622</v>
      </c>
      <c r="E371" s="912" t="s">
        <v>622</v>
      </c>
      <c r="F371" s="912"/>
      <c r="G371" s="913" t="s">
        <v>17</v>
      </c>
    </row>
    <row r="372" spans="1:7" x14ac:dyDescent="0.25">
      <c r="A372" s="888" t="str">
        <f t="shared" ca="1" si="11"/>
        <v>Décision</v>
      </c>
      <c r="B372" s="889"/>
      <c r="C372" s="890" t="s">
        <v>623</v>
      </c>
      <c r="D372" s="890" t="s">
        <v>624</v>
      </c>
      <c r="E372" s="912" t="s">
        <v>1663</v>
      </c>
      <c r="F372" s="912"/>
      <c r="G372" s="913" t="s">
        <v>17</v>
      </c>
    </row>
    <row r="373" spans="1:7" x14ac:dyDescent="0.25">
      <c r="A373" s="888" t="str">
        <f t="shared" ca="1" si="11"/>
        <v>Suite</v>
      </c>
      <c r="B373" s="889"/>
      <c r="C373" s="890" t="s">
        <v>625</v>
      </c>
      <c r="D373" s="890" t="s">
        <v>626</v>
      </c>
      <c r="E373" s="912" t="s">
        <v>1664</v>
      </c>
      <c r="F373" s="912"/>
      <c r="G373" s="913" t="s">
        <v>17</v>
      </c>
    </row>
    <row r="374" spans="1:7" x14ac:dyDescent="0.25">
      <c r="A374" s="888" t="str">
        <f t="shared" ca="1" si="11"/>
        <v>oui</v>
      </c>
      <c r="B374" s="889"/>
      <c r="C374" s="890" t="s">
        <v>627</v>
      </c>
      <c r="D374" s="890" t="s">
        <v>628</v>
      </c>
      <c r="E374" s="912" t="s">
        <v>1665</v>
      </c>
      <c r="F374" s="912"/>
      <c r="G374" s="913" t="s">
        <v>17</v>
      </c>
    </row>
    <row r="375" spans="1:7" x14ac:dyDescent="0.25">
      <c r="A375" s="888" t="str">
        <f t="shared" ca="1" si="11"/>
        <v xml:space="preserve">non </v>
      </c>
      <c r="B375" s="889"/>
      <c r="C375" s="890" t="s">
        <v>629</v>
      </c>
      <c r="D375" s="890" t="s">
        <v>630</v>
      </c>
      <c r="E375" s="912" t="s">
        <v>1666</v>
      </c>
      <c r="F375" s="912"/>
      <c r="G375" s="913" t="s">
        <v>17</v>
      </c>
    </row>
    <row r="376" spans="1:7" x14ac:dyDescent="0.25">
      <c r="A376" s="888" t="str">
        <f t="shared" ca="1" si="11"/>
        <v>p. 2</v>
      </c>
      <c r="B376" s="889"/>
      <c r="C376" s="890" t="s">
        <v>631</v>
      </c>
      <c r="D376" s="890" t="s">
        <v>632</v>
      </c>
      <c r="E376" s="912" t="s">
        <v>632</v>
      </c>
      <c r="F376" s="912"/>
      <c r="G376" s="913" t="s">
        <v>17</v>
      </c>
    </row>
    <row r="377" spans="1:7" x14ac:dyDescent="0.25">
      <c r="A377" s="888" t="str">
        <f t="shared" ca="1" si="11"/>
        <v>Début</v>
      </c>
      <c r="B377" s="889"/>
      <c r="C377" s="890" t="s">
        <v>411</v>
      </c>
      <c r="D377" s="890" t="s">
        <v>412</v>
      </c>
      <c r="E377" s="912" t="s">
        <v>1667</v>
      </c>
      <c r="F377" s="912"/>
      <c r="G377" s="913" t="s">
        <v>17</v>
      </c>
    </row>
    <row r="378" spans="1:7" x14ac:dyDescent="0.25">
      <c r="A378" s="888" t="str">
        <f t="shared" ca="1" si="11"/>
        <v>Fin</v>
      </c>
      <c r="B378" s="889"/>
      <c r="C378" s="890" t="s">
        <v>413</v>
      </c>
      <c r="D378" s="890" t="s">
        <v>414</v>
      </c>
      <c r="E378" s="912" t="s">
        <v>1668</v>
      </c>
      <c r="F378" s="912"/>
      <c r="G378" s="913" t="s">
        <v>17</v>
      </c>
    </row>
    <row r="379" spans="1:7" x14ac:dyDescent="0.25">
      <c r="A379" s="888" t="str">
        <f t="shared" ca="1" si="11"/>
        <v>No. processus</v>
      </c>
      <c r="B379" s="889"/>
      <c r="C379" s="890" t="s">
        <v>633</v>
      </c>
      <c r="D379" s="890" t="s">
        <v>634</v>
      </c>
      <c r="E379" s="912" t="s">
        <v>1669</v>
      </c>
      <c r="F379" s="912"/>
      <c r="G379" s="913" t="s">
        <v>17</v>
      </c>
    </row>
    <row r="380" spans="1:7" x14ac:dyDescent="0.25">
      <c r="A380" s="916" t="str">
        <f t="shared" ref="A380:A411" ca="1" si="12">OFFSET($C380,0,$Z$5-1)</f>
        <v>Texte</v>
      </c>
      <c r="B380" s="889"/>
      <c r="C380" s="929" t="s">
        <v>635</v>
      </c>
      <c r="D380" s="929" t="s">
        <v>636</v>
      </c>
      <c r="E380" s="918" t="s">
        <v>635</v>
      </c>
      <c r="F380" s="918"/>
      <c r="G380" s="919" t="s">
        <v>17</v>
      </c>
    </row>
    <row r="381" spans="1:7" x14ac:dyDescent="0.25">
      <c r="A381" s="902" t="str">
        <f t="shared" ca="1" si="12"/>
        <v>Ouvrir autres documents</v>
      </c>
      <c r="B381" s="901"/>
      <c r="C381" s="902" t="s">
        <v>643</v>
      </c>
      <c r="D381" s="902" t="s">
        <v>644</v>
      </c>
      <c r="E381" s="902" t="s">
        <v>1670</v>
      </c>
      <c r="F381" s="903"/>
      <c r="G381" s="904" t="s">
        <v>17</v>
      </c>
    </row>
    <row r="382" spans="1:7" ht="26.4" x14ac:dyDescent="0.25">
      <c r="A382" s="906" t="str">
        <f t="shared" ca="1" si="12"/>
        <v>Voulez-vous ouvrir le programme "Tableau de bord"?</v>
      </c>
      <c r="B382" s="889"/>
      <c r="C382" s="946" t="s">
        <v>1015</v>
      </c>
      <c r="D382" s="946" t="s">
        <v>637</v>
      </c>
      <c r="E382" s="922" t="s">
        <v>1671</v>
      </c>
      <c r="F382" s="922" t="s">
        <v>1673</v>
      </c>
      <c r="G382" s="910" t="s">
        <v>17</v>
      </c>
    </row>
    <row r="383" spans="1:7" ht="28.8" x14ac:dyDescent="0.25">
      <c r="A383" s="888" t="str">
        <f t="shared" ca="1" si="12"/>
        <v>Assurez-vous, que le fichier "01_Cockpit.exe" se touve dans le même répertoire!</v>
      </c>
      <c r="B383" s="889"/>
      <c r="C383" s="937" t="s">
        <v>638</v>
      </c>
      <c r="D383" s="937" t="s">
        <v>639</v>
      </c>
      <c r="E383" s="923" t="s">
        <v>1672</v>
      </c>
      <c r="F383" s="923" t="s">
        <v>1674</v>
      </c>
      <c r="G383" s="913" t="s">
        <v>17</v>
      </c>
    </row>
    <row r="384" spans="1:7" ht="28.8" x14ac:dyDescent="0.25">
      <c r="A384" s="888" t="str">
        <f t="shared" ca="1" si="12"/>
        <v>Voulez-vous ouvrir le programme "Management stratégique" ?</v>
      </c>
      <c r="B384" s="889"/>
      <c r="C384" s="949" t="s">
        <v>582</v>
      </c>
      <c r="D384" s="949" t="s">
        <v>1768</v>
      </c>
      <c r="E384" s="925" t="s">
        <v>1769</v>
      </c>
      <c r="F384" s="912"/>
      <c r="G384" s="913" t="s">
        <v>17</v>
      </c>
    </row>
    <row r="385" spans="1:7" ht="43.2" x14ac:dyDescent="0.25">
      <c r="A385" s="888" t="str">
        <f t="shared" ca="1" si="12"/>
        <v>Assurez-vous, que le fichier "02_StrategicManagement.exe" se trouve dans le même répertoire !</v>
      </c>
      <c r="B385" s="889"/>
      <c r="C385" s="949" t="s">
        <v>604</v>
      </c>
      <c r="D385" s="949" t="s">
        <v>1770</v>
      </c>
      <c r="E385" s="925" t="s">
        <v>1771</v>
      </c>
      <c r="F385" s="912"/>
      <c r="G385" s="913" t="s">
        <v>17</v>
      </c>
    </row>
    <row r="386" spans="1:7" x14ac:dyDescent="0.25">
      <c r="A386" s="888" t="str">
        <f t="shared" ca="1" si="12"/>
        <v>Voulez-vous ouvrir le programme "Business Plan"?</v>
      </c>
      <c r="B386" s="889"/>
      <c r="C386" s="949" t="s">
        <v>904</v>
      </c>
      <c r="D386" s="949" t="s">
        <v>905</v>
      </c>
      <c r="E386" s="923" t="s">
        <v>1772</v>
      </c>
      <c r="F386" s="912"/>
      <c r="G386" s="913" t="s">
        <v>17</v>
      </c>
    </row>
    <row r="387" spans="1:7" ht="28.8" x14ac:dyDescent="0.25">
      <c r="A387" s="888" t="str">
        <f t="shared" ca="1" si="12"/>
        <v>Assurez-vous, que le fichier  "04_BusinessPlan.exe" se touve dans le même répertoire!</v>
      </c>
      <c r="B387" s="889"/>
      <c r="C387" s="949" t="s">
        <v>906</v>
      </c>
      <c r="D387" s="949" t="s">
        <v>907</v>
      </c>
      <c r="E387" s="923" t="s">
        <v>1773</v>
      </c>
      <c r="F387" s="912"/>
      <c r="G387" s="913" t="s">
        <v>17</v>
      </c>
    </row>
    <row r="388" spans="1:7" ht="26.4" x14ac:dyDescent="0.25">
      <c r="A388" s="888" t="str">
        <f t="shared" ca="1" si="12"/>
        <v>Voulez-vous ouvrir le programme "Balanced Scorcard"?</v>
      </c>
      <c r="B388" s="889"/>
      <c r="C388" s="949" t="s">
        <v>754</v>
      </c>
      <c r="D388" s="949" t="s">
        <v>755</v>
      </c>
      <c r="E388" s="923" t="s">
        <v>1675</v>
      </c>
      <c r="F388" s="923" t="s">
        <v>1676</v>
      </c>
      <c r="G388" s="913" t="s">
        <v>17</v>
      </c>
    </row>
    <row r="389" spans="1:7" ht="28.8" x14ac:dyDescent="0.25">
      <c r="A389" s="888" t="str">
        <f t="shared" ca="1" si="12"/>
        <v>Assurez-vous, que le fichier "01_Cockpit.exe" se touve dans le même répertoire!</v>
      </c>
      <c r="B389" s="889"/>
      <c r="C389" s="937" t="s">
        <v>638</v>
      </c>
      <c r="D389" s="937" t="s">
        <v>639</v>
      </c>
      <c r="E389" s="923" t="s">
        <v>1672</v>
      </c>
      <c r="F389" s="923" t="s">
        <v>1674</v>
      </c>
      <c r="G389" s="913" t="s">
        <v>17</v>
      </c>
    </row>
    <row r="390" spans="1:7" ht="28.8" x14ac:dyDescent="0.25">
      <c r="A390" s="888" t="str">
        <f t="shared" ca="1" si="12"/>
        <v>Voulez-vous ouvrir le programme "Gestion de projets"?</v>
      </c>
      <c r="B390" s="889"/>
      <c r="C390" s="949" t="s">
        <v>1011</v>
      </c>
      <c r="D390" s="949" t="s">
        <v>1012</v>
      </c>
      <c r="E390" s="952" t="s">
        <v>1774</v>
      </c>
      <c r="F390" s="912"/>
      <c r="G390" s="913"/>
    </row>
    <row r="391" spans="1:7" ht="43.2" x14ac:dyDescent="0.25">
      <c r="A391" s="916" t="str">
        <f t="shared" ca="1" si="12"/>
        <v>Assurez-vous, que le fichier "03_ProjectManagement.exe" se touve dans le même répertoire!</v>
      </c>
      <c r="B391" s="889"/>
      <c r="C391" s="950" t="s">
        <v>1013</v>
      </c>
      <c r="D391" s="950" t="s">
        <v>1014</v>
      </c>
      <c r="E391" s="953" t="s">
        <v>1775</v>
      </c>
      <c r="F391" s="918"/>
      <c r="G391" s="919"/>
    </row>
    <row r="392" spans="1:7" x14ac:dyDescent="0.25">
      <c r="A392" s="902" t="str">
        <f t="shared" ca="1" si="12"/>
        <v>A N A L Y S E   D E S   E R R E U R E S</v>
      </c>
      <c r="B392" s="901"/>
      <c r="C392" s="902" t="s">
        <v>650</v>
      </c>
      <c r="D392" s="902" t="s">
        <v>651</v>
      </c>
      <c r="E392" s="902" t="s">
        <v>1677</v>
      </c>
      <c r="F392" s="903"/>
      <c r="G392" s="904" t="s">
        <v>17</v>
      </c>
    </row>
    <row r="393" spans="1:7" x14ac:dyDescent="0.25">
      <c r="A393" s="906" t="str">
        <f t="shared" ca="1" si="12"/>
        <v>Processus / Produit / Prestation de service</v>
      </c>
      <c r="B393" s="889"/>
      <c r="C393" s="954" t="s">
        <v>652</v>
      </c>
      <c r="D393" s="954" t="s">
        <v>653</v>
      </c>
      <c r="E393" s="909" t="s">
        <v>1678</v>
      </c>
      <c r="F393" s="909"/>
      <c r="G393" s="910" t="s">
        <v>17</v>
      </c>
    </row>
    <row r="394" spans="1:7" x14ac:dyDescent="0.25">
      <c r="A394" s="888" t="str">
        <f t="shared" ca="1" si="12"/>
        <v>Erreur</v>
      </c>
      <c r="B394" s="889"/>
      <c r="C394" s="914" t="s">
        <v>654</v>
      </c>
      <c r="D394" s="914" t="s">
        <v>655</v>
      </c>
      <c r="E394" s="912" t="s">
        <v>1679</v>
      </c>
      <c r="F394" s="912"/>
      <c r="G394" s="913" t="s">
        <v>17</v>
      </c>
    </row>
    <row r="395" spans="1:7" x14ac:dyDescent="0.25">
      <c r="A395" s="888" t="str">
        <f t="shared" ca="1" si="12"/>
        <v>Raisons</v>
      </c>
      <c r="B395" s="889"/>
      <c r="C395" s="914" t="s">
        <v>677</v>
      </c>
      <c r="D395" s="914" t="s">
        <v>676</v>
      </c>
      <c r="E395" s="912" t="s">
        <v>1680</v>
      </c>
      <c r="F395" s="912"/>
      <c r="G395" s="913" t="s">
        <v>17</v>
      </c>
    </row>
    <row r="396" spans="1:7" x14ac:dyDescent="0.25">
      <c r="A396" s="888" t="str">
        <f t="shared" ca="1" si="12"/>
        <v>Innovations possibles pour éviter les erreurs</v>
      </c>
      <c r="B396" s="889"/>
      <c r="C396" s="914" t="s">
        <v>938</v>
      </c>
      <c r="D396" s="914" t="s">
        <v>937</v>
      </c>
      <c r="E396" s="912" t="s">
        <v>1681</v>
      </c>
      <c r="F396" s="912"/>
      <c r="G396" s="913" t="s">
        <v>17</v>
      </c>
    </row>
    <row r="397" spans="1:7" x14ac:dyDescent="0.25">
      <c r="A397" s="888" t="str">
        <f t="shared" ca="1" si="12"/>
        <v>Statut</v>
      </c>
      <c r="B397" s="889"/>
      <c r="C397" s="914" t="s">
        <v>44</v>
      </c>
      <c r="D397" s="914" t="s">
        <v>45</v>
      </c>
      <c r="E397" s="912" t="s">
        <v>44</v>
      </c>
      <c r="F397" s="912"/>
      <c r="G397" s="913" t="s">
        <v>17</v>
      </c>
    </row>
    <row r="398" spans="1:7" x14ac:dyDescent="0.25">
      <c r="A398" s="888" t="str">
        <f t="shared" ca="1" si="12"/>
        <v>Probabilité d'occurence</v>
      </c>
      <c r="B398" s="889"/>
      <c r="C398" s="890" t="s">
        <v>679</v>
      </c>
      <c r="D398" s="890" t="s">
        <v>678</v>
      </c>
      <c r="E398" s="912" t="s">
        <v>1431</v>
      </c>
      <c r="F398" s="912"/>
      <c r="G398" s="913" t="s">
        <v>17</v>
      </c>
    </row>
    <row r="399" spans="1:7" x14ac:dyDescent="0.25">
      <c r="A399" s="888" t="str">
        <f t="shared" ca="1" si="12"/>
        <v>du:</v>
      </c>
      <c r="B399" s="889"/>
      <c r="C399" s="914" t="s">
        <v>728</v>
      </c>
      <c r="D399" s="890" t="s">
        <v>705</v>
      </c>
      <c r="E399" s="912" t="s">
        <v>1682</v>
      </c>
      <c r="F399" s="912"/>
      <c r="G399" s="913" t="s">
        <v>17</v>
      </c>
    </row>
    <row r="400" spans="1:7" x14ac:dyDescent="0.25">
      <c r="A400" s="916" t="str">
        <f t="shared" ca="1" si="12"/>
        <v>au:</v>
      </c>
      <c r="B400" s="889"/>
      <c r="C400" s="929" t="s">
        <v>706</v>
      </c>
      <c r="D400" s="929" t="s">
        <v>707</v>
      </c>
      <c r="E400" s="918" t="s">
        <v>1683</v>
      </c>
      <c r="F400" s="918"/>
      <c r="G400" s="919" t="s">
        <v>17</v>
      </c>
    </row>
    <row r="401" spans="1:7" x14ac:dyDescent="0.25">
      <c r="A401" s="902" t="str">
        <f t="shared" ca="1" si="12"/>
        <v>R É C L A M A T I O N S   D E S   C L I E N T S</v>
      </c>
      <c r="B401" s="901"/>
      <c r="C401" s="902" t="s">
        <v>704</v>
      </c>
      <c r="D401" s="902" t="s">
        <v>703</v>
      </c>
      <c r="E401" s="902" t="s">
        <v>1684</v>
      </c>
      <c r="F401" s="903"/>
      <c r="G401" s="904" t="s">
        <v>17</v>
      </c>
    </row>
    <row r="402" spans="1:7" x14ac:dyDescent="0.25">
      <c r="A402" s="906" t="str">
        <f t="shared" ca="1" si="12"/>
        <v>Réclamations</v>
      </c>
      <c r="B402" s="889"/>
      <c r="C402" s="908" t="s">
        <v>683</v>
      </c>
      <c r="D402" s="908" t="s">
        <v>682</v>
      </c>
      <c r="E402" s="909" t="s">
        <v>1685</v>
      </c>
      <c r="F402" s="909"/>
      <c r="G402" s="910" t="s">
        <v>17</v>
      </c>
    </row>
    <row r="403" spans="1:7" ht="26.4" x14ac:dyDescent="0.25">
      <c r="A403" s="916" t="str">
        <f t="shared" ca="1" si="12"/>
        <v>Innovations possibles pour éviter les réclamations</v>
      </c>
      <c r="B403" s="889"/>
      <c r="C403" s="917" t="s">
        <v>939</v>
      </c>
      <c r="D403" s="917" t="s">
        <v>940</v>
      </c>
      <c r="E403" s="918" t="s">
        <v>1686</v>
      </c>
      <c r="F403" s="918"/>
      <c r="G403" s="919" t="s">
        <v>17</v>
      </c>
    </row>
    <row r="404" spans="1:7" x14ac:dyDescent="0.25">
      <c r="A404" s="902" t="str">
        <f t="shared" ca="1" si="12"/>
        <v>R É A L I S A T I O N   &amp;  C O N T R O L L I N G</v>
      </c>
      <c r="B404" s="901"/>
      <c r="C404" s="902" t="s">
        <v>908</v>
      </c>
      <c r="D404" s="902" t="s">
        <v>1072</v>
      </c>
      <c r="E404" s="902" t="s">
        <v>1987</v>
      </c>
      <c r="F404" s="903"/>
      <c r="G404" s="904" t="s">
        <v>17</v>
      </c>
    </row>
    <row r="405" spans="1:7" x14ac:dyDescent="0.25">
      <c r="A405" s="902" t="str">
        <f t="shared" ca="1" si="12"/>
        <v>A N A L Y S E   D E S   P R O C E S S U S</v>
      </c>
      <c r="B405" s="901"/>
      <c r="C405" s="902" t="s">
        <v>1080</v>
      </c>
      <c r="D405" s="902" t="s">
        <v>1079</v>
      </c>
      <c r="E405" s="902" t="s">
        <v>1689</v>
      </c>
      <c r="F405" s="903"/>
      <c r="G405" s="904" t="s">
        <v>17</v>
      </c>
    </row>
    <row r="406" spans="1:7" x14ac:dyDescent="0.25">
      <c r="A406" s="906" t="str">
        <f t="shared" ca="1" si="12"/>
        <v>Processus</v>
      </c>
      <c r="B406" s="889"/>
      <c r="C406" s="954" t="s">
        <v>583</v>
      </c>
      <c r="D406" s="954" t="s">
        <v>599</v>
      </c>
      <c r="E406" s="909" t="s">
        <v>1344</v>
      </c>
      <c r="F406" s="909"/>
      <c r="G406" s="910" t="s">
        <v>17</v>
      </c>
    </row>
    <row r="407" spans="1:7" x14ac:dyDescent="0.25">
      <c r="A407" s="888" t="str">
        <f t="shared" ca="1" si="12"/>
        <v>Améliorations</v>
      </c>
      <c r="B407" s="889"/>
      <c r="C407" s="914" t="s">
        <v>1073</v>
      </c>
      <c r="D407" s="914" t="s">
        <v>1074</v>
      </c>
      <c r="E407" s="912" t="s">
        <v>1687</v>
      </c>
      <c r="F407" s="912"/>
      <c r="G407" s="913" t="s">
        <v>17</v>
      </c>
    </row>
    <row r="408" spans="1:7" x14ac:dyDescent="0.25">
      <c r="A408" s="888" t="str">
        <f t="shared" ca="1" si="12"/>
        <v>Nbr. amélio.</v>
      </c>
      <c r="B408" s="889"/>
      <c r="C408" s="914" t="s">
        <v>1075</v>
      </c>
      <c r="D408" s="914" t="s">
        <v>1076</v>
      </c>
      <c r="E408" s="912" t="s">
        <v>1688</v>
      </c>
      <c r="F408" s="912"/>
      <c r="G408" s="913" t="s">
        <v>17</v>
      </c>
    </row>
    <row r="409" spans="1:7" x14ac:dyDescent="0.25">
      <c r="A409" s="916" t="str">
        <f t="shared" ca="1" si="12"/>
        <v>Date</v>
      </c>
      <c r="B409" s="889"/>
      <c r="C409" s="917" t="s">
        <v>1077</v>
      </c>
      <c r="D409" s="917" t="s">
        <v>1078</v>
      </c>
      <c r="E409" s="918" t="s">
        <v>1078</v>
      </c>
      <c r="F409" s="918"/>
      <c r="G409" s="919" t="s">
        <v>17</v>
      </c>
    </row>
    <row r="410" spans="1:7" x14ac:dyDescent="0.25">
      <c r="A410" s="902" t="str">
        <f t="shared" ca="1" si="12"/>
        <v>P L U S   V A L U E</v>
      </c>
      <c r="B410" s="901"/>
      <c r="C410" s="902" t="s">
        <v>909</v>
      </c>
      <c r="D410" s="902" t="s">
        <v>910</v>
      </c>
      <c r="E410" s="902" t="s">
        <v>1988</v>
      </c>
      <c r="F410" s="903"/>
      <c r="G410" s="904" t="s">
        <v>17</v>
      </c>
    </row>
    <row r="411" spans="1:7" x14ac:dyDescent="0.25">
      <c r="A411" s="906" t="str">
        <f t="shared" ca="1" si="12"/>
        <v>Idées</v>
      </c>
      <c r="B411" s="889"/>
      <c r="C411" s="954" t="s">
        <v>640</v>
      </c>
      <c r="D411" s="954" t="s">
        <v>641</v>
      </c>
      <c r="E411" s="909" t="s">
        <v>1989</v>
      </c>
      <c r="F411" s="909"/>
      <c r="G411" s="910" t="s">
        <v>17</v>
      </c>
    </row>
    <row r="412" spans="1:7" x14ac:dyDescent="0.25">
      <c r="A412" s="888" t="str">
        <f t="shared" ref="A412:A443" ca="1" si="13">OFFSET($C412,0,$Z$5-1)</f>
        <v>Plus-value pour clients</v>
      </c>
      <c r="B412" s="889"/>
      <c r="C412" s="914" t="s">
        <v>742</v>
      </c>
      <c r="D412" s="914" t="s">
        <v>1999</v>
      </c>
      <c r="E412" s="912" t="s">
        <v>1947</v>
      </c>
      <c r="F412" s="912"/>
      <c r="G412" s="913" t="s">
        <v>17</v>
      </c>
    </row>
    <row r="413" spans="1:7" x14ac:dyDescent="0.25">
      <c r="A413" s="888" t="str">
        <f t="shared" ca="1" si="13"/>
        <v>Remarques</v>
      </c>
      <c r="B413" s="889"/>
      <c r="C413" s="914" t="s">
        <v>55</v>
      </c>
      <c r="D413" s="914" t="s">
        <v>56</v>
      </c>
      <c r="E413" s="912" t="s">
        <v>1362</v>
      </c>
      <c r="F413" s="912"/>
      <c r="G413" s="913" t="s">
        <v>17</v>
      </c>
    </row>
    <row r="414" spans="1:7" x14ac:dyDescent="0.25">
      <c r="A414" s="888" t="str">
        <f t="shared" ca="1" si="13"/>
        <v>Économies</v>
      </c>
      <c r="B414" s="889"/>
      <c r="C414" s="914" t="s">
        <v>744</v>
      </c>
      <c r="D414" s="914" t="s">
        <v>745</v>
      </c>
      <c r="E414" s="912" t="s">
        <v>1990</v>
      </c>
      <c r="F414" s="912"/>
      <c r="G414" s="913" t="s">
        <v>17</v>
      </c>
    </row>
    <row r="415" spans="1:7" x14ac:dyDescent="0.25">
      <c r="A415" s="888" t="str">
        <f t="shared" ca="1" si="13"/>
        <v>PLUS VALUE POUR LES CLIENTS</v>
      </c>
      <c r="B415" s="889"/>
      <c r="C415" s="914" t="s">
        <v>746</v>
      </c>
      <c r="D415" s="914" t="s">
        <v>747</v>
      </c>
      <c r="E415" s="912" t="s">
        <v>1947</v>
      </c>
      <c r="F415" s="912"/>
      <c r="G415" s="913" t="s">
        <v>17</v>
      </c>
    </row>
    <row r="416" spans="1:7" x14ac:dyDescent="0.25">
      <c r="A416" s="888" t="str">
        <f t="shared" ca="1" si="13"/>
        <v>Investisse-ments</v>
      </c>
      <c r="B416" s="889"/>
      <c r="C416" s="914" t="s">
        <v>748</v>
      </c>
      <c r="D416" s="914" t="s">
        <v>749</v>
      </c>
      <c r="E416" s="912" t="s">
        <v>1991</v>
      </c>
      <c r="F416" s="912"/>
      <c r="G416" s="913" t="s">
        <v>17</v>
      </c>
    </row>
    <row r="417" spans="1:7" x14ac:dyDescent="0.25">
      <c r="A417" s="916" t="str">
        <f t="shared" ca="1" si="13"/>
        <v>ÉCONOMIES - INVESTISSEMENTS</v>
      </c>
      <c r="B417" s="889"/>
      <c r="C417" s="917" t="s">
        <v>750</v>
      </c>
      <c r="D417" s="917" t="s">
        <v>751</v>
      </c>
      <c r="E417" s="918" t="s">
        <v>1992</v>
      </c>
      <c r="F417" s="918"/>
      <c r="G417" s="919" t="s">
        <v>17</v>
      </c>
    </row>
    <row r="418" spans="1:7" x14ac:dyDescent="0.25">
      <c r="A418" s="902" t="str">
        <f t="shared" ca="1" si="13"/>
        <v>P O R T F E U I L   D E S    I N N O V A T I O N S</v>
      </c>
      <c r="B418" s="901"/>
      <c r="C418" s="902" t="s">
        <v>947</v>
      </c>
      <c r="D418" s="902" t="s">
        <v>1070</v>
      </c>
      <c r="E418" s="902" t="s">
        <v>1993</v>
      </c>
      <c r="F418" s="903"/>
      <c r="G418" s="904" t="s">
        <v>17</v>
      </c>
    </row>
    <row r="419" spans="1:7" x14ac:dyDescent="0.25">
      <c r="A419" s="906" t="str">
        <f t="shared" ca="1" si="13"/>
        <v>Risque</v>
      </c>
      <c r="B419" s="889"/>
      <c r="C419" s="954" t="s">
        <v>155</v>
      </c>
      <c r="D419" s="954" t="s">
        <v>156</v>
      </c>
      <c r="E419" s="909" t="s">
        <v>1447</v>
      </c>
      <c r="F419" s="909"/>
      <c r="G419" s="910" t="s">
        <v>17</v>
      </c>
    </row>
    <row r="420" spans="1:7" x14ac:dyDescent="0.25">
      <c r="A420" s="888" t="str">
        <f t="shared" ca="1" si="13"/>
        <v>Rentabilité</v>
      </c>
      <c r="B420" s="889"/>
      <c r="C420" s="914" t="s">
        <v>581</v>
      </c>
      <c r="D420" s="914" t="s">
        <v>199</v>
      </c>
      <c r="E420" s="912" t="s">
        <v>1994</v>
      </c>
      <c r="F420" s="912"/>
      <c r="G420" s="913" t="s">
        <v>17</v>
      </c>
    </row>
    <row r="421" spans="1:7" x14ac:dyDescent="0.25">
      <c r="A421" s="888" t="str">
        <f t="shared" ca="1" si="13"/>
        <v>Innovations</v>
      </c>
      <c r="B421" s="889"/>
      <c r="C421" s="914" t="s">
        <v>936</v>
      </c>
      <c r="D421" s="914" t="s">
        <v>935</v>
      </c>
      <c r="E421" s="912" t="s">
        <v>935</v>
      </c>
      <c r="F421" s="912"/>
      <c r="G421" s="913" t="s">
        <v>17</v>
      </c>
    </row>
    <row r="422" spans="1:7" x14ac:dyDescent="0.25">
      <c r="A422" s="888" t="str">
        <f t="shared" ca="1" si="13"/>
        <v>Diminuer le risque</v>
      </c>
      <c r="B422" s="889"/>
      <c r="C422" s="914" t="s">
        <v>988</v>
      </c>
      <c r="D422" s="914" t="s">
        <v>989</v>
      </c>
      <c r="E422" s="912" t="s">
        <v>1995</v>
      </c>
      <c r="F422" s="912"/>
      <c r="G422" s="913" t="s">
        <v>17</v>
      </c>
    </row>
    <row r="423" spans="1:7" x14ac:dyDescent="0.25">
      <c r="A423" s="888" t="str">
        <f t="shared" ca="1" si="13"/>
        <v>Stratégies sélectives</v>
      </c>
      <c r="B423" s="889"/>
      <c r="C423" s="914" t="s">
        <v>756</v>
      </c>
      <c r="D423" s="914" t="s">
        <v>757</v>
      </c>
      <c r="E423" s="912" t="s">
        <v>1996</v>
      </c>
      <c r="F423" s="912"/>
      <c r="G423" s="913" t="s">
        <v>17</v>
      </c>
    </row>
    <row r="424" spans="1:7" x14ac:dyDescent="0.25">
      <c r="A424" s="888" t="str">
        <f t="shared" ca="1" si="13"/>
        <v>Augmenter la rentabilité</v>
      </c>
      <c r="B424" s="889"/>
      <c r="C424" s="914" t="s">
        <v>990</v>
      </c>
      <c r="D424" s="914" t="s">
        <v>991</v>
      </c>
      <c r="E424" s="912" t="s">
        <v>1997</v>
      </c>
      <c r="F424" s="912"/>
      <c r="G424" s="913" t="s">
        <v>17</v>
      </c>
    </row>
    <row r="425" spans="1:7" x14ac:dyDescent="0.25">
      <c r="A425" s="916" t="str">
        <f t="shared" ca="1" si="13"/>
        <v>promouvoir</v>
      </c>
      <c r="B425" s="889"/>
      <c r="C425" s="917" t="s">
        <v>986</v>
      </c>
      <c r="D425" s="917" t="s">
        <v>987</v>
      </c>
      <c r="E425" s="918" t="s">
        <v>1998</v>
      </c>
      <c r="F425" s="918"/>
      <c r="G425" s="919" t="s">
        <v>17</v>
      </c>
    </row>
    <row r="426" spans="1:7" ht="22.8" x14ac:dyDescent="0.25">
      <c r="A426" s="902" t="str">
        <f t="shared" ca="1" si="13"/>
        <v>S T R A T E G I E S  &amp;  O B J E C T I F S   I N N O V A T I O N</v>
      </c>
      <c r="B426" s="921"/>
      <c r="C426" s="902" t="s">
        <v>902</v>
      </c>
      <c r="D426" s="902" t="s">
        <v>903</v>
      </c>
      <c r="E426" s="902" t="s">
        <v>1711</v>
      </c>
      <c r="F426" s="902"/>
      <c r="G426" s="904" t="s">
        <v>17</v>
      </c>
    </row>
    <row r="427" spans="1:7" x14ac:dyDescent="0.25">
      <c r="A427" s="906" t="str">
        <f t="shared" ca="1" si="13"/>
        <v>Afficher tout</v>
      </c>
      <c r="B427" s="889"/>
      <c r="C427" s="909" t="s">
        <v>385</v>
      </c>
      <c r="D427" s="908" t="s">
        <v>386</v>
      </c>
      <c r="E427" s="909" t="s">
        <v>1690</v>
      </c>
      <c r="F427" s="909"/>
      <c r="G427" s="910" t="s">
        <v>17</v>
      </c>
    </row>
    <row r="428" spans="1:7" x14ac:dyDescent="0.25">
      <c r="A428" s="888" t="str">
        <f t="shared" ca="1" si="13"/>
        <v>Filtre impression</v>
      </c>
      <c r="B428" s="889"/>
      <c r="C428" s="890" t="s">
        <v>387</v>
      </c>
      <c r="D428" s="890" t="s">
        <v>388</v>
      </c>
      <c r="E428" s="912" t="s">
        <v>1691</v>
      </c>
      <c r="F428" s="912"/>
      <c r="G428" s="913" t="s">
        <v>17</v>
      </c>
    </row>
    <row r="429" spans="1:7" x14ac:dyDescent="0.25">
      <c r="A429" s="888" t="str">
        <f t="shared" ca="1" si="13"/>
        <v>Liens vers des documents</v>
      </c>
      <c r="B429" s="889"/>
      <c r="C429" s="912" t="s">
        <v>389</v>
      </c>
      <c r="D429" s="890" t="s">
        <v>390</v>
      </c>
      <c r="E429" s="912" t="s">
        <v>1692</v>
      </c>
      <c r="F429" s="912"/>
      <c r="G429" s="913" t="s">
        <v>17</v>
      </c>
    </row>
    <row r="430" spans="1:7" x14ac:dyDescent="0.25">
      <c r="A430" s="888" t="str">
        <f t="shared" ca="1" si="13"/>
        <v>M A S Q U E   D E   S A I S I E</v>
      </c>
      <c r="B430" s="889"/>
      <c r="C430" s="912" t="s">
        <v>391</v>
      </c>
      <c r="D430" s="890" t="s">
        <v>392</v>
      </c>
      <c r="E430" s="912" t="s">
        <v>1693</v>
      </c>
      <c r="F430" s="912"/>
      <c r="G430" s="913" t="s">
        <v>17</v>
      </c>
    </row>
    <row r="431" spans="1:7" x14ac:dyDescent="0.25">
      <c r="A431" s="888" t="str">
        <f t="shared" ca="1" si="13"/>
        <v>No.</v>
      </c>
      <c r="B431" s="889"/>
      <c r="C431" s="912" t="s">
        <v>39</v>
      </c>
      <c r="D431" s="890" t="s">
        <v>40</v>
      </c>
      <c r="E431" s="912" t="s">
        <v>40</v>
      </c>
      <c r="F431" s="912"/>
      <c r="G431" s="913" t="s">
        <v>17</v>
      </c>
    </row>
    <row r="432" spans="1:7" x14ac:dyDescent="0.25">
      <c r="A432" s="888" t="str">
        <f t="shared" ca="1" si="13"/>
        <v>Stratégies</v>
      </c>
      <c r="B432" s="889"/>
      <c r="C432" s="890" t="s">
        <v>383</v>
      </c>
      <c r="D432" s="890" t="s">
        <v>384</v>
      </c>
      <c r="E432" s="912" t="s">
        <v>1694</v>
      </c>
      <c r="F432" s="912"/>
      <c r="G432" s="913" t="s">
        <v>17</v>
      </c>
    </row>
    <row r="433" spans="1:7" x14ac:dyDescent="0.25">
      <c r="A433" s="888" t="str">
        <f t="shared" ca="1" si="13"/>
        <v>Indicateurs stratégiques</v>
      </c>
      <c r="B433" s="889"/>
      <c r="C433" s="912" t="s">
        <v>393</v>
      </c>
      <c r="D433" s="890" t="s">
        <v>394</v>
      </c>
      <c r="E433" s="912" t="s">
        <v>1695</v>
      </c>
      <c r="F433" s="912"/>
      <c r="G433" s="913" t="s">
        <v>17</v>
      </c>
    </row>
    <row r="434" spans="1:7" x14ac:dyDescent="0.25">
      <c r="A434" s="888" t="str">
        <f t="shared" ca="1" si="13"/>
        <v>ÊTRE</v>
      </c>
      <c r="B434" s="889"/>
      <c r="C434" s="912" t="s">
        <v>395</v>
      </c>
      <c r="D434" s="890" t="s">
        <v>396</v>
      </c>
      <c r="E434" s="931" t="s">
        <v>1696</v>
      </c>
      <c r="F434" s="912"/>
      <c r="G434" s="913" t="s">
        <v>17</v>
      </c>
    </row>
    <row r="435" spans="1:7" x14ac:dyDescent="0.25">
      <c r="A435" s="888" t="str">
        <f t="shared" ca="1" si="13"/>
        <v>DOIT</v>
      </c>
      <c r="B435" s="889"/>
      <c r="C435" s="912" t="s">
        <v>397</v>
      </c>
      <c r="D435" s="890" t="s">
        <v>398</v>
      </c>
      <c r="E435" s="931" t="s">
        <v>1697</v>
      </c>
      <c r="F435" s="912"/>
      <c r="G435" s="913" t="s">
        <v>17</v>
      </c>
    </row>
    <row r="436" spans="1:7" x14ac:dyDescent="0.25">
      <c r="A436" s="888" t="str">
        <f t="shared" ca="1" si="13"/>
        <v>atteint</v>
      </c>
      <c r="B436" s="889"/>
      <c r="C436" s="912" t="s">
        <v>399</v>
      </c>
      <c r="D436" s="890" t="s">
        <v>400</v>
      </c>
      <c r="E436" s="912" t="s">
        <v>1698</v>
      </c>
      <c r="F436" s="912"/>
      <c r="G436" s="913" t="s">
        <v>17</v>
      </c>
    </row>
    <row r="437" spans="1:7" x14ac:dyDescent="0.25">
      <c r="A437" s="888" t="str">
        <f t="shared" ca="1" si="13"/>
        <v>rouge</v>
      </c>
      <c r="B437" s="889"/>
      <c r="C437" s="912" t="s">
        <v>401</v>
      </c>
      <c r="D437" s="890" t="s">
        <v>402</v>
      </c>
      <c r="E437" s="912" t="s">
        <v>1699</v>
      </c>
      <c r="F437" s="912"/>
      <c r="G437" s="913" t="s">
        <v>17</v>
      </c>
    </row>
    <row r="438" spans="1:7" x14ac:dyDescent="0.25">
      <c r="A438" s="888" t="str">
        <f t="shared" ca="1" si="13"/>
        <v>jaune</v>
      </c>
      <c r="B438" s="889"/>
      <c r="C438" s="912" t="s">
        <v>403</v>
      </c>
      <c r="D438" s="890" t="s">
        <v>404</v>
      </c>
      <c r="E438" s="912" t="s">
        <v>1700</v>
      </c>
      <c r="F438" s="912"/>
      <c r="G438" s="913" t="s">
        <v>17</v>
      </c>
    </row>
    <row r="439" spans="1:7" x14ac:dyDescent="0.25">
      <c r="A439" s="888" t="str">
        <f t="shared" ca="1" si="13"/>
        <v>Objectifs Innovation</v>
      </c>
      <c r="B439" s="889"/>
      <c r="C439" s="914" t="s">
        <v>1008</v>
      </c>
      <c r="D439" s="914" t="s">
        <v>1009</v>
      </c>
      <c r="E439" s="912" t="s">
        <v>1701</v>
      </c>
      <c r="F439" s="912"/>
      <c r="G439" s="913" t="s">
        <v>17</v>
      </c>
    </row>
    <row r="440" spans="1:7" x14ac:dyDescent="0.25">
      <c r="A440" s="888" t="str">
        <f t="shared" ca="1" si="13"/>
        <v>Indicateurs</v>
      </c>
      <c r="B440" s="889"/>
      <c r="C440" s="890" t="s">
        <v>405</v>
      </c>
      <c r="D440" s="890" t="s">
        <v>406</v>
      </c>
      <c r="E440" s="912" t="s">
        <v>1702</v>
      </c>
      <c r="F440" s="912"/>
      <c r="G440" s="913" t="s">
        <v>17</v>
      </c>
    </row>
    <row r="441" spans="1:7" x14ac:dyDescent="0.25">
      <c r="A441" s="888" t="str">
        <f t="shared" ca="1" si="13"/>
        <v>Projets</v>
      </c>
      <c r="B441" s="889"/>
      <c r="C441" s="912" t="s">
        <v>407</v>
      </c>
      <c r="D441" s="890" t="s">
        <v>408</v>
      </c>
      <c r="E441" s="912" t="s">
        <v>1703</v>
      </c>
      <c r="F441" s="912"/>
      <c r="G441" s="913" t="s">
        <v>17</v>
      </c>
    </row>
    <row r="442" spans="1:7" x14ac:dyDescent="0.25">
      <c r="A442" s="888" t="str">
        <f t="shared" ca="1" si="13"/>
        <v>Lien vers projet</v>
      </c>
      <c r="B442" s="889"/>
      <c r="C442" s="912" t="s">
        <v>409</v>
      </c>
      <c r="D442" s="890" t="s">
        <v>410</v>
      </c>
      <c r="E442" s="912" t="s">
        <v>1704</v>
      </c>
      <c r="F442" s="912"/>
      <c r="G442" s="913" t="s">
        <v>17</v>
      </c>
    </row>
    <row r="443" spans="1:7" x14ac:dyDescent="0.25">
      <c r="A443" s="888" t="str">
        <f t="shared" ca="1" si="13"/>
        <v>Début</v>
      </c>
      <c r="B443" s="889"/>
      <c r="C443" s="890" t="s">
        <v>411</v>
      </c>
      <c r="D443" s="890" t="s">
        <v>412</v>
      </c>
      <c r="E443" s="912" t="s">
        <v>1667</v>
      </c>
      <c r="F443" s="912"/>
      <c r="G443" s="913" t="s">
        <v>17</v>
      </c>
    </row>
    <row r="444" spans="1:7" x14ac:dyDescent="0.25">
      <c r="A444" s="888" t="str">
        <f t="shared" ref="A444:A475" ca="1" si="14">OFFSET($C444,0,$Z$5-1)</f>
        <v>Fin</v>
      </c>
      <c r="B444" s="889"/>
      <c r="C444" s="890" t="s">
        <v>413</v>
      </c>
      <c r="D444" s="890" t="s">
        <v>414</v>
      </c>
      <c r="E444" s="912" t="s">
        <v>1668</v>
      </c>
      <c r="F444" s="912"/>
      <c r="G444" s="913" t="s">
        <v>17</v>
      </c>
    </row>
    <row r="445" spans="1:7" x14ac:dyDescent="0.25">
      <c r="A445" s="916" t="str">
        <f t="shared" ca="1" si="14"/>
        <v>Qui?</v>
      </c>
      <c r="B445" s="889"/>
      <c r="C445" s="929" t="s">
        <v>415</v>
      </c>
      <c r="D445" s="929" t="s">
        <v>416</v>
      </c>
      <c r="E445" s="918" t="s">
        <v>1705</v>
      </c>
      <c r="F445" s="918"/>
      <c r="G445" s="919" t="s">
        <v>17</v>
      </c>
    </row>
    <row r="446" spans="1:7" x14ac:dyDescent="0.25">
      <c r="A446" s="902" t="str">
        <f t="shared" ca="1" si="14"/>
        <v>I N D I C A T E U R S   S T R A T É G I Q U E</v>
      </c>
      <c r="B446" s="921"/>
      <c r="C446" s="902" t="s">
        <v>417</v>
      </c>
      <c r="D446" s="902" t="s">
        <v>418</v>
      </c>
      <c r="E446" s="902" t="s">
        <v>1710</v>
      </c>
      <c r="F446" s="902"/>
      <c r="G446" s="904" t="s">
        <v>17</v>
      </c>
    </row>
    <row r="447" spans="1:7" x14ac:dyDescent="0.25">
      <c r="A447" s="906" t="str">
        <f t="shared" ca="1" si="14"/>
        <v>Calcul</v>
      </c>
      <c r="B447" s="889"/>
      <c r="C447" s="934" t="s">
        <v>419</v>
      </c>
      <c r="D447" s="935" t="s">
        <v>420</v>
      </c>
      <c r="E447" s="909" t="s">
        <v>1706</v>
      </c>
      <c r="F447" s="909"/>
      <c r="G447" s="910" t="s">
        <v>17</v>
      </c>
    </row>
    <row r="448" spans="1:7" x14ac:dyDescent="0.25">
      <c r="A448" s="888" t="str">
        <f t="shared" ca="1" si="14"/>
        <v>Description/Remarques</v>
      </c>
      <c r="B448" s="889"/>
      <c r="C448" s="936" t="s">
        <v>421</v>
      </c>
      <c r="D448" s="937" t="s">
        <v>422</v>
      </c>
      <c r="E448" s="912" t="s">
        <v>1707</v>
      </c>
      <c r="F448" s="912"/>
      <c r="G448" s="913" t="s">
        <v>17</v>
      </c>
    </row>
    <row r="449" spans="1:10" x14ac:dyDescent="0.25">
      <c r="A449" s="888" t="str">
        <f t="shared" ca="1" si="14"/>
        <v>Source</v>
      </c>
      <c r="B449" s="889"/>
      <c r="C449" s="936" t="s">
        <v>137</v>
      </c>
      <c r="D449" s="937" t="s">
        <v>138</v>
      </c>
      <c r="E449" s="912" t="s">
        <v>138</v>
      </c>
      <c r="F449" s="912"/>
      <c r="G449" s="913" t="s">
        <v>17</v>
      </c>
    </row>
    <row r="450" spans="1:10" x14ac:dyDescent="0.25">
      <c r="A450" s="888" t="str">
        <f t="shared" ca="1" si="14"/>
        <v>Moment de l'enquête &amp; Comparaison avec la branche</v>
      </c>
      <c r="B450" s="889"/>
      <c r="C450" s="938" t="s">
        <v>423</v>
      </c>
      <c r="D450" s="938" t="s">
        <v>424</v>
      </c>
      <c r="E450" s="912" t="s">
        <v>1708</v>
      </c>
      <c r="F450" s="912"/>
      <c r="G450" s="913" t="s">
        <v>17</v>
      </c>
    </row>
    <row r="451" spans="1:10" x14ac:dyDescent="0.25">
      <c r="A451" s="916" t="str">
        <f t="shared" ca="1" si="14"/>
        <v>I N D I C A T E U R S   O B J E C T I F S</v>
      </c>
      <c r="B451" s="889"/>
      <c r="C451" s="939" t="s">
        <v>425</v>
      </c>
      <c r="D451" s="940" t="s">
        <v>426</v>
      </c>
      <c r="E451" s="918" t="s">
        <v>1709</v>
      </c>
      <c r="F451" s="918"/>
      <c r="G451" s="919" t="s">
        <v>17</v>
      </c>
    </row>
    <row r="452" spans="1:10" x14ac:dyDescent="0.25">
      <c r="A452" s="902" t="str">
        <f t="shared" ca="1" si="14"/>
        <v>T A B L E A U   D E   B O R D   I N N O V A T I O N</v>
      </c>
      <c r="B452" s="921"/>
      <c r="C452" s="902" t="s">
        <v>1010</v>
      </c>
      <c r="D452" s="902" t="s">
        <v>1071</v>
      </c>
      <c r="E452" s="902" t="s">
        <v>1712</v>
      </c>
      <c r="F452" s="902"/>
      <c r="G452" s="904" t="s">
        <v>17</v>
      </c>
    </row>
    <row r="453" spans="1:10" x14ac:dyDescent="0.25">
      <c r="A453" s="941">
        <f t="shared" ca="1" si="14"/>
        <v>0</v>
      </c>
      <c r="B453" s="889"/>
      <c r="C453" s="955"/>
      <c r="D453" s="955"/>
      <c r="E453" s="955"/>
      <c r="F453" s="955"/>
      <c r="G453" s="944" t="s">
        <v>17</v>
      </c>
    </row>
    <row r="454" spans="1:10" s="905" customFormat="1" x14ac:dyDescent="0.25">
      <c r="A454" s="900" t="str">
        <f t="shared" ca="1" si="14"/>
        <v>A N A L Y S E   D E S   P A R T I E S   P R E N A N T E S</v>
      </c>
      <c r="B454" s="901"/>
      <c r="C454" s="902" t="s">
        <v>867</v>
      </c>
      <c r="D454" s="902" t="s">
        <v>868</v>
      </c>
      <c r="E454" s="902" t="s">
        <v>1713</v>
      </c>
      <c r="F454" s="902" t="s">
        <v>1714</v>
      </c>
      <c r="G454" s="904" t="s">
        <v>17</v>
      </c>
      <c r="I454" s="892"/>
      <c r="J454" s="883"/>
    </row>
    <row r="455" spans="1:10" x14ac:dyDescent="0.25">
      <c r="A455" s="906" t="str">
        <f t="shared" ca="1" si="14"/>
        <v>Contexte large</v>
      </c>
      <c r="B455" s="889"/>
      <c r="C455" s="956" t="s">
        <v>869</v>
      </c>
      <c r="D455" s="908" t="s">
        <v>870</v>
      </c>
      <c r="E455" s="928" t="s">
        <v>1715</v>
      </c>
      <c r="F455" s="928" t="s">
        <v>1716</v>
      </c>
      <c r="G455" s="957" t="s">
        <v>17</v>
      </c>
    </row>
    <row r="456" spans="1:10" x14ac:dyDescent="0.25">
      <c r="A456" s="888" t="str">
        <f t="shared" ca="1" si="14"/>
        <v>Contexte restreint</v>
      </c>
      <c r="B456" s="889"/>
      <c r="C456" s="912" t="s">
        <v>871</v>
      </c>
      <c r="D456" s="890" t="s">
        <v>872</v>
      </c>
      <c r="E456" s="925" t="s">
        <v>1717</v>
      </c>
      <c r="F456" s="925" t="s">
        <v>1718</v>
      </c>
      <c r="G456" s="958" t="s">
        <v>17</v>
      </c>
    </row>
    <row r="457" spans="1:10" x14ac:dyDescent="0.25">
      <c r="A457" s="888" t="str">
        <f t="shared" ca="1" si="14"/>
        <v>interne</v>
      </c>
      <c r="B457" s="889"/>
      <c r="C457" s="912" t="s">
        <v>18</v>
      </c>
      <c r="D457" s="890" t="s">
        <v>19</v>
      </c>
      <c r="E457" s="925" t="s">
        <v>1624</v>
      </c>
      <c r="F457" s="925" t="s">
        <v>1640</v>
      </c>
      <c r="G457" s="958" t="s">
        <v>17</v>
      </c>
    </row>
    <row r="458" spans="1:10" x14ac:dyDescent="0.25">
      <c r="A458" s="888" t="str">
        <f t="shared" ca="1" si="14"/>
        <v>Nous</v>
      </c>
      <c r="B458" s="889"/>
      <c r="C458" s="890" t="s">
        <v>35</v>
      </c>
      <c r="D458" s="890" t="s">
        <v>36</v>
      </c>
      <c r="E458" s="923" t="s">
        <v>1459</v>
      </c>
      <c r="F458" s="923" t="s">
        <v>1460</v>
      </c>
      <c r="G458" s="958" t="s">
        <v>17</v>
      </c>
    </row>
    <row r="459" spans="1:10" x14ac:dyDescent="0.25">
      <c r="A459" s="888" t="str">
        <f t="shared" ca="1" si="14"/>
        <v>contacts fréquents</v>
      </c>
      <c r="B459" s="889"/>
      <c r="C459" s="912" t="s">
        <v>873</v>
      </c>
      <c r="D459" s="890" t="s">
        <v>874</v>
      </c>
      <c r="E459" s="925" t="s">
        <v>1719</v>
      </c>
      <c r="F459" s="925" t="s">
        <v>1720</v>
      </c>
      <c r="G459" s="958" t="s">
        <v>17</v>
      </c>
    </row>
    <row r="460" spans="1:10" x14ac:dyDescent="0.25">
      <c r="A460" s="888" t="str">
        <f t="shared" ca="1" si="14"/>
        <v>contacts réguliers</v>
      </c>
      <c r="B460" s="889"/>
      <c r="C460" s="912" t="s">
        <v>875</v>
      </c>
      <c r="D460" s="890" t="s">
        <v>876</v>
      </c>
      <c r="E460" s="925" t="s">
        <v>1721</v>
      </c>
      <c r="F460" s="925" t="s">
        <v>1722</v>
      </c>
      <c r="G460" s="958" t="s">
        <v>17</v>
      </c>
    </row>
    <row r="461" spans="1:10" x14ac:dyDescent="0.25">
      <c r="A461" s="888" t="str">
        <f t="shared" ca="1" si="14"/>
        <v>contacts rares</v>
      </c>
      <c r="B461" s="889"/>
      <c r="C461" s="912" t="s">
        <v>877</v>
      </c>
      <c r="D461" s="912" t="s">
        <v>878</v>
      </c>
      <c r="E461" s="925" t="s">
        <v>1723</v>
      </c>
      <c r="F461" s="925" t="s">
        <v>1724</v>
      </c>
      <c r="G461" s="958" t="s">
        <v>17</v>
      </c>
    </row>
    <row r="462" spans="1:10" x14ac:dyDescent="0.25">
      <c r="A462" s="888" t="str">
        <f t="shared" ca="1" si="14"/>
        <v>grande</v>
      </c>
      <c r="B462" s="889"/>
      <c r="C462" s="890" t="s">
        <v>37</v>
      </c>
      <c r="D462" s="890" t="s">
        <v>879</v>
      </c>
      <c r="E462" s="923" t="s">
        <v>1433</v>
      </c>
      <c r="F462" s="923" t="s">
        <v>1725</v>
      </c>
      <c r="G462" s="958" t="s">
        <v>17</v>
      </c>
    </row>
    <row r="463" spans="1:10" x14ac:dyDescent="0.25">
      <c r="A463" s="888" t="str">
        <f t="shared" ca="1" si="14"/>
        <v>grand</v>
      </c>
      <c r="B463" s="889"/>
      <c r="C463" s="890" t="s">
        <v>880</v>
      </c>
      <c r="D463" s="890" t="s">
        <v>881</v>
      </c>
      <c r="E463" s="923" t="s">
        <v>1726</v>
      </c>
      <c r="F463" s="923" t="s">
        <v>879</v>
      </c>
      <c r="G463" s="958" t="s">
        <v>17</v>
      </c>
    </row>
    <row r="464" spans="1:10" x14ac:dyDescent="0.25">
      <c r="A464" s="888" t="str">
        <f t="shared" ca="1" si="14"/>
        <v>Influence des parties prenantes</v>
      </c>
      <c r="B464" s="889"/>
      <c r="C464" s="890" t="s">
        <v>882</v>
      </c>
      <c r="D464" s="890" t="s">
        <v>883</v>
      </c>
      <c r="E464" s="923" t="s">
        <v>1727</v>
      </c>
      <c r="F464" s="923" t="s">
        <v>1728</v>
      </c>
      <c r="G464" s="958" t="s">
        <v>17</v>
      </c>
    </row>
    <row r="465" spans="1:10" x14ac:dyDescent="0.25">
      <c r="A465" s="888" t="str">
        <f t="shared" ca="1" si="14"/>
        <v>petite</v>
      </c>
      <c r="B465" s="889"/>
      <c r="C465" s="890" t="s">
        <v>38</v>
      </c>
      <c r="D465" s="890" t="s">
        <v>884</v>
      </c>
      <c r="E465" s="923" t="s">
        <v>1437</v>
      </c>
      <c r="F465" s="923" t="s">
        <v>1729</v>
      </c>
      <c r="G465" s="958" t="s">
        <v>17</v>
      </c>
    </row>
    <row r="466" spans="1:10" x14ac:dyDescent="0.25">
      <c r="A466" s="888" t="str">
        <f t="shared" ca="1" si="14"/>
        <v>petit</v>
      </c>
      <c r="B466" s="889"/>
      <c r="C466" s="890" t="s">
        <v>885</v>
      </c>
      <c r="D466" s="890" t="s">
        <v>886</v>
      </c>
      <c r="E466" s="923" t="s">
        <v>1730</v>
      </c>
      <c r="F466" s="923" t="s">
        <v>1731</v>
      </c>
      <c r="G466" s="958" t="s">
        <v>17</v>
      </c>
    </row>
    <row r="467" spans="1:10" x14ac:dyDescent="0.25">
      <c r="A467" s="888" t="str">
        <f t="shared" ca="1" si="14"/>
        <v>Intérêt des parties prenantes</v>
      </c>
      <c r="B467" s="889"/>
      <c r="C467" s="890" t="s">
        <v>887</v>
      </c>
      <c r="D467" s="890" t="s">
        <v>888</v>
      </c>
      <c r="E467" s="923" t="s">
        <v>1732</v>
      </c>
      <c r="F467" s="923" t="s">
        <v>1733</v>
      </c>
      <c r="G467" s="958" t="s">
        <v>17</v>
      </c>
    </row>
    <row r="468" spans="1:10" x14ac:dyDescent="0.25">
      <c r="A468" s="888" t="str">
        <f t="shared" ca="1" si="14"/>
        <v>No.</v>
      </c>
      <c r="B468" s="889"/>
      <c r="C468" s="890" t="s">
        <v>39</v>
      </c>
      <c r="D468" s="890" t="s">
        <v>40</v>
      </c>
      <c r="E468" s="923" t="s">
        <v>40</v>
      </c>
      <c r="F468" s="923" t="s">
        <v>1359</v>
      </c>
      <c r="G468" s="958" t="s">
        <v>17</v>
      </c>
    </row>
    <row r="469" spans="1:10" x14ac:dyDescent="0.25">
      <c r="A469" s="888" t="str">
        <f t="shared" ca="1" si="14"/>
        <v>Groupe de parties prenantes</v>
      </c>
      <c r="B469" s="889"/>
      <c r="C469" s="890" t="s">
        <v>889</v>
      </c>
      <c r="D469" s="890" t="s">
        <v>890</v>
      </c>
      <c r="E469" s="923" t="s">
        <v>1734</v>
      </c>
      <c r="F469" s="923" t="s">
        <v>1735</v>
      </c>
      <c r="G469" s="958" t="s">
        <v>17</v>
      </c>
    </row>
    <row r="470" spans="1:10" x14ac:dyDescent="0.25">
      <c r="A470" s="888" t="str">
        <f t="shared" ca="1" si="14"/>
        <v>Intérêt, attentes</v>
      </c>
      <c r="B470" s="889"/>
      <c r="C470" s="890" t="s">
        <v>891</v>
      </c>
      <c r="D470" s="890" t="s">
        <v>892</v>
      </c>
      <c r="E470" s="923" t="s">
        <v>1736</v>
      </c>
      <c r="F470" s="923" t="s">
        <v>1737</v>
      </c>
      <c r="G470" s="958" t="s">
        <v>17</v>
      </c>
    </row>
    <row r="471" spans="1:10" x14ac:dyDescent="0.25">
      <c r="A471" s="888" t="str">
        <f t="shared" ca="1" si="14"/>
        <v>Etendue de l'intérêt</v>
      </c>
      <c r="B471" s="889"/>
      <c r="C471" s="890" t="s">
        <v>893</v>
      </c>
      <c r="D471" s="890" t="s">
        <v>894</v>
      </c>
      <c r="E471" s="923" t="s">
        <v>1738</v>
      </c>
      <c r="F471" s="923" t="s">
        <v>1739</v>
      </c>
      <c r="G471" s="958" t="s">
        <v>17</v>
      </c>
    </row>
    <row r="472" spans="1:10" x14ac:dyDescent="0.25">
      <c r="A472" s="888" t="str">
        <f t="shared" ca="1" si="14"/>
        <v>Etendue de l'influence</v>
      </c>
      <c r="B472" s="889"/>
      <c r="C472" s="890" t="s">
        <v>895</v>
      </c>
      <c r="D472" s="890" t="s">
        <v>896</v>
      </c>
      <c r="E472" s="923" t="s">
        <v>1740</v>
      </c>
      <c r="F472" s="923" t="s">
        <v>1741</v>
      </c>
      <c r="G472" s="958" t="s">
        <v>17</v>
      </c>
    </row>
    <row r="473" spans="1:10" ht="28.8" x14ac:dyDescent="0.25">
      <c r="A473" s="888" t="str">
        <f t="shared" ca="1" si="14"/>
        <v>Chances (+) et 
Dangers (-)</v>
      </c>
      <c r="B473" s="889"/>
      <c r="C473" s="890" t="s">
        <v>897</v>
      </c>
      <c r="D473" s="890" t="s">
        <v>898</v>
      </c>
      <c r="E473" s="923" t="s">
        <v>1742</v>
      </c>
      <c r="F473" s="923" t="s">
        <v>1743</v>
      </c>
      <c r="G473" s="958" t="s">
        <v>17</v>
      </c>
    </row>
    <row r="474" spans="1:10" x14ac:dyDescent="0.25">
      <c r="A474" s="888" t="str">
        <f t="shared" ca="1" si="14"/>
        <v>Innovations possibles</v>
      </c>
      <c r="B474" s="889"/>
      <c r="C474" s="890" t="s">
        <v>931</v>
      </c>
      <c r="D474" s="890" t="s">
        <v>932</v>
      </c>
      <c r="E474" s="923" t="s">
        <v>1452</v>
      </c>
      <c r="F474" s="923" t="s">
        <v>1453</v>
      </c>
      <c r="G474" s="958" t="s">
        <v>17</v>
      </c>
    </row>
    <row r="475" spans="1:10" x14ac:dyDescent="0.25">
      <c r="A475" s="888" t="str">
        <f t="shared" ca="1" si="14"/>
        <v>Statut</v>
      </c>
      <c r="B475" s="889"/>
      <c r="C475" s="890" t="s">
        <v>44</v>
      </c>
      <c r="D475" s="890" t="s">
        <v>45</v>
      </c>
      <c r="E475" s="923" t="s">
        <v>44</v>
      </c>
      <c r="F475" s="923" t="s">
        <v>1454</v>
      </c>
      <c r="G475" s="958" t="s">
        <v>17</v>
      </c>
    </row>
    <row r="476" spans="1:10" x14ac:dyDescent="0.25">
      <c r="A476" s="888" t="str">
        <f t="shared" ref="A476:A507" ca="1" si="15">OFFSET($C476,0,$Z$5-1)</f>
        <v>Taille du groupe</v>
      </c>
      <c r="B476" s="889"/>
      <c r="C476" s="890" t="s">
        <v>899</v>
      </c>
      <c r="D476" s="890" t="s">
        <v>900</v>
      </c>
      <c r="E476" s="923" t="s">
        <v>1744</v>
      </c>
      <c r="F476" s="923" t="s">
        <v>1745</v>
      </c>
      <c r="G476" s="958" t="s">
        <v>17</v>
      </c>
    </row>
    <row r="477" spans="1:10" ht="26.4" x14ac:dyDescent="0.25">
      <c r="A477" s="959" t="str">
        <f t="shared" ca="1" si="15"/>
        <v>A N A L Y S E   D E S   P A R T I E S   P R E N A N T E S</v>
      </c>
      <c r="B477" s="960"/>
      <c r="C477" s="930" t="s">
        <v>867</v>
      </c>
      <c r="D477" s="930" t="s">
        <v>868</v>
      </c>
      <c r="E477" s="930" t="s">
        <v>1713</v>
      </c>
      <c r="F477" s="930" t="s">
        <v>1746</v>
      </c>
    </row>
    <row r="478" spans="1:10" s="905" customFormat="1" x14ac:dyDescent="0.25">
      <c r="A478" s="900" t="str">
        <f t="shared" ca="1" si="15"/>
        <v>T H E   B U S I N E S S   M O D E L   C A N V A S</v>
      </c>
      <c r="B478" s="901"/>
      <c r="C478" s="902" t="s">
        <v>1090</v>
      </c>
      <c r="D478" s="902" t="s">
        <v>1091</v>
      </c>
      <c r="E478" s="902" t="s">
        <v>1092</v>
      </c>
      <c r="F478" s="902" t="s">
        <v>1092</v>
      </c>
      <c r="G478" s="904" t="s">
        <v>17</v>
      </c>
      <c r="J478" s="883"/>
    </row>
    <row r="479" spans="1:10" x14ac:dyDescent="0.25">
      <c r="A479" s="906" t="str">
        <f t="shared" ca="1" si="15"/>
        <v>Conçu pour:</v>
      </c>
      <c r="B479" s="889"/>
      <c r="C479" s="909" t="s">
        <v>1093</v>
      </c>
      <c r="D479" s="909" t="s">
        <v>1094</v>
      </c>
      <c r="E479" s="928" t="s">
        <v>1747</v>
      </c>
      <c r="F479" s="928" t="s">
        <v>1095</v>
      </c>
      <c r="G479" s="957" t="s">
        <v>17</v>
      </c>
      <c r="I479" s="891"/>
    </row>
    <row r="480" spans="1:10" x14ac:dyDescent="0.25">
      <c r="A480" s="888" t="str">
        <f t="shared" ca="1" si="15"/>
        <v>Conçu par:</v>
      </c>
      <c r="B480" s="889"/>
      <c r="C480" s="890" t="s">
        <v>1096</v>
      </c>
      <c r="D480" s="912" t="s">
        <v>1097</v>
      </c>
      <c r="E480" s="923" t="s">
        <v>1748</v>
      </c>
      <c r="F480" s="923" t="s">
        <v>1098</v>
      </c>
      <c r="G480" s="958" t="s">
        <v>17</v>
      </c>
      <c r="I480" s="891"/>
    </row>
    <row r="481" spans="1:9" x14ac:dyDescent="0.25">
      <c r="A481" s="888" t="str">
        <f t="shared" ca="1" si="15"/>
        <v>Mis à jour le :</v>
      </c>
      <c r="B481" s="889"/>
      <c r="C481" s="912" t="s">
        <v>1099</v>
      </c>
      <c r="D481" s="890" t="s">
        <v>1100</v>
      </c>
      <c r="E481" s="925" t="s">
        <v>1657</v>
      </c>
      <c r="F481" s="925" t="s">
        <v>1101</v>
      </c>
      <c r="G481" s="958" t="s">
        <v>17</v>
      </c>
      <c r="I481" s="891"/>
    </row>
    <row r="482" spans="1:9" x14ac:dyDescent="0.25">
      <c r="A482" s="888" t="str">
        <f t="shared" ca="1" si="15"/>
        <v>Qu’offrez vous aux clients ?</v>
      </c>
      <c r="B482" s="889"/>
      <c r="C482" s="912" t="s">
        <v>1102</v>
      </c>
      <c r="D482" s="912" t="s">
        <v>1103</v>
      </c>
      <c r="E482" s="925" t="s">
        <v>1749</v>
      </c>
      <c r="F482" s="925" t="s">
        <v>1104</v>
      </c>
      <c r="G482" s="958" t="s">
        <v>17</v>
      </c>
      <c r="I482" s="891"/>
    </row>
    <row r="483" spans="1:9" x14ac:dyDescent="0.25">
      <c r="A483" s="888" t="str">
        <f t="shared" ca="1" si="15"/>
        <v>Quels sont les produits qu’ils désirent véritablement ?</v>
      </c>
      <c r="B483" s="889"/>
      <c r="C483" s="912" t="s">
        <v>1105</v>
      </c>
      <c r="D483" s="890" t="s">
        <v>1106</v>
      </c>
      <c r="E483" s="925" t="s">
        <v>1750</v>
      </c>
      <c r="F483" s="925" t="s">
        <v>1107</v>
      </c>
      <c r="G483" s="958" t="s">
        <v>17</v>
      </c>
      <c r="I483" s="891"/>
    </row>
    <row r="484" spans="1:9" x14ac:dyDescent="0.25">
      <c r="A484" s="888" t="str">
        <f t="shared" ca="1" si="15"/>
        <v>Sont-ils intéressés ?</v>
      </c>
      <c r="B484" s="889"/>
      <c r="C484" s="912" t="s">
        <v>1108</v>
      </c>
      <c r="D484" s="912" t="s">
        <v>1109</v>
      </c>
      <c r="E484" s="925" t="s">
        <v>1751</v>
      </c>
      <c r="F484" s="925" t="s">
        <v>1110</v>
      </c>
      <c r="G484" s="958" t="s">
        <v>17</v>
      </c>
      <c r="I484" s="891"/>
    </row>
    <row r="485" spans="1:9" ht="43.2" x14ac:dyDescent="0.25">
      <c r="A485" s="888" t="str">
        <f t="shared" ca="1" si="15"/>
        <v>Quelles sont les relations que vous souhaitez entretenir avec les différents segments de clients ? Relations personnelles ? Virtuelles ? Réservées ? etc.</v>
      </c>
      <c r="B485" s="889"/>
      <c r="C485" s="890" t="s">
        <v>1111</v>
      </c>
      <c r="D485" s="890" t="s">
        <v>1112</v>
      </c>
      <c r="E485" s="923" t="s">
        <v>1752</v>
      </c>
      <c r="F485" s="923" t="s">
        <v>1113</v>
      </c>
      <c r="G485" s="958" t="s">
        <v>17</v>
      </c>
      <c r="I485" s="891"/>
    </row>
    <row r="486" spans="1:9" x14ac:dyDescent="0.25">
      <c r="A486" s="888">
        <f t="shared" ca="1" si="15"/>
        <v>0</v>
      </c>
      <c r="B486" s="889"/>
      <c r="C486" s="890"/>
      <c r="D486" s="890"/>
      <c r="E486" s="923" t="s">
        <v>1114</v>
      </c>
      <c r="F486" s="923" t="s">
        <v>1114</v>
      </c>
      <c r="G486" s="958" t="s">
        <v>17</v>
      </c>
      <c r="I486" s="891"/>
    </row>
    <row r="487" spans="1:9" x14ac:dyDescent="0.25">
      <c r="A487" s="888">
        <f t="shared" ca="1" si="15"/>
        <v>0</v>
      </c>
      <c r="B487" s="889"/>
      <c r="C487" s="912"/>
      <c r="D487" s="912"/>
      <c r="E487" s="925" t="s">
        <v>1114</v>
      </c>
      <c r="F487" s="925" t="s">
        <v>1114</v>
      </c>
      <c r="G487" s="958" t="s">
        <v>17</v>
      </c>
      <c r="I487" s="891"/>
    </row>
    <row r="488" spans="1:9" x14ac:dyDescent="0.25">
      <c r="A488" s="888" t="str">
        <f t="shared" ca="1" si="15"/>
        <v>Comment atteindre le client ?</v>
      </c>
      <c r="B488" s="889"/>
      <c r="C488" s="912" t="s">
        <v>1115</v>
      </c>
      <c r="D488" s="890" t="s">
        <v>1116</v>
      </c>
      <c r="E488" s="923" t="s">
        <v>1753</v>
      </c>
      <c r="F488" s="925" t="s">
        <v>1117</v>
      </c>
      <c r="G488" s="958" t="s">
        <v>17</v>
      </c>
      <c r="I488" s="891"/>
    </row>
    <row r="489" spans="1:9" x14ac:dyDescent="0.25">
      <c r="A489" s="888" t="str">
        <f t="shared" ca="1" si="15"/>
        <v>Qui sont nos clients ?</v>
      </c>
      <c r="B489" s="889"/>
      <c r="C489" s="912" t="s">
        <v>1118</v>
      </c>
      <c r="D489" s="912" t="s">
        <v>1119</v>
      </c>
      <c r="E489" s="925" t="s">
        <v>1754</v>
      </c>
      <c r="F489" s="925" t="s">
        <v>1120</v>
      </c>
      <c r="G489" s="958" t="s">
        <v>17</v>
      </c>
      <c r="I489" s="891"/>
    </row>
    <row r="490" spans="1:9" x14ac:dyDescent="0.25">
      <c r="A490" s="888" t="str">
        <f t="shared" ca="1" si="15"/>
        <v>Quels sont leurs besoins ?</v>
      </c>
      <c r="B490" s="889"/>
      <c r="C490" s="912" t="s">
        <v>1121</v>
      </c>
      <c r="D490" s="912" t="s">
        <v>1122</v>
      </c>
      <c r="E490" s="925" t="s">
        <v>1755</v>
      </c>
      <c r="F490" s="925" t="s">
        <v>1123</v>
      </c>
      <c r="G490" s="958" t="s">
        <v>17</v>
      </c>
      <c r="I490" s="891"/>
    </row>
    <row r="491" spans="1:9" ht="43.2" x14ac:dyDescent="0.25">
      <c r="A491" s="888" t="str">
        <f t="shared" ca="1" si="15"/>
        <v>Quel montant le client est-il d’accord de payer ? Comment le client veut-il payer ? Comment générer des rentrées ?</v>
      </c>
      <c r="B491" s="889"/>
      <c r="C491" s="912" t="s">
        <v>1124</v>
      </c>
      <c r="D491" s="912" t="s">
        <v>1125</v>
      </c>
      <c r="E491" s="925" t="s">
        <v>1756</v>
      </c>
      <c r="F491" s="925" t="s">
        <v>1126</v>
      </c>
      <c r="G491" s="958" t="s">
        <v>17</v>
      </c>
      <c r="I491" s="891"/>
    </row>
    <row r="492" spans="1:9" x14ac:dyDescent="0.25">
      <c r="A492" s="888" t="str">
        <f t="shared" ca="1" si="15"/>
        <v xml:space="preserve">Comment les clients souhaitent-ils être fournis ? </v>
      </c>
      <c r="B492" s="889"/>
      <c r="C492" s="912" t="s">
        <v>1127</v>
      </c>
      <c r="D492" s="890" t="s">
        <v>1128</v>
      </c>
      <c r="E492" s="925" t="s">
        <v>1757</v>
      </c>
      <c r="F492" s="925" t="s">
        <v>1129</v>
      </c>
      <c r="G492" s="958" t="s">
        <v>17</v>
      </c>
      <c r="I492" s="891"/>
    </row>
    <row r="493" spans="1:9" x14ac:dyDescent="0.25">
      <c r="A493" s="888" t="str">
        <f t="shared" ca="1" si="15"/>
        <v>Quels sont les canaux de distribution ?</v>
      </c>
      <c r="B493" s="889"/>
      <c r="C493" s="912" t="s">
        <v>1130</v>
      </c>
      <c r="D493" s="912" t="s">
        <v>1131</v>
      </c>
      <c r="E493" s="925" t="s">
        <v>1758</v>
      </c>
      <c r="F493" s="925" t="s">
        <v>1132</v>
      </c>
      <c r="G493" s="958" t="s">
        <v>17</v>
      </c>
      <c r="I493" s="891"/>
    </row>
    <row r="494" spans="1:9" x14ac:dyDescent="0.25">
      <c r="A494" s="888" t="str">
        <f t="shared" ca="1" si="15"/>
        <v>Quelles sont les compétences clés indispensables?</v>
      </c>
      <c r="B494" s="889"/>
      <c r="C494" s="912" t="s">
        <v>1133</v>
      </c>
      <c r="D494" s="912" t="s">
        <v>1134</v>
      </c>
      <c r="E494" s="925" t="s">
        <v>1759</v>
      </c>
      <c r="F494" s="925" t="s">
        <v>1135</v>
      </c>
      <c r="G494" s="958" t="s">
        <v>17</v>
      </c>
      <c r="I494" s="891"/>
    </row>
    <row r="495" spans="1:9" x14ac:dyDescent="0.25">
      <c r="A495" s="888" t="str">
        <f t="shared" ca="1" si="15"/>
        <v>Quelles sont les ressources indispensables?</v>
      </c>
      <c r="B495" s="889"/>
      <c r="C495" s="912" t="s">
        <v>1136</v>
      </c>
      <c r="D495" s="912" t="s">
        <v>1137</v>
      </c>
      <c r="E495" s="925" t="s">
        <v>1760</v>
      </c>
      <c r="F495" s="925" t="s">
        <v>1138</v>
      </c>
      <c r="G495" s="958" t="s">
        <v>17</v>
      </c>
      <c r="I495" s="891"/>
    </row>
    <row r="496" spans="1:9" x14ac:dyDescent="0.25">
      <c r="A496" s="888" t="str">
        <f t="shared" ca="1" si="15"/>
        <v>Quels sont mes « atouts » ?</v>
      </c>
      <c r="B496" s="889"/>
      <c r="C496" s="912" t="s">
        <v>1139</v>
      </c>
      <c r="D496" s="912" t="s">
        <v>1140</v>
      </c>
      <c r="E496" s="925" t="s">
        <v>1761</v>
      </c>
      <c r="F496" s="925" t="s">
        <v>1141</v>
      </c>
      <c r="G496" s="958" t="s">
        <v>17</v>
      </c>
      <c r="I496" s="891"/>
    </row>
    <row r="497" spans="1:10" ht="28.8" x14ac:dyDescent="0.25">
      <c r="A497" s="888" t="str">
        <f t="shared" ca="1" si="15"/>
        <v xml:space="preserve">Quels sont les partenaires et les fournisseurs qui m’apportent une plus-value ? </v>
      </c>
      <c r="B497" s="889"/>
      <c r="C497" s="890" t="s">
        <v>1142</v>
      </c>
      <c r="D497" s="890" t="s">
        <v>1143</v>
      </c>
      <c r="E497" s="923" t="s">
        <v>1762</v>
      </c>
      <c r="F497" s="923" t="s">
        <v>1144</v>
      </c>
      <c r="G497" s="958" t="s">
        <v>17</v>
      </c>
      <c r="I497" s="891"/>
    </row>
    <row r="498" spans="1:10" x14ac:dyDescent="0.25">
      <c r="A498" s="888">
        <f t="shared" ca="1" si="15"/>
        <v>0</v>
      </c>
      <c r="B498" s="889"/>
      <c r="C498" s="912"/>
      <c r="D498" s="890"/>
      <c r="E498" s="925" t="s">
        <v>1114</v>
      </c>
      <c r="F498" s="925" t="s">
        <v>1114</v>
      </c>
      <c r="G498" s="958" t="s">
        <v>17</v>
      </c>
      <c r="I498" s="891"/>
    </row>
    <row r="499" spans="1:10" x14ac:dyDescent="0.25">
      <c r="A499" s="888" t="str">
        <f t="shared" ca="1" si="15"/>
        <v>De qui suis-je dépendant ?</v>
      </c>
      <c r="B499" s="889"/>
      <c r="C499" s="890" t="s">
        <v>1145</v>
      </c>
      <c r="D499" s="912" t="s">
        <v>1146</v>
      </c>
      <c r="E499" s="923" t="s">
        <v>1763</v>
      </c>
      <c r="F499" s="923" t="s">
        <v>1147</v>
      </c>
      <c r="G499" s="958" t="s">
        <v>17</v>
      </c>
      <c r="I499" s="891"/>
    </row>
    <row r="500" spans="1:10" ht="28.8" x14ac:dyDescent="0.25">
      <c r="A500" s="888" t="str">
        <f t="shared" ca="1" si="15"/>
        <v>Quelle est la structure des coûts ? Quels sont les éléments clés qui génèrent le plus de coûts ?</v>
      </c>
      <c r="B500" s="889"/>
      <c r="C500" s="912" t="s">
        <v>1148</v>
      </c>
      <c r="D500" s="912" t="s">
        <v>1149</v>
      </c>
      <c r="E500" s="925" t="s">
        <v>1764</v>
      </c>
      <c r="F500" s="925" t="s">
        <v>1150</v>
      </c>
      <c r="G500" s="958" t="s">
        <v>17</v>
      </c>
      <c r="I500" s="891"/>
    </row>
    <row r="501" spans="1:10" x14ac:dyDescent="0.25">
      <c r="A501" s="888" t="str">
        <f t="shared" ca="1" si="15"/>
        <v>Quelles sont mes activités principales ?</v>
      </c>
      <c r="B501" s="889"/>
      <c r="C501" s="912" t="s">
        <v>1151</v>
      </c>
      <c r="D501" s="912" t="s">
        <v>1152</v>
      </c>
      <c r="E501" s="925" t="s">
        <v>1765</v>
      </c>
      <c r="F501" s="925" t="s">
        <v>1153</v>
      </c>
      <c r="G501" s="958" t="s">
        <v>17</v>
      </c>
      <c r="I501" s="891"/>
    </row>
    <row r="502" spans="1:10" x14ac:dyDescent="0.25">
      <c r="A502" s="888" t="str">
        <f t="shared" ca="1" si="15"/>
        <v>Quelle est l’expertise nécessaire ?</v>
      </c>
      <c r="B502" s="889"/>
      <c r="C502" s="912" t="s">
        <v>1154</v>
      </c>
      <c r="D502" s="912" t="s">
        <v>1155</v>
      </c>
      <c r="E502" s="925" t="s">
        <v>1766</v>
      </c>
      <c r="F502" s="925" t="s">
        <v>1156</v>
      </c>
      <c r="G502" s="958" t="s">
        <v>17</v>
      </c>
      <c r="I502" s="891"/>
    </row>
    <row r="503" spans="1:10" x14ac:dyDescent="0.25">
      <c r="A503" s="888" t="str">
        <f t="shared" ca="1" si="15"/>
        <v>Qu’est-ce qui est indispensable ?</v>
      </c>
      <c r="B503" s="889"/>
      <c r="C503" s="912" t="s">
        <v>1157</v>
      </c>
      <c r="D503" s="912" t="s">
        <v>1158</v>
      </c>
      <c r="E503" s="925" t="s">
        <v>1767</v>
      </c>
      <c r="F503" s="925" t="s">
        <v>1159</v>
      </c>
      <c r="G503" s="958" t="s">
        <v>17</v>
      </c>
      <c r="I503" s="891"/>
    </row>
    <row r="504" spans="1:10" x14ac:dyDescent="0.25">
      <c r="A504" s="916">
        <f t="shared" ca="1" si="15"/>
        <v>0</v>
      </c>
      <c r="B504" s="889"/>
      <c r="C504" s="918"/>
      <c r="D504" s="918"/>
      <c r="E504" s="918"/>
      <c r="F504" s="918" t="s">
        <v>1114</v>
      </c>
      <c r="G504" s="962" t="s">
        <v>17</v>
      </c>
      <c r="I504" s="891"/>
    </row>
    <row r="505" spans="1:10" s="905" customFormat="1" x14ac:dyDescent="0.25">
      <c r="A505" s="900" t="str">
        <f t="shared" ca="1" si="15"/>
        <v>C O N S U M E R   T R E N D   C A N V A S</v>
      </c>
      <c r="B505" s="901"/>
      <c r="C505" s="902" t="s">
        <v>1323</v>
      </c>
      <c r="D505" s="902" t="s">
        <v>1323</v>
      </c>
      <c r="E505" s="902" t="s">
        <v>1323</v>
      </c>
      <c r="F505" s="902" t="s">
        <v>1323</v>
      </c>
      <c r="G505" s="904" t="s">
        <v>17</v>
      </c>
      <c r="J505" s="883"/>
    </row>
    <row r="506" spans="1:10" x14ac:dyDescent="0.25">
      <c r="A506" s="906" t="str">
        <f t="shared" ca="1" si="15"/>
        <v>Basic Needs</v>
      </c>
      <c r="B506" s="889"/>
      <c r="C506" s="954" t="s">
        <v>1324</v>
      </c>
      <c r="D506" s="954" t="s">
        <v>1324</v>
      </c>
      <c r="E506" s="954" t="s">
        <v>1324</v>
      </c>
      <c r="F506" s="954" t="s">
        <v>1324</v>
      </c>
      <c r="G506" s="957"/>
      <c r="I506" s="891"/>
    </row>
    <row r="507" spans="1:10" x14ac:dyDescent="0.25">
      <c r="A507" s="888" t="str">
        <f t="shared" ca="1" si="15"/>
        <v>Drivers of Change</v>
      </c>
      <c r="B507" s="889"/>
      <c r="C507" s="914" t="s">
        <v>1325</v>
      </c>
      <c r="D507" s="914" t="s">
        <v>1325</v>
      </c>
      <c r="E507" s="914" t="s">
        <v>1325</v>
      </c>
      <c r="F507" s="914" t="s">
        <v>1325</v>
      </c>
      <c r="G507" s="958"/>
      <c r="I507" s="891"/>
    </row>
    <row r="508" spans="1:10" x14ac:dyDescent="0.25">
      <c r="A508" s="888" t="str">
        <f t="shared" ref="A508:A527" ca="1" si="16">OFFSET($C508,0,$Z$5-1)</f>
        <v>Emerging Consumer Expectations</v>
      </c>
      <c r="B508" s="889"/>
      <c r="C508" s="914" t="s">
        <v>1326</v>
      </c>
      <c r="D508" s="914" t="s">
        <v>1326</v>
      </c>
      <c r="E508" s="914" t="s">
        <v>1326</v>
      </c>
      <c r="F508" s="914" t="s">
        <v>1326</v>
      </c>
      <c r="G508" s="958"/>
      <c r="I508" s="891"/>
    </row>
    <row r="509" spans="1:10" x14ac:dyDescent="0.25">
      <c r="A509" s="888" t="str">
        <f t="shared" ca="1" si="16"/>
        <v>Inspiration</v>
      </c>
      <c r="B509" s="889"/>
      <c r="C509" s="914" t="s">
        <v>1327</v>
      </c>
      <c r="D509" s="914" t="s">
        <v>1327</v>
      </c>
      <c r="E509" s="914" t="s">
        <v>1327</v>
      </c>
      <c r="F509" s="914" t="s">
        <v>1327</v>
      </c>
      <c r="G509" s="958"/>
      <c r="I509" s="891"/>
    </row>
    <row r="510" spans="1:10" x14ac:dyDescent="0.25">
      <c r="A510" s="888" t="str">
        <f t="shared" ca="1" si="16"/>
        <v>Innovation Potential</v>
      </c>
      <c r="B510" s="889"/>
      <c r="C510" s="914" t="s">
        <v>1328</v>
      </c>
      <c r="D510" s="914" t="s">
        <v>1328</v>
      </c>
      <c r="E510" s="914" t="s">
        <v>1328</v>
      </c>
      <c r="F510" s="914" t="s">
        <v>1328</v>
      </c>
      <c r="G510" s="958"/>
      <c r="I510" s="891"/>
    </row>
    <row r="511" spans="1:10" x14ac:dyDescent="0.25">
      <c r="A511" s="888" t="str">
        <f t="shared" ca="1" si="16"/>
        <v>Who</v>
      </c>
      <c r="B511" s="889"/>
      <c r="C511" s="914" t="s">
        <v>1329</v>
      </c>
      <c r="D511" s="914" t="s">
        <v>1329</v>
      </c>
      <c r="E511" s="914" t="s">
        <v>1329</v>
      </c>
      <c r="F511" s="914" t="s">
        <v>1329</v>
      </c>
      <c r="G511" s="958"/>
      <c r="I511" s="891"/>
    </row>
    <row r="512" spans="1:10" x14ac:dyDescent="0.25">
      <c r="A512" s="888" t="str">
        <f t="shared" ca="1" si="16"/>
        <v>YOUR INNOVATION(S!)</v>
      </c>
      <c r="B512" s="889"/>
      <c r="C512" s="914" t="s">
        <v>1330</v>
      </c>
      <c r="D512" s="914" t="s">
        <v>1330</v>
      </c>
      <c r="E512" s="914" t="s">
        <v>1330</v>
      </c>
      <c r="F512" s="914" t="s">
        <v>1330</v>
      </c>
      <c r="G512" s="958"/>
      <c r="I512" s="891"/>
    </row>
    <row r="513" spans="1:9" x14ac:dyDescent="0.25">
      <c r="A513" s="888" t="str">
        <f t="shared" ca="1" si="16"/>
        <v>Trend:</v>
      </c>
      <c r="B513" s="889"/>
      <c r="C513" s="914" t="s">
        <v>1331</v>
      </c>
      <c r="D513" s="914" t="s">
        <v>1331</v>
      </c>
      <c r="E513" s="914" t="s">
        <v>1331</v>
      </c>
      <c r="F513" s="914" t="s">
        <v>1331</v>
      </c>
      <c r="G513" s="958"/>
      <c r="I513" s="891"/>
    </row>
    <row r="514" spans="1:9" ht="28.8" x14ac:dyDescent="0.25">
      <c r="A514" s="888" t="str">
        <f t="shared" ca="1" si="16"/>
        <v>What deep consumer needs &amp; desires does this trend address?</v>
      </c>
      <c r="B514" s="889"/>
      <c r="C514" s="890" t="s">
        <v>1332</v>
      </c>
      <c r="D514" s="890" t="s">
        <v>1332</v>
      </c>
      <c r="E514" s="890" t="s">
        <v>1332</v>
      </c>
      <c r="F514" s="890" t="s">
        <v>1332</v>
      </c>
      <c r="G514" s="958"/>
      <c r="I514" s="891"/>
    </row>
    <row r="515" spans="1:9" x14ac:dyDescent="0.25">
      <c r="A515" s="888" t="str">
        <f t="shared" ca="1" si="16"/>
        <v>Why is this trend emerging now? What’s changing?</v>
      </c>
      <c r="B515" s="889"/>
      <c r="C515" s="890" t="s">
        <v>1333</v>
      </c>
      <c r="D515" s="890" t="s">
        <v>1333</v>
      </c>
      <c r="E515" s="890" t="s">
        <v>1333</v>
      </c>
      <c r="F515" s="890" t="s">
        <v>1333</v>
      </c>
      <c r="G515" s="958"/>
      <c r="I515" s="891"/>
    </row>
    <row r="516" spans="1:9" x14ac:dyDescent="0.25">
      <c r="A516" s="888" t="str">
        <f t="shared" ca="1" si="16"/>
        <v>Shifts: Long-term, widespread macro changes</v>
      </c>
      <c r="B516" s="889"/>
      <c r="C516" s="890" t="s">
        <v>1334</v>
      </c>
      <c r="D516" s="890" t="s">
        <v>1334</v>
      </c>
      <c r="E516" s="890" t="s">
        <v>1334</v>
      </c>
      <c r="F516" s="890" t="s">
        <v>1334</v>
      </c>
      <c r="G516" s="958"/>
      <c r="I516" s="891"/>
    </row>
    <row r="517" spans="1:9" x14ac:dyDescent="0.25">
      <c r="A517" s="888" t="str">
        <f t="shared" ca="1" si="16"/>
        <v>Triggers: Recent, short-term changes or technologies</v>
      </c>
      <c r="B517" s="889"/>
      <c r="C517" s="912" t="s">
        <v>1335</v>
      </c>
      <c r="D517" s="912" t="s">
        <v>1335</v>
      </c>
      <c r="E517" s="912" t="s">
        <v>1335</v>
      </c>
      <c r="F517" s="912" t="s">
        <v>1335</v>
      </c>
      <c r="G517" s="958"/>
      <c r="I517" s="891"/>
    </row>
    <row r="518" spans="1:9" ht="43.2" x14ac:dyDescent="0.25">
      <c r="A518" s="888" t="str">
        <f t="shared" ca="1" si="16"/>
        <v>What new consumer needs, wants and expectations are created by the changes identified above? Where and how does this trend satisfy them?</v>
      </c>
      <c r="B518" s="889"/>
      <c r="C518" s="914" t="s">
        <v>1336</v>
      </c>
      <c r="D518" s="914" t="s">
        <v>1336</v>
      </c>
      <c r="E518" s="914" t="s">
        <v>1336</v>
      </c>
      <c r="F518" s="914" t="s">
        <v>1336</v>
      </c>
      <c r="G518" s="958"/>
      <c r="I518" s="891"/>
    </row>
    <row r="519" spans="1:9" x14ac:dyDescent="0.25">
      <c r="A519" s="888" t="str">
        <f t="shared" ca="1" si="16"/>
        <v>How are other businesses applying this trend?</v>
      </c>
      <c r="B519" s="889"/>
      <c r="C519" s="890" t="s">
        <v>1337</v>
      </c>
      <c r="D519" s="890" t="s">
        <v>1337</v>
      </c>
      <c r="E519" s="890" t="s">
        <v>1337</v>
      </c>
      <c r="F519" s="890" t="s">
        <v>1337</v>
      </c>
      <c r="G519" s="958"/>
      <c r="I519" s="891"/>
    </row>
    <row r="520" spans="1:9" ht="28.8" x14ac:dyDescent="0.25">
      <c r="A520" s="888" t="str">
        <f t="shared" ca="1" si="16"/>
        <v>How and where could you apply this trend to your business?</v>
      </c>
      <c r="B520" s="889"/>
      <c r="C520" s="890" t="s">
        <v>1338</v>
      </c>
      <c r="D520" s="890" t="s">
        <v>1338</v>
      </c>
      <c r="E520" s="890" t="s">
        <v>1338</v>
      </c>
      <c r="F520" s="890" t="s">
        <v>1338</v>
      </c>
      <c r="G520" s="958"/>
      <c r="I520" s="891"/>
    </row>
    <row r="521" spans="1:9" ht="28.8" x14ac:dyDescent="0.25">
      <c r="A521" s="888" t="str">
        <f t="shared" ca="1" si="16"/>
        <v>Which (new) customer groups could you apply this trend to? What would you have to change?</v>
      </c>
      <c r="B521" s="889"/>
      <c r="C521" s="914" t="s">
        <v>1339</v>
      </c>
      <c r="D521" s="914" t="s">
        <v>1339</v>
      </c>
      <c r="E521" s="914" t="s">
        <v>1339</v>
      </c>
      <c r="F521" s="914" t="s">
        <v>1339</v>
      </c>
      <c r="G521" s="958"/>
      <c r="I521" s="891"/>
    </row>
    <row r="522" spans="1:9" x14ac:dyDescent="0.25">
      <c r="A522" s="888" t="str">
        <f t="shared" ca="1" si="16"/>
        <v>Nbr. &gt;= 3</v>
      </c>
      <c r="B522" s="889"/>
      <c r="C522" s="923" t="s">
        <v>1340</v>
      </c>
      <c r="D522" s="923" t="s">
        <v>1341</v>
      </c>
      <c r="E522" s="923" t="s">
        <v>1341</v>
      </c>
      <c r="F522" s="923" t="s">
        <v>1342</v>
      </c>
      <c r="G522" s="958"/>
      <c r="I522" s="891"/>
    </row>
    <row r="523" spans="1:9" x14ac:dyDescent="0.25">
      <c r="A523" s="888">
        <f t="shared" ca="1" si="16"/>
        <v>0</v>
      </c>
      <c r="B523" s="889"/>
      <c r="C523" s="890"/>
      <c r="D523" s="912"/>
      <c r="E523" s="912"/>
      <c r="F523" s="912"/>
      <c r="G523" s="958"/>
      <c r="I523" s="891"/>
    </row>
    <row r="524" spans="1:9" x14ac:dyDescent="0.25">
      <c r="A524" s="888">
        <f t="shared" ca="1" si="16"/>
        <v>0</v>
      </c>
      <c r="B524" s="889"/>
      <c r="C524" s="890"/>
      <c r="D524" s="912"/>
      <c r="E524" s="912"/>
      <c r="F524" s="912"/>
      <c r="G524" s="958"/>
      <c r="I524" s="891"/>
    </row>
    <row r="525" spans="1:9" x14ac:dyDescent="0.25">
      <c r="A525" s="888">
        <f t="shared" ca="1" si="16"/>
        <v>0</v>
      </c>
      <c r="B525" s="889"/>
      <c r="C525" s="890"/>
      <c r="D525" s="912"/>
      <c r="E525" s="912"/>
      <c r="F525" s="912"/>
      <c r="G525" s="958"/>
      <c r="I525" s="891"/>
    </row>
    <row r="526" spans="1:9" x14ac:dyDescent="0.25">
      <c r="A526" s="888">
        <f t="shared" ca="1" si="16"/>
        <v>0</v>
      </c>
      <c r="B526" s="889"/>
      <c r="C526" s="890"/>
      <c r="D526" s="912"/>
      <c r="E526" s="912"/>
      <c r="F526" s="912"/>
      <c r="G526" s="958"/>
      <c r="I526" s="891"/>
    </row>
    <row r="527" spans="1:9" x14ac:dyDescent="0.25">
      <c r="A527" s="888">
        <f t="shared" ca="1" si="16"/>
        <v>0</v>
      </c>
      <c r="B527" s="889"/>
      <c r="C527" s="890"/>
      <c r="D527" s="912"/>
      <c r="E527" s="912"/>
      <c r="F527" s="912"/>
      <c r="G527" s="958"/>
      <c r="I527" s="891"/>
    </row>
  </sheetData>
  <sheetProtection sheet="1" objects="1" scenarios="1"/>
  <dataValidations count="1">
    <dataValidation type="custom" allowBlank="1" showInputMessage="1" showErrorMessage="1" sqref="Z1:Z9 J10:J49 J51:J1048576 Z50" xr:uid="{00000000-0002-0000-0000-000000000000}">
      <formula1>$Z$1=";"</formula1>
    </dataValidation>
  </dataValidations>
  <pageMargins left="0.7" right="0.7" top="0.78740157499999996" bottom="0.78740157499999996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 tint="-0.249977111117893"/>
  </sheetPr>
  <dimension ref="A1:U93"/>
  <sheetViews>
    <sheetView showGridLines="0" showRowColHeaders="0" tabSelected="1" zoomScaleNormal="100" workbookViewId="0"/>
  </sheetViews>
  <sheetFormatPr baseColWidth="10" defaultColWidth="11.44140625" defaultRowHeight="14.4" x14ac:dyDescent="0.3"/>
  <cols>
    <col min="1" max="1" width="0.109375" style="254" customWidth="1"/>
    <col min="2" max="2" width="7" style="254" customWidth="1"/>
    <col min="3" max="3" width="2.6640625" style="254" customWidth="1"/>
    <col min="4" max="6" width="11.44140625" style="254"/>
    <col min="7" max="7" width="11.44140625" style="254" customWidth="1"/>
    <col min="8" max="12" width="11.44140625" style="254"/>
    <col min="13" max="13" width="11.5546875" style="254" customWidth="1"/>
    <col min="14" max="14" width="5" style="254" customWidth="1"/>
    <col min="15" max="15" width="3" style="254" customWidth="1"/>
    <col min="16" max="16" width="2.109375" style="254" customWidth="1"/>
    <col min="17" max="17" width="85" style="254" customWidth="1"/>
    <col min="18" max="18" width="3.44140625" style="254" customWidth="1"/>
    <col min="19" max="19" width="27.109375" style="254" customWidth="1"/>
    <col min="20" max="16384" width="11.44140625" style="254"/>
  </cols>
  <sheetData>
    <row r="1" spans="1:21" s="253" customFormat="1" ht="44.4" customHeight="1" x14ac:dyDescent="0.3">
      <c r="A1" s="887"/>
      <c r="B1" s="878"/>
      <c r="C1" s="1145" t="str">
        <f ca="1">' '!A5</f>
        <v>G E S T I O N   D E    L ' I N N O V A T I O N</v>
      </c>
      <c r="D1" s="250"/>
      <c r="E1" s="250"/>
      <c r="F1" s="250"/>
      <c r="G1" s="250"/>
      <c r="H1" s="250"/>
      <c r="I1" s="250"/>
      <c r="J1" s="250"/>
      <c r="K1" s="1019"/>
      <c r="L1" s="1019"/>
      <c r="M1" s="1019"/>
      <c r="N1" s="886"/>
      <c r="O1" s="252"/>
      <c r="P1" s="252"/>
      <c r="Q1" s="252"/>
      <c r="R1" s="252"/>
      <c r="S1" s="252"/>
      <c r="T1" s="252"/>
    </row>
    <row r="2" spans="1:21" ht="23.25" customHeight="1" x14ac:dyDescent="0.3">
      <c r="D2" s="255"/>
      <c r="E2" s="255"/>
    </row>
    <row r="10" spans="1:21" x14ac:dyDescent="0.3">
      <c r="U10" s="256"/>
    </row>
    <row r="24" spans="17:17" x14ac:dyDescent="0.3">
      <c r="Q24" s="257"/>
    </row>
    <row r="25" spans="17:17" x14ac:dyDescent="0.3">
      <c r="Q25" s="257"/>
    </row>
    <row r="26" spans="17:17" x14ac:dyDescent="0.3">
      <c r="Q26" s="257"/>
    </row>
    <row r="27" spans="17:17" x14ac:dyDescent="0.3">
      <c r="Q27" s="257"/>
    </row>
    <row r="28" spans="17:17" x14ac:dyDescent="0.3">
      <c r="Q28" s="257"/>
    </row>
    <row r="29" spans="17:17" x14ac:dyDescent="0.3">
      <c r="Q29" s="257"/>
    </row>
    <row r="30" spans="17:17" ht="5.25" customHeight="1" x14ac:dyDescent="0.3">
      <c r="Q30" s="257"/>
    </row>
    <row r="31" spans="17:17" ht="13.5" customHeight="1" x14ac:dyDescent="0.3">
      <c r="Q31" s="257"/>
    </row>
    <row r="32" spans="17:17" x14ac:dyDescent="0.3">
      <c r="Q32" s="257"/>
    </row>
    <row r="33" spans="2:17" x14ac:dyDescent="0.3">
      <c r="Q33" s="257"/>
    </row>
    <row r="34" spans="2:17" ht="7.5" customHeight="1" x14ac:dyDescent="0.3"/>
    <row r="35" spans="2:17" s="258" customFormat="1" x14ac:dyDescent="0.3">
      <c r="B35"/>
      <c r="C35" s="335" t="s">
        <v>1776</v>
      </c>
      <c r="D35"/>
      <c r="E35" s="336"/>
      <c r="I35" s="336"/>
      <c r="J35" s="336"/>
      <c r="K35" s="336"/>
      <c r="M35" s="885" t="s">
        <v>2007</v>
      </c>
      <c r="Q35" s="257"/>
    </row>
    <row r="36" spans="2:17" x14ac:dyDescent="0.3">
      <c r="Q36" s="257"/>
    </row>
    <row r="37" spans="2:17" x14ac:dyDescent="0.3">
      <c r="Q37" s="257"/>
    </row>
    <row r="38" spans="2:17" x14ac:dyDescent="0.3">
      <c r="Q38" s="257"/>
    </row>
    <row r="39" spans="2:17" x14ac:dyDescent="0.3">
      <c r="Q39" s="257"/>
    </row>
    <row r="40" spans="2:17" x14ac:dyDescent="0.3">
      <c r="Q40" s="257"/>
    </row>
    <row r="41" spans="2:17" x14ac:dyDescent="0.3">
      <c r="Q41" s="257"/>
    </row>
    <row r="42" spans="2:17" x14ac:dyDescent="0.3">
      <c r="Q42" s="257"/>
    </row>
    <row r="43" spans="2:17" x14ac:dyDescent="0.3">
      <c r="Q43" s="257"/>
    </row>
    <row r="44" spans="2:17" x14ac:dyDescent="0.3">
      <c r="Q44" s="257"/>
    </row>
    <row r="45" spans="2:17" x14ac:dyDescent="0.3">
      <c r="Q45" s="257"/>
    </row>
    <row r="46" spans="2:17" x14ac:dyDescent="0.3">
      <c r="Q46" s="257"/>
    </row>
    <row r="47" spans="2:17" x14ac:dyDescent="0.3">
      <c r="Q47" s="257"/>
    </row>
    <row r="48" spans="2:17" x14ac:dyDescent="0.3">
      <c r="Q48" s="257"/>
    </row>
    <row r="49" spans="17:17" x14ac:dyDescent="0.3">
      <c r="Q49" s="257"/>
    </row>
    <row r="50" spans="17:17" x14ac:dyDescent="0.3">
      <c r="Q50" s="257"/>
    </row>
    <row r="51" spans="17:17" x14ac:dyDescent="0.3">
      <c r="Q51" s="257"/>
    </row>
    <row r="52" spans="17:17" x14ac:dyDescent="0.3">
      <c r="Q52" s="257"/>
    </row>
    <row r="53" spans="17:17" x14ac:dyDescent="0.3">
      <c r="Q53" s="257"/>
    </row>
    <row r="54" spans="17:17" x14ac:dyDescent="0.3">
      <c r="Q54" s="257"/>
    </row>
    <row r="55" spans="17:17" x14ac:dyDescent="0.3">
      <c r="Q55" s="257"/>
    </row>
    <row r="93" spans="6:6" ht="15.6" x14ac:dyDescent="0.3">
      <c r="F93" s="259"/>
    </row>
  </sheetData>
  <sheetProtection sheet="1" objects="1" scenarios="1" formatCells="0" formatColumns="0" formatRows="0" insertHyperlinks="0" selectLockedCells="1" sort="0" autoFilter="0"/>
  <mergeCells count="1">
    <mergeCell ref="K1:M1"/>
  </mergeCells>
  <printOptions horizontalCentered="1" verticalCentered="1"/>
  <pageMargins left="0.23622047244094491" right="0.23622047244094491" top="0.19685039370078741" bottom="0.19685039370078741" header="0.19685039370078741" footer="0.19685039370078741"/>
  <pageSetup paperSize="9" orientation="landscape" r:id="rId1"/>
  <headerFooter>
    <oddFooter>&amp;L&amp;8&amp;K00-048(c) S.Imboden&amp;R&amp;8&amp;K00-048Seite &amp;P von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6738" r:id="rId4" name="Drop Down 2">
              <controlPr defaultSize="0" print="0" autoLine="0" autoPict="0">
                <anchor moveWithCells="1">
                  <from>
                    <xdr:col>11</xdr:col>
                    <xdr:colOff>655320</xdr:colOff>
                    <xdr:row>1</xdr:row>
                    <xdr:rowOff>60960</xdr:rowOff>
                  </from>
                  <to>
                    <xdr:col>12</xdr:col>
                    <xdr:colOff>762000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>
    <tabColor theme="5" tint="-0.249977111117893"/>
  </sheetPr>
  <dimension ref="A1:T86"/>
  <sheetViews>
    <sheetView showGridLines="0" zoomScaleNormal="100" workbookViewId="0">
      <pane ySplit="1" topLeftCell="A2" activePane="bottomLeft" state="frozen"/>
      <selection activeCell="P1" sqref="P1"/>
      <selection pane="bottomLeft" activeCell="A2" sqref="A2"/>
    </sheetView>
  </sheetViews>
  <sheetFormatPr baseColWidth="10" defaultColWidth="11.44140625" defaultRowHeight="14.4" x14ac:dyDescent="0.3"/>
  <cols>
    <col min="1" max="1" width="7" style="254" customWidth="1"/>
    <col min="2" max="2" width="2.6640625" style="254" customWidth="1"/>
    <col min="3" max="5" width="11.44140625" style="254"/>
    <col min="6" max="6" width="11.44140625" style="254" customWidth="1"/>
    <col min="7" max="11" width="11.44140625" style="254"/>
    <col min="12" max="12" width="5.5546875" style="254" customWidth="1"/>
    <col min="13" max="13" width="5" style="254" customWidth="1"/>
    <col min="14" max="14" width="3" style="254" customWidth="1"/>
    <col min="15" max="15" width="2.109375" style="254" customWidth="1"/>
    <col min="16" max="16" width="85" style="254" customWidth="1"/>
    <col min="17" max="17" width="3.44140625" style="254" customWidth="1"/>
    <col min="18" max="18" width="27.109375" style="254" customWidth="1"/>
    <col min="19" max="16384" width="11.44140625" style="254"/>
  </cols>
  <sheetData>
    <row r="1" spans="1:20" s="253" customFormat="1" ht="45" customHeight="1" x14ac:dyDescent="0.3">
      <c r="A1" s="878"/>
      <c r="B1" s="876" t="str">
        <f ca="1">' '!A342</f>
        <v>A N A L Y S E</v>
      </c>
      <c r="C1" s="250"/>
      <c r="D1" s="250"/>
      <c r="E1" s="250"/>
      <c r="F1" s="250"/>
      <c r="G1" s="250"/>
      <c r="H1" s="250"/>
      <c r="I1" s="250"/>
      <c r="J1" s="251"/>
      <c r="K1" s="879"/>
      <c r="L1" s="260"/>
      <c r="M1" s="880"/>
      <c r="N1" s="880"/>
      <c r="O1" s="880"/>
      <c r="P1" s="252"/>
      <c r="Q1" s="252"/>
      <c r="R1" s="252"/>
      <c r="S1" s="252"/>
    </row>
    <row r="2" spans="1:20" ht="23.25" customHeight="1" x14ac:dyDescent="0.3">
      <c r="C2" s="255"/>
      <c r="D2" s="255"/>
    </row>
    <row r="10" spans="1:20" x14ac:dyDescent="0.3">
      <c r="T10" s="256"/>
    </row>
    <row r="13" spans="1:20" x14ac:dyDescent="0.3">
      <c r="M13" s="265"/>
    </row>
    <row r="25" spans="1:16" x14ac:dyDescent="0.3">
      <c r="P25" s="261"/>
    </row>
    <row r="26" spans="1:16" x14ac:dyDescent="0.3">
      <c r="P26" s="257"/>
    </row>
    <row r="27" spans="1:16" s="258" customFormat="1" x14ac:dyDescent="0.3">
      <c r="A27"/>
      <c r="B27" s="335" t="s">
        <v>1776</v>
      </c>
      <c r="C27"/>
      <c r="D27" s="336"/>
      <c r="H27" s="336"/>
      <c r="I27" s="336"/>
      <c r="J27" s="336"/>
      <c r="K27" s="338"/>
      <c r="L27" s="336"/>
      <c r="P27" s="257"/>
    </row>
    <row r="28" spans="1:16" x14ac:dyDescent="0.3">
      <c r="P28" s="257"/>
    </row>
    <row r="29" spans="1:16" x14ac:dyDescent="0.3">
      <c r="P29" s="257"/>
    </row>
    <row r="30" spans="1:16" x14ac:dyDescent="0.3">
      <c r="P30" s="257"/>
    </row>
    <row r="31" spans="1:16" x14ac:dyDescent="0.3">
      <c r="P31" s="257"/>
    </row>
    <row r="32" spans="1:16" x14ac:dyDescent="0.3">
      <c r="P32" s="257"/>
    </row>
    <row r="33" spans="16:16" x14ac:dyDescent="0.3">
      <c r="P33" s="257"/>
    </row>
    <row r="34" spans="16:16" x14ac:dyDescent="0.3">
      <c r="P34" s="257"/>
    </row>
    <row r="35" spans="16:16" x14ac:dyDescent="0.3">
      <c r="P35" s="257"/>
    </row>
    <row r="36" spans="16:16" x14ac:dyDescent="0.3">
      <c r="P36" s="257"/>
    </row>
    <row r="37" spans="16:16" x14ac:dyDescent="0.3">
      <c r="P37" s="257"/>
    </row>
    <row r="38" spans="16:16" x14ac:dyDescent="0.3">
      <c r="P38" s="257"/>
    </row>
    <row r="39" spans="16:16" x14ac:dyDescent="0.3">
      <c r="P39" s="257"/>
    </row>
    <row r="40" spans="16:16" x14ac:dyDescent="0.3">
      <c r="P40" s="257"/>
    </row>
    <row r="41" spans="16:16" x14ac:dyDescent="0.3">
      <c r="P41" s="257"/>
    </row>
    <row r="42" spans="16:16" x14ac:dyDescent="0.3">
      <c r="P42" s="257"/>
    </row>
    <row r="43" spans="16:16" x14ac:dyDescent="0.3">
      <c r="P43" s="257"/>
    </row>
    <row r="44" spans="16:16" x14ac:dyDescent="0.3">
      <c r="P44" s="257"/>
    </row>
    <row r="45" spans="16:16" x14ac:dyDescent="0.3">
      <c r="P45" s="257"/>
    </row>
    <row r="46" spans="16:16" x14ac:dyDescent="0.3">
      <c r="P46" s="257"/>
    </row>
    <row r="47" spans="16:16" x14ac:dyDescent="0.3">
      <c r="P47" s="257"/>
    </row>
    <row r="48" spans="16:16" x14ac:dyDescent="0.3">
      <c r="P48" s="257"/>
    </row>
    <row r="86" spans="5:5" ht="15.6" x14ac:dyDescent="0.3">
      <c r="E86" s="259"/>
    </row>
  </sheetData>
  <sheetProtection sheet="1" objects="1" scenarios="1" formatCells="0" formatColumns="0" formatRows="0" insertHyperlinks="0" selectLockedCells="1" sort="0" autoFilter="0"/>
  <printOptions horizontalCentered="1" verticalCentered="1"/>
  <pageMargins left="0.23622047244094491" right="0.23622047244094491" top="0.19685039370078741" bottom="0.19685039370078741" header="0.19685039370078741" footer="0.19685039370078741"/>
  <pageSetup paperSize="9" orientation="landscape" r:id="rId1"/>
  <headerFooter>
    <oddFooter>&amp;L&amp;8&amp;K00-048(c) S.Imboden&amp;R&amp;8&amp;K00-048Seite &amp;P von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7762" r:id="rId4" name="Drop Down 2">
              <controlPr defaultSize="0" print="0" autoLine="0" autoPict="0">
                <anchor moveWithCells="1">
                  <from>
                    <xdr:col>10</xdr:col>
                    <xdr:colOff>266700</xdr:colOff>
                    <xdr:row>1</xdr:row>
                    <xdr:rowOff>60960</xdr:rowOff>
                  </from>
                  <to>
                    <xdr:col>12</xdr:col>
                    <xdr:colOff>0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4">
    <tabColor theme="6" tint="-0.499984740745262"/>
  </sheetPr>
  <dimension ref="A1:T86"/>
  <sheetViews>
    <sheetView showGridLines="0" zoomScaleNormal="100" workbookViewId="0">
      <pane ySplit="1" topLeftCell="A2" activePane="bottomLeft" state="frozen"/>
      <selection activeCell="P1" sqref="P1"/>
      <selection pane="bottomLeft" activeCell="A2" sqref="A2"/>
    </sheetView>
  </sheetViews>
  <sheetFormatPr baseColWidth="10" defaultColWidth="11.44140625" defaultRowHeight="14.4" x14ac:dyDescent="0.3"/>
  <cols>
    <col min="1" max="1" width="7" style="254" customWidth="1"/>
    <col min="2" max="2" width="2.6640625" style="254" customWidth="1"/>
    <col min="3" max="5" width="11.44140625" style="254"/>
    <col min="6" max="6" width="11.44140625" style="254" customWidth="1"/>
    <col min="7" max="9" width="11.44140625" style="254"/>
    <col min="10" max="10" width="11.44140625" style="254" customWidth="1"/>
    <col min="11" max="11" width="11.44140625" style="254"/>
    <col min="12" max="12" width="7.109375" style="254" customWidth="1"/>
    <col min="13" max="13" width="5" style="254" customWidth="1"/>
    <col min="14" max="14" width="3" style="254" customWidth="1"/>
    <col min="15" max="15" width="2.109375" style="254" customWidth="1"/>
    <col min="16" max="16" width="85" style="254" customWidth="1"/>
    <col min="17" max="17" width="3.44140625" style="254" customWidth="1"/>
    <col min="18" max="18" width="27.109375" style="254" customWidth="1"/>
    <col min="19" max="16384" width="11.44140625" style="254"/>
  </cols>
  <sheetData>
    <row r="1" spans="1:20" s="253" customFormat="1" ht="44.4" customHeight="1" x14ac:dyDescent="0.3">
      <c r="A1" s="878"/>
      <c r="B1" s="876" t="str">
        <f ca="1">' '!A318</f>
        <v>G E S T I O N   D E S   I D É E S</v>
      </c>
      <c r="C1" s="250"/>
      <c r="D1" s="250"/>
      <c r="E1" s="250"/>
      <c r="F1" s="250"/>
      <c r="G1" s="250"/>
      <c r="H1" s="250"/>
      <c r="I1" s="250"/>
      <c r="J1" s="251"/>
      <c r="K1" s="260"/>
      <c r="M1" s="252"/>
      <c r="N1" s="252"/>
      <c r="O1" s="252"/>
      <c r="P1" s="252"/>
      <c r="Q1" s="252"/>
      <c r="R1" s="252"/>
      <c r="S1" s="252"/>
    </row>
    <row r="2" spans="1:20" ht="23.25" customHeight="1" x14ac:dyDescent="0.3">
      <c r="C2" s="255"/>
      <c r="D2" s="255"/>
    </row>
    <row r="10" spans="1:20" x14ac:dyDescent="0.3">
      <c r="T10" s="256"/>
    </row>
    <row r="25" spans="1:16" x14ac:dyDescent="0.3">
      <c r="P25" s="261"/>
    </row>
    <row r="26" spans="1:16" x14ac:dyDescent="0.3">
      <c r="P26" s="257"/>
    </row>
    <row r="27" spans="1:16" s="258" customFormat="1" x14ac:dyDescent="0.3">
      <c r="A27"/>
      <c r="B27" s="335" t="s">
        <v>1776</v>
      </c>
      <c r="C27"/>
      <c r="D27" s="336"/>
      <c r="E27" s="336"/>
      <c r="H27" s="336"/>
      <c r="I27" s="336"/>
      <c r="J27" s="336"/>
      <c r="K27" s="1020"/>
      <c r="L27" s="1020"/>
      <c r="P27" s="257"/>
    </row>
    <row r="28" spans="1:16" x14ac:dyDescent="0.3">
      <c r="P28" s="257"/>
    </row>
    <row r="29" spans="1:16" x14ac:dyDescent="0.3">
      <c r="P29" s="257"/>
    </row>
    <row r="30" spans="1:16" x14ac:dyDescent="0.3">
      <c r="P30" s="257"/>
    </row>
    <row r="31" spans="1:16" x14ac:dyDescent="0.3">
      <c r="P31" s="257"/>
    </row>
    <row r="32" spans="1:16" x14ac:dyDescent="0.3">
      <c r="P32" s="257"/>
    </row>
    <row r="33" spans="16:16" x14ac:dyDescent="0.3">
      <c r="P33" s="257"/>
    </row>
    <row r="34" spans="16:16" x14ac:dyDescent="0.3">
      <c r="P34" s="257"/>
    </row>
    <row r="35" spans="16:16" x14ac:dyDescent="0.3">
      <c r="P35" s="257"/>
    </row>
    <row r="36" spans="16:16" x14ac:dyDescent="0.3">
      <c r="P36" s="257"/>
    </row>
    <row r="37" spans="16:16" x14ac:dyDescent="0.3">
      <c r="P37" s="257"/>
    </row>
    <row r="38" spans="16:16" x14ac:dyDescent="0.3">
      <c r="P38" s="257"/>
    </row>
    <row r="39" spans="16:16" x14ac:dyDescent="0.3">
      <c r="P39" s="257"/>
    </row>
    <row r="40" spans="16:16" x14ac:dyDescent="0.3">
      <c r="P40" s="257"/>
    </row>
    <row r="41" spans="16:16" x14ac:dyDescent="0.3">
      <c r="P41" s="257"/>
    </row>
    <row r="42" spans="16:16" x14ac:dyDescent="0.3">
      <c r="P42" s="257"/>
    </row>
    <row r="43" spans="16:16" x14ac:dyDescent="0.3">
      <c r="P43" s="257"/>
    </row>
    <row r="44" spans="16:16" x14ac:dyDescent="0.3">
      <c r="P44" s="257"/>
    </row>
    <row r="45" spans="16:16" x14ac:dyDescent="0.3">
      <c r="P45" s="257"/>
    </row>
    <row r="46" spans="16:16" x14ac:dyDescent="0.3">
      <c r="P46" s="257"/>
    </row>
    <row r="47" spans="16:16" x14ac:dyDescent="0.3">
      <c r="P47" s="257"/>
    </row>
    <row r="48" spans="16:16" x14ac:dyDescent="0.3">
      <c r="P48" s="257"/>
    </row>
    <row r="86" spans="5:5" ht="15.6" x14ac:dyDescent="0.3">
      <c r="E86" s="259"/>
    </row>
  </sheetData>
  <sheetProtection sheet="1" objects="1" scenarios="1" formatCells="0" formatColumns="0" formatRows="0" insertHyperlinks="0" selectLockedCells="1" sort="0" autoFilter="0"/>
  <mergeCells count="1">
    <mergeCell ref="K27:L27"/>
  </mergeCells>
  <printOptions horizontalCentered="1" verticalCentered="1"/>
  <pageMargins left="0.23622047244094491" right="0.23622047244094491" top="0.19685039370078741" bottom="0.19685039370078741" header="0.19685039370078741" footer="0.19685039370078741"/>
  <pageSetup paperSize="9" orientation="landscape" r:id="rId1"/>
  <headerFooter>
    <oddFooter>&amp;L&amp;8&amp;K00-048(c) S.Imboden&amp;R&amp;8&amp;K00-048Seite &amp;P von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9810" r:id="rId4" name="Drop Down 2">
              <controlPr defaultSize="0" print="0" autoLine="0" autoPict="0">
                <anchor moveWithCells="1">
                  <from>
                    <xdr:col>9</xdr:col>
                    <xdr:colOff>647700</xdr:colOff>
                    <xdr:row>1</xdr:row>
                    <xdr:rowOff>60960</xdr:rowOff>
                  </from>
                  <to>
                    <xdr:col>10</xdr:col>
                    <xdr:colOff>754380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>
    <tabColor theme="4" tint="-0.499984740745262"/>
  </sheetPr>
  <dimension ref="A1:T86"/>
  <sheetViews>
    <sheetView showGridLines="0" zoomScaleNormal="100" workbookViewId="0">
      <pane ySplit="1" topLeftCell="A2" activePane="bottomLeft" state="frozen"/>
      <selection activeCell="K1" sqref="K1"/>
      <selection pane="bottomLeft" activeCell="A2" sqref="A2"/>
    </sheetView>
  </sheetViews>
  <sheetFormatPr baseColWidth="10" defaultColWidth="11.44140625" defaultRowHeight="14.4" x14ac:dyDescent="0.3"/>
  <cols>
    <col min="1" max="1" width="7" style="254" customWidth="1"/>
    <col min="2" max="2" width="2.6640625" style="254" customWidth="1"/>
    <col min="3" max="5" width="11.44140625" style="254"/>
    <col min="6" max="6" width="11.44140625" style="254" customWidth="1"/>
    <col min="7" max="11" width="11.44140625" style="254"/>
    <col min="12" max="12" width="5.88671875" style="254" customWidth="1"/>
    <col min="13" max="13" width="5" style="254" customWidth="1"/>
    <col min="14" max="14" width="3" style="254" customWidth="1"/>
    <col min="15" max="15" width="2.109375" style="254" customWidth="1"/>
    <col min="16" max="16" width="85" style="254" customWidth="1"/>
    <col min="17" max="17" width="3.44140625" style="254" customWidth="1"/>
    <col min="18" max="18" width="27.109375" style="254" customWidth="1"/>
    <col min="19" max="16384" width="11.44140625" style="254"/>
  </cols>
  <sheetData>
    <row r="1" spans="1:20" s="253" customFormat="1" ht="44.4" customHeight="1" x14ac:dyDescent="0.3">
      <c r="A1" s="878"/>
      <c r="B1" s="876" t="str">
        <f ca="1">' '!A404</f>
        <v>R É A L I S A T I O N   &amp;  C O N T R O L L I N G</v>
      </c>
      <c r="C1" s="250"/>
      <c r="D1" s="250"/>
      <c r="E1" s="250"/>
      <c r="F1" s="250"/>
      <c r="G1" s="250"/>
      <c r="H1" s="250"/>
      <c r="I1" s="250"/>
      <c r="J1" s="251"/>
      <c r="K1" s="879"/>
      <c r="L1" s="879"/>
      <c r="M1" s="260"/>
      <c r="N1" s="252"/>
      <c r="O1" s="252"/>
      <c r="P1" s="252"/>
      <c r="Q1" s="252"/>
      <c r="R1" s="252"/>
      <c r="S1" s="252"/>
    </row>
    <row r="2" spans="1:20" ht="23.25" customHeight="1" x14ac:dyDescent="0.3">
      <c r="C2" s="255"/>
      <c r="D2" s="255"/>
    </row>
    <row r="10" spans="1:20" x14ac:dyDescent="0.3">
      <c r="T10" s="256"/>
    </row>
    <row r="25" spans="1:16" x14ac:dyDescent="0.3">
      <c r="P25" s="261"/>
    </row>
    <row r="26" spans="1:16" x14ac:dyDescent="0.3">
      <c r="P26" s="257"/>
    </row>
    <row r="27" spans="1:16" s="258" customFormat="1" x14ac:dyDescent="0.3">
      <c r="A27"/>
      <c r="B27" s="335" t="s">
        <v>1776</v>
      </c>
      <c r="C27"/>
      <c r="D27" s="336"/>
      <c r="E27" s="336"/>
      <c r="H27" s="336"/>
      <c r="I27" s="336"/>
      <c r="J27" s="336"/>
      <c r="K27" s="1020"/>
      <c r="L27" s="1020"/>
      <c r="P27" s="257"/>
    </row>
    <row r="28" spans="1:16" x14ac:dyDescent="0.3">
      <c r="P28" s="257"/>
    </row>
    <row r="29" spans="1:16" x14ac:dyDescent="0.3">
      <c r="P29" s="257"/>
    </row>
    <row r="30" spans="1:16" x14ac:dyDescent="0.3">
      <c r="P30" s="257"/>
    </row>
    <row r="31" spans="1:16" x14ac:dyDescent="0.3">
      <c r="P31" s="257"/>
    </row>
    <row r="32" spans="1:16" x14ac:dyDescent="0.3">
      <c r="P32" s="257"/>
    </row>
    <row r="33" spans="16:16" x14ac:dyDescent="0.3">
      <c r="P33" s="257"/>
    </row>
    <row r="34" spans="16:16" x14ac:dyDescent="0.3">
      <c r="P34" s="257"/>
    </row>
    <row r="35" spans="16:16" x14ac:dyDescent="0.3">
      <c r="P35" s="257"/>
    </row>
    <row r="36" spans="16:16" x14ac:dyDescent="0.3">
      <c r="P36" s="257"/>
    </row>
    <row r="37" spans="16:16" x14ac:dyDescent="0.3">
      <c r="P37" s="257"/>
    </row>
    <row r="38" spans="16:16" x14ac:dyDescent="0.3">
      <c r="P38" s="257"/>
    </row>
    <row r="39" spans="16:16" x14ac:dyDescent="0.3">
      <c r="P39" s="257"/>
    </row>
    <row r="40" spans="16:16" x14ac:dyDescent="0.3">
      <c r="P40" s="257"/>
    </row>
    <row r="41" spans="16:16" x14ac:dyDescent="0.3">
      <c r="P41" s="257"/>
    </row>
    <row r="42" spans="16:16" x14ac:dyDescent="0.3">
      <c r="P42" s="257"/>
    </row>
    <row r="43" spans="16:16" x14ac:dyDescent="0.3">
      <c r="P43" s="257"/>
    </row>
    <row r="44" spans="16:16" x14ac:dyDescent="0.3">
      <c r="P44" s="257"/>
    </row>
    <row r="45" spans="16:16" x14ac:dyDescent="0.3">
      <c r="P45" s="257"/>
    </row>
    <row r="46" spans="16:16" x14ac:dyDescent="0.3">
      <c r="P46" s="257"/>
    </row>
    <row r="47" spans="16:16" x14ac:dyDescent="0.3">
      <c r="P47" s="257"/>
    </row>
    <row r="48" spans="16:16" x14ac:dyDescent="0.3">
      <c r="P48" s="257"/>
    </row>
    <row r="86" spans="5:5" ht="15.6" x14ac:dyDescent="0.3">
      <c r="E86" s="259"/>
    </row>
  </sheetData>
  <sheetProtection sheet="1" objects="1" scenarios="1" formatCells="0" formatColumns="0" formatRows="0" insertHyperlinks="0" selectLockedCells="1" sort="0" autoFilter="0"/>
  <mergeCells count="1">
    <mergeCell ref="K27:L27"/>
  </mergeCells>
  <printOptions horizontalCentered="1" verticalCentered="1"/>
  <pageMargins left="0.23622047244094491" right="0.23622047244094491" top="0.19685039370078741" bottom="0.19685039370078741" header="0.19685039370078741" footer="0.19685039370078741"/>
  <pageSetup paperSize="9" orientation="landscape" r:id="rId1"/>
  <headerFooter>
    <oddFooter>&amp;L&amp;8&amp;K00-048(c) S.Imboden&amp;R&amp;8&amp;K00-048Seite &amp;P von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1858" r:id="rId4" name="Drop Down 2">
              <controlPr defaultSize="0" print="0" autoLine="0" autoPict="0">
                <anchor moveWithCells="1">
                  <from>
                    <xdr:col>10</xdr:col>
                    <xdr:colOff>647700</xdr:colOff>
                    <xdr:row>1</xdr:row>
                    <xdr:rowOff>60960</xdr:rowOff>
                  </from>
                  <to>
                    <xdr:col>13</xdr:col>
                    <xdr:colOff>30480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7">
    <tabColor theme="5" tint="0.59999389629810485"/>
  </sheetPr>
  <dimension ref="A1:V79"/>
  <sheetViews>
    <sheetView showGridLines="0" zoomScaleNormal="100" workbookViewId="0">
      <pane ySplit="4" topLeftCell="A5" activePane="bottomLeft" state="frozen"/>
      <selection activeCell="K1" sqref="K1"/>
      <selection pane="bottomLeft" activeCell="C5" sqref="C5"/>
    </sheetView>
  </sheetViews>
  <sheetFormatPr baseColWidth="10" defaultColWidth="12.5546875" defaultRowHeight="14.4" x14ac:dyDescent="0.3"/>
  <cols>
    <col min="1" max="1" width="7" style="8" customWidth="1"/>
    <col min="2" max="2" width="4.5546875" style="16" customWidth="1"/>
    <col min="3" max="3" width="29" style="16" customWidth="1"/>
    <col min="4" max="4" width="6.44140625" style="16" bestFit="1" customWidth="1"/>
    <col min="5" max="5" width="10" style="16" bestFit="1" customWidth="1"/>
    <col min="6" max="6" width="8.5546875" style="16" customWidth="1"/>
    <col min="7" max="7" width="43.44140625" style="16" customWidth="1"/>
    <col min="8" max="8" width="7" style="16" customWidth="1"/>
    <col min="9" max="9" width="4.5546875" style="16" customWidth="1"/>
    <col min="10" max="17" width="4" style="16" customWidth="1"/>
    <col min="18" max="16384" width="12.5546875" style="16"/>
  </cols>
  <sheetData>
    <row r="1" spans="1:22" s="12" customFormat="1" ht="44.4" customHeight="1" x14ac:dyDescent="0.3">
      <c r="A1" s="25"/>
      <c r="B1" s="11" t="str">
        <f ca="1">' '!A143</f>
        <v>P R O D U I T S   &amp;   P R E S T A T I O N S   C L É</v>
      </c>
      <c r="C1" s="11"/>
      <c r="D1" s="11"/>
      <c r="E1" s="11"/>
      <c r="F1" s="11"/>
      <c r="G1" s="11"/>
      <c r="H1" s="11"/>
      <c r="I1" s="13"/>
    </row>
    <row r="2" spans="1:22" s="8" customFormat="1" ht="22.5" customHeight="1" x14ac:dyDescent="0.3">
      <c r="A2" s="7"/>
      <c r="B2" s="14"/>
      <c r="G2" s="263"/>
    </row>
    <row r="3" spans="1:22" ht="9" customHeight="1" x14ac:dyDescent="0.3">
      <c r="A3" s="15"/>
      <c r="C3" s="8"/>
    </row>
    <row r="4" spans="1:22" ht="33.75" customHeight="1" x14ac:dyDescent="0.3">
      <c r="B4" s="340" t="str">
        <f ca="1">' '!A152</f>
        <v>No.</v>
      </c>
      <c r="C4" s="341" t="str">
        <f ca="1">' '!A144</f>
        <v>Produit/Prestations de service</v>
      </c>
      <c r="D4" s="341" t="str">
        <f ca="1">' '!A147</f>
        <v>USP</v>
      </c>
      <c r="E4" s="341" t="str">
        <f ca="1">' '!A148</f>
        <v>Demande</v>
      </c>
      <c r="F4" s="341" t="str">
        <f ca="1">' '!A149</f>
        <v>Chiffre d'affaire</v>
      </c>
      <c r="G4" s="341" t="str">
        <f ca="1">' '!A151</f>
        <v>Stratégie d'innovation possible</v>
      </c>
      <c r="H4" s="342" t="str">
        <f ca="1">' '!A154</f>
        <v>Statut</v>
      </c>
      <c r="S4" s="17"/>
      <c r="V4" s="17"/>
    </row>
    <row r="5" spans="1:22" ht="23.4" x14ac:dyDescent="0.3">
      <c r="B5" s="343" t="s">
        <v>441</v>
      </c>
      <c r="C5" s="344" t="s">
        <v>442</v>
      </c>
      <c r="D5" s="345">
        <v>3</v>
      </c>
      <c r="E5" s="345">
        <v>6</v>
      </c>
      <c r="F5" s="346">
        <v>1</v>
      </c>
      <c r="G5" s="344"/>
      <c r="H5" s="347">
        <v>2</v>
      </c>
      <c r="I5" s="339">
        <f>IF(F5=3,3,
IF(F5=2,2,1))</f>
        <v>1</v>
      </c>
      <c r="S5" s="17"/>
      <c r="V5" s="17"/>
    </row>
    <row r="6" spans="1:22" ht="23.4" x14ac:dyDescent="0.3">
      <c r="B6" s="343" t="s">
        <v>443</v>
      </c>
      <c r="C6" s="344" t="s">
        <v>444</v>
      </c>
      <c r="D6" s="345">
        <v>8</v>
      </c>
      <c r="E6" s="345">
        <v>9</v>
      </c>
      <c r="F6" s="346">
        <v>2</v>
      </c>
      <c r="G6" s="344"/>
      <c r="H6" s="347"/>
      <c r="I6" s="339">
        <f t="shared" ref="I6:I9" si="0">IF(F6=3,3,
IF(F6=2,2,1))</f>
        <v>2</v>
      </c>
      <c r="S6" s="17"/>
      <c r="V6" s="17"/>
    </row>
    <row r="7" spans="1:22" ht="23.4" x14ac:dyDescent="0.3">
      <c r="B7" s="343" t="s">
        <v>445</v>
      </c>
      <c r="C7" s="344" t="s">
        <v>57</v>
      </c>
      <c r="D7" s="345"/>
      <c r="E7" s="345"/>
      <c r="F7" s="346"/>
      <c r="G7" s="344"/>
      <c r="H7" s="347"/>
      <c r="I7" s="339">
        <f t="shared" si="0"/>
        <v>1</v>
      </c>
      <c r="S7" s="17"/>
      <c r="V7" s="17"/>
    </row>
    <row r="8" spans="1:22" ht="23.4" x14ac:dyDescent="0.3">
      <c r="B8" s="343" t="s">
        <v>446</v>
      </c>
      <c r="C8" s="344" t="s">
        <v>58</v>
      </c>
      <c r="D8" s="345"/>
      <c r="E8" s="345"/>
      <c r="F8" s="346"/>
      <c r="G8" s="344"/>
      <c r="H8" s="347"/>
      <c r="I8" s="339">
        <f t="shared" si="0"/>
        <v>1</v>
      </c>
      <c r="S8" s="17"/>
      <c r="V8" s="17"/>
    </row>
    <row r="9" spans="1:22" ht="23.4" x14ac:dyDescent="0.3">
      <c r="B9" s="348" t="s">
        <v>447</v>
      </c>
      <c r="C9" s="349" t="s">
        <v>59</v>
      </c>
      <c r="D9" s="350"/>
      <c r="E9" s="350"/>
      <c r="F9" s="351"/>
      <c r="G9" s="349"/>
      <c r="H9" s="352"/>
      <c r="I9" s="339">
        <f t="shared" si="0"/>
        <v>1</v>
      </c>
      <c r="S9" s="17"/>
      <c r="V9" s="17"/>
    </row>
    <row r="10" spans="1:22" x14ac:dyDescent="0.3">
      <c r="B10" s="335" t="s">
        <v>1776</v>
      </c>
      <c r="C10"/>
    </row>
    <row r="26" spans="7:7" x14ac:dyDescent="0.3">
      <c r="G26" s="19"/>
    </row>
    <row r="27" spans="7:7" x14ac:dyDescent="0.3">
      <c r="G27" s="19"/>
    </row>
    <row r="28" spans="7:7" x14ac:dyDescent="0.3">
      <c r="G28" s="19"/>
    </row>
    <row r="29" spans="7:7" x14ac:dyDescent="0.3">
      <c r="G29" s="19"/>
    </row>
    <row r="30" spans="7:7" x14ac:dyDescent="0.3">
      <c r="G30" s="19"/>
    </row>
    <row r="31" spans="7:7" x14ac:dyDescent="0.3">
      <c r="G31" s="19"/>
    </row>
    <row r="32" spans="7:7" x14ac:dyDescent="0.3">
      <c r="G32" s="19"/>
    </row>
    <row r="33" spans="1:7" x14ac:dyDescent="0.3">
      <c r="G33" s="19"/>
    </row>
    <row r="34" spans="1:7" x14ac:dyDescent="0.3">
      <c r="G34" s="19"/>
    </row>
    <row r="35" spans="1:7" x14ac:dyDescent="0.3">
      <c r="G35" s="19"/>
    </row>
    <row r="36" spans="1:7" x14ac:dyDescent="0.3">
      <c r="A36" s="20"/>
      <c r="G36" s="19" t="str">
        <f>CONCATENATE("           ",B5,"    ",C5)</f>
        <v xml:space="preserve">           P1    Produit 1</v>
      </c>
    </row>
    <row r="37" spans="1:7" x14ac:dyDescent="0.3">
      <c r="G37" s="19" t="str">
        <f>CONCATENATE("           ",B6,"    ",C6)</f>
        <v xml:space="preserve">           P2    Produit2</v>
      </c>
    </row>
    <row r="38" spans="1:7" x14ac:dyDescent="0.3">
      <c r="G38" s="19" t="str">
        <f>CONCATENATE("           ",B7,"    ",C7)</f>
        <v xml:space="preserve">           P3    Produit 3</v>
      </c>
    </row>
    <row r="39" spans="1:7" x14ac:dyDescent="0.3">
      <c r="G39" s="19" t="str">
        <f>CONCATENATE("           ",B8,"    ",C8)</f>
        <v xml:space="preserve">           P4    Produit 4</v>
      </c>
    </row>
    <row r="40" spans="1:7" x14ac:dyDescent="0.3">
      <c r="G40" s="19" t="str">
        <f>CONCATENATE("           ",B9,"    ",C9)</f>
        <v xml:space="preserve">           P5    Produit 5</v>
      </c>
    </row>
    <row r="43" spans="1:7" s="21" customFormat="1" x14ac:dyDescent="0.3">
      <c r="A43" s="7"/>
    </row>
    <row r="44" spans="1:7" s="21" customFormat="1" ht="0.9" customHeight="1" x14ac:dyDescent="0.3">
      <c r="A44" s="20"/>
    </row>
    <row r="45" spans="1:7" x14ac:dyDescent="0.3">
      <c r="C45" s="18"/>
    </row>
    <row r="54" spans="4:6" ht="15.6" x14ac:dyDescent="0.3">
      <c r="F54" s="9"/>
    </row>
    <row r="60" spans="4:6" x14ac:dyDescent="0.3">
      <c r="D60" s="22"/>
    </row>
    <row r="61" spans="4:6" x14ac:dyDescent="0.3">
      <c r="D61" s="8"/>
    </row>
    <row r="62" spans="4:6" x14ac:dyDescent="0.3">
      <c r="D62" s="8"/>
    </row>
    <row r="63" spans="4:6" x14ac:dyDescent="0.3">
      <c r="D63" s="8"/>
    </row>
    <row r="64" spans="4:6" x14ac:dyDescent="0.3">
      <c r="D64" s="8"/>
    </row>
    <row r="65" spans="4:4" x14ac:dyDescent="0.3">
      <c r="D65" s="8"/>
    </row>
    <row r="66" spans="4:4" x14ac:dyDescent="0.3">
      <c r="D66" s="8"/>
    </row>
    <row r="67" spans="4:4" x14ac:dyDescent="0.3">
      <c r="D67" s="8"/>
    </row>
    <row r="68" spans="4:4" x14ac:dyDescent="0.3">
      <c r="D68" s="8"/>
    </row>
    <row r="69" spans="4:4" x14ac:dyDescent="0.3">
      <c r="D69" s="8"/>
    </row>
    <row r="70" spans="4:4" x14ac:dyDescent="0.3">
      <c r="D70" s="8"/>
    </row>
    <row r="71" spans="4:4" x14ac:dyDescent="0.3">
      <c r="D71" s="8"/>
    </row>
    <row r="72" spans="4:4" x14ac:dyDescent="0.3">
      <c r="D72" s="8"/>
    </row>
    <row r="73" spans="4:4" x14ac:dyDescent="0.3">
      <c r="D73" s="8"/>
    </row>
    <row r="74" spans="4:4" x14ac:dyDescent="0.3">
      <c r="D74" s="8"/>
    </row>
    <row r="75" spans="4:4" x14ac:dyDescent="0.3">
      <c r="D75" s="8"/>
    </row>
    <row r="76" spans="4:4" x14ac:dyDescent="0.3">
      <c r="D76" s="8"/>
    </row>
    <row r="77" spans="4:4" x14ac:dyDescent="0.3">
      <c r="D77" s="8"/>
    </row>
    <row r="78" spans="4:4" x14ac:dyDescent="0.3">
      <c r="D78" s="8"/>
    </row>
    <row r="79" spans="4:4" x14ac:dyDescent="0.3">
      <c r="D79" s="8"/>
    </row>
  </sheetData>
  <sheetProtection sheet="1" objects="1" scenarios="1" formatCells="0" formatColumns="0" formatRows="0" insertHyperlinks="0" selectLockedCells="1" sort="0" autoFilter="0"/>
  <conditionalFormatting sqref="B5:H9">
    <cfRule type="expression" dxfId="134" priority="5">
      <formula>MOD(ROW(A1),2)=0</formula>
    </cfRule>
    <cfRule type="expression" dxfId="133" priority="6">
      <formula>MOD(ROW(A2),2)=0</formula>
    </cfRule>
  </conditionalFormatting>
  <conditionalFormatting sqref="D5:D9">
    <cfRule type="iconSet" priority="9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5:E9">
    <cfRule type="iconSet" priority="4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4">
    <dataValidation type="list" allowBlank="1" showInputMessage="1" showErrorMessage="1" sqref="D5:E9" xr:uid="{00000000-0002-0000-0500-000000000000}">
      <formula1>"1,2,3,4,5,6,7,8,9,10"</formula1>
    </dataValidation>
    <dataValidation type="list" allowBlank="1" showInputMessage="1" showErrorMessage="1" sqref="H5:H9 F5:F9 F16:F42" xr:uid="{00000000-0002-0000-0500-000001000000}">
      <formula1>"1,2,3"</formula1>
    </dataValidation>
    <dataValidation type="list" allowBlank="1" showInputMessage="1" showErrorMessage="1" sqref="D16:D42" xr:uid="{00000000-0002-0000-0500-000002000000}">
      <formula1>"1,2,3,4,5,6,7,8,9,10,11"</formula1>
    </dataValidation>
    <dataValidation type="list" allowBlank="1" showInputMessage="1" showErrorMessage="1" sqref="E16:E42" xr:uid="{00000000-0002-0000-0500-000003000000}">
      <formula1>"1,2,3,4,5"</formula1>
    </dataValidation>
  </dataValidations>
  <printOptions horizontalCentered="1"/>
  <pageMargins left="0.25" right="0.25" top="0.75" bottom="0.75" header="0.3" footer="0.3"/>
  <pageSetup paperSize="8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0" id="{A0940709-8031-4781-BE68-C0CB4E009DA2}">
            <x14:iconSet iconSet="3Stars" showValue="0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</x14:iconSet>
          </x14:cfRule>
          <xm:sqref>F5:F9</xm:sqref>
        </x14:conditionalFormatting>
        <x14:conditionalFormatting xmlns:xm="http://schemas.microsoft.com/office/excel/2006/main">
          <x14:cfRule type="iconSet" priority="1" id="{B610624C-529F-4777-B768-DBF6AA70A9D9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H5:H9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6">
    <tabColor theme="5" tint="0.59999389629810485"/>
    <pageSetUpPr fitToPage="1"/>
  </sheetPr>
  <dimension ref="A1:BD57"/>
  <sheetViews>
    <sheetView showGridLines="0" zoomScaleNormal="100" workbookViewId="0">
      <pane ySplit="4" topLeftCell="A5" activePane="bottomLeft" state="frozen"/>
      <selection activeCell="K1" sqref="K1"/>
      <selection pane="bottomLeft" activeCell="C2" sqref="C2"/>
    </sheetView>
  </sheetViews>
  <sheetFormatPr baseColWidth="10" defaultColWidth="11.44140625" defaultRowHeight="14.4" x14ac:dyDescent="0.3"/>
  <cols>
    <col min="1" max="1" width="7" style="7" customWidth="1"/>
    <col min="2" max="2" width="8.88671875" style="188" customWidth="1"/>
    <col min="3" max="3" width="26.44140625" style="188" customWidth="1"/>
    <col min="4" max="4" width="8.109375" style="188" customWidth="1"/>
    <col min="5" max="5" width="39" style="193" customWidth="1"/>
    <col min="6" max="6" width="12.33203125" style="193" customWidth="1"/>
    <col min="7" max="7" width="14.5546875" style="193" customWidth="1"/>
    <col min="8" max="8" width="7.44140625" style="21" customWidth="1"/>
    <col min="9" max="45" width="9.109375" style="188" customWidth="1"/>
    <col min="46" max="56" width="9.109375" style="189" customWidth="1"/>
    <col min="57" max="250" width="9.109375" style="188" customWidth="1"/>
    <col min="251" max="16384" width="11.44140625" style="188"/>
  </cols>
  <sheetData>
    <row r="1" spans="1:10" s="5" customFormat="1" ht="44.4" customHeight="1" x14ac:dyDescent="0.3">
      <c r="A1" s="2"/>
      <c r="B1" s="3" t="str">
        <f ca="1">' '!A405</f>
        <v>A N A L Y S E   D E S   P R O C E S S U S</v>
      </c>
      <c r="C1" s="3"/>
      <c r="D1" s="3"/>
      <c r="E1" s="191"/>
      <c r="F1" s="191"/>
      <c r="G1" s="191"/>
      <c r="H1" s="260"/>
    </row>
    <row r="2" spans="1:10" s="171" customFormat="1" ht="14.25" customHeight="1" x14ac:dyDescent="0.3">
      <c r="B2" s="236" t="str">
        <f ca="1">' '!A399</f>
        <v>du:</v>
      </c>
      <c r="C2" s="237">
        <v>41640</v>
      </c>
      <c r="D2" s="236" t="str">
        <f ca="1">' '!A400</f>
        <v>au:</v>
      </c>
      <c r="E2" s="238">
        <v>42004</v>
      </c>
      <c r="H2" s="7"/>
    </row>
    <row r="3" spans="1:10" s="65" customFormat="1" ht="10.5" customHeight="1" x14ac:dyDescent="0.3">
      <c r="A3" s="171"/>
      <c r="B3" s="186"/>
      <c r="D3" s="171"/>
      <c r="H3" s="21"/>
    </row>
    <row r="4" spans="1:10" ht="33" customHeight="1" x14ac:dyDescent="0.3">
      <c r="B4" s="353" t="str">
        <f ca="1">' '!A349</f>
        <v>Ranking</v>
      </c>
      <c r="C4" s="354" t="str">
        <f ca="1">' '!A406</f>
        <v>Processus</v>
      </c>
      <c r="D4" s="354" t="str">
        <f ca="1">' '!A408</f>
        <v>Nbr. amélio.</v>
      </c>
      <c r="E4" s="354" t="str">
        <f ca="1">' '!A407</f>
        <v>Améliorations</v>
      </c>
      <c r="F4" s="354" t="str">
        <f ca="1">' '!A412</f>
        <v>Plus-value pour clients</v>
      </c>
      <c r="G4" s="354" t="str">
        <f ca="1">' '!A409</f>
        <v>Date</v>
      </c>
      <c r="H4" s="355" t="str">
        <f ca="1">' '!A397</f>
        <v>Statut</v>
      </c>
      <c r="J4" s="189"/>
    </row>
    <row r="5" spans="1:10" s="190" customFormat="1" ht="23.4" x14ac:dyDescent="0.3">
      <c r="A5" s="7"/>
      <c r="B5" s="356">
        <f>IF(D5="","",RANK(D5,D$5:D$24)+COUNTIF(D$5:D5,D5)-1)</f>
        <v>20</v>
      </c>
      <c r="C5" s="357" t="s">
        <v>708</v>
      </c>
      <c r="D5" s="358">
        <v>2</v>
      </c>
      <c r="E5" s="359"/>
      <c r="F5" s="345">
        <v>2</v>
      </c>
      <c r="G5" s="360">
        <v>41275</v>
      </c>
      <c r="H5" s="361">
        <v>2</v>
      </c>
    </row>
    <row r="6" spans="1:10" s="190" customFormat="1" ht="23.4" x14ac:dyDescent="0.3">
      <c r="A6" s="7"/>
      <c r="B6" s="356">
        <f>IF(D6="","",RANK(D6,D$5:D$24)+COUNTIF(D$5:D6,D6)-1)</f>
        <v>19</v>
      </c>
      <c r="C6" s="357" t="s">
        <v>709</v>
      </c>
      <c r="D6" s="358">
        <v>3</v>
      </c>
      <c r="E6" s="359"/>
      <c r="F6" s="345">
        <v>6</v>
      </c>
      <c r="G6" s="360"/>
      <c r="H6" s="362"/>
    </row>
    <row r="7" spans="1:10" s="190" customFormat="1" ht="23.4" x14ac:dyDescent="0.3">
      <c r="A7" s="7"/>
      <c r="B7" s="356">
        <f>IF(D7="","",RANK(D7,D$5:D$24)+COUNTIF(D$5:D7,D7)-1)</f>
        <v>18</v>
      </c>
      <c r="C7" s="357" t="s">
        <v>710</v>
      </c>
      <c r="D7" s="358">
        <v>5</v>
      </c>
      <c r="E7" s="359"/>
      <c r="F7" s="345">
        <v>10</v>
      </c>
      <c r="G7" s="360"/>
      <c r="H7" s="361"/>
    </row>
    <row r="8" spans="1:10" s="190" customFormat="1" ht="23.4" x14ac:dyDescent="0.3">
      <c r="A8" s="7"/>
      <c r="B8" s="356">
        <f>IF(D8="","",RANK(D8,D$5:D$24)+COUNTIF(D$5:D8,D8)-1)</f>
        <v>2</v>
      </c>
      <c r="C8" s="357" t="s">
        <v>711</v>
      </c>
      <c r="D8" s="358">
        <v>9</v>
      </c>
      <c r="E8" s="359"/>
      <c r="F8" s="345"/>
      <c r="G8" s="360"/>
      <c r="H8" s="362"/>
    </row>
    <row r="9" spans="1:10" s="190" customFormat="1" ht="23.4" x14ac:dyDescent="0.3">
      <c r="A9" s="7"/>
      <c r="B9" s="356">
        <f>IF(D9="","",RANK(D9,D$5:D$24)+COUNTIF(D$5:D9,D9)-1)</f>
        <v>4</v>
      </c>
      <c r="C9" s="357" t="s">
        <v>712</v>
      </c>
      <c r="D9" s="358">
        <v>6</v>
      </c>
      <c r="E9" s="359"/>
      <c r="F9" s="345"/>
      <c r="G9" s="360"/>
      <c r="H9" s="361"/>
    </row>
    <row r="10" spans="1:10" s="190" customFormat="1" ht="23.4" x14ac:dyDescent="0.3">
      <c r="A10" s="7"/>
      <c r="B10" s="356">
        <f>IF(D10="","",RANK(D10,D$5:D$24)+COUNTIF(D$5:D10,D10)-1)</f>
        <v>1</v>
      </c>
      <c r="C10" s="357" t="s">
        <v>713</v>
      </c>
      <c r="D10" s="358">
        <v>10</v>
      </c>
      <c r="E10" s="359"/>
      <c r="F10" s="345"/>
      <c r="G10" s="360"/>
      <c r="H10" s="362"/>
    </row>
    <row r="11" spans="1:10" s="190" customFormat="1" ht="23.4" x14ac:dyDescent="0.3">
      <c r="A11" s="7"/>
      <c r="B11" s="356">
        <f>IF(D11="","",RANK(D11,D$5:D$24)+COUNTIF(D$5:D11,D11)-1)</f>
        <v>5</v>
      </c>
      <c r="C11" s="357" t="s">
        <v>714</v>
      </c>
      <c r="D11" s="358">
        <v>6</v>
      </c>
      <c r="E11" s="359"/>
      <c r="F11" s="345"/>
      <c r="G11" s="360"/>
      <c r="H11" s="361"/>
    </row>
    <row r="12" spans="1:10" s="190" customFormat="1" ht="23.4" x14ac:dyDescent="0.3">
      <c r="A12" s="7"/>
      <c r="B12" s="356">
        <f>IF(D12="","",RANK(D12,D$5:D$24)+COUNTIF(D$5:D12,D12)-1)</f>
        <v>6</v>
      </c>
      <c r="C12" s="357" t="s">
        <v>715</v>
      </c>
      <c r="D12" s="358">
        <v>6</v>
      </c>
      <c r="E12" s="359"/>
      <c r="F12" s="345"/>
      <c r="G12" s="360"/>
      <c r="H12" s="362"/>
    </row>
    <row r="13" spans="1:10" s="190" customFormat="1" ht="23.4" x14ac:dyDescent="0.3">
      <c r="A13" s="7"/>
      <c r="B13" s="356">
        <f>IF(D13="","",RANK(D13,D$5:D$24)+COUNTIF(D$5:D13,D13)-1)</f>
        <v>7</v>
      </c>
      <c r="C13" s="357" t="s">
        <v>716</v>
      </c>
      <c r="D13" s="358">
        <v>6</v>
      </c>
      <c r="E13" s="359"/>
      <c r="F13" s="345"/>
      <c r="G13" s="360"/>
      <c r="H13" s="361"/>
    </row>
    <row r="14" spans="1:10" s="190" customFormat="1" ht="23.4" x14ac:dyDescent="0.3">
      <c r="A14" s="7"/>
      <c r="B14" s="356">
        <f>IF(D14="","",RANK(D14,D$5:D$24)+COUNTIF(D$5:D14,D14)-1)</f>
        <v>8</v>
      </c>
      <c r="C14" s="357" t="s">
        <v>717</v>
      </c>
      <c r="D14" s="358">
        <v>6</v>
      </c>
      <c r="E14" s="359"/>
      <c r="F14" s="345"/>
      <c r="G14" s="360"/>
      <c r="H14" s="362"/>
    </row>
    <row r="15" spans="1:10" s="190" customFormat="1" ht="23.4" x14ac:dyDescent="0.3">
      <c r="A15" s="7"/>
      <c r="B15" s="356">
        <f>IF(D15="","",RANK(D15,D$5:D$24)+COUNTIF(D$5:D15,D15)-1)</f>
        <v>9</v>
      </c>
      <c r="C15" s="357" t="s">
        <v>718</v>
      </c>
      <c r="D15" s="358">
        <v>6</v>
      </c>
      <c r="E15" s="359"/>
      <c r="F15" s="345"/>
      <c r="G15" s="360"/>
      <c r="H15" s="361"/>
    </row>
    <row r="16" spans="1:10" s="190" customFormat="1" ht="23.4" x14ac:dyDescent="0.3">
      <c r="A16" s="7"/>
      <c r="B16" s="356">
        <f>IF(D16="","",RANK(D16,D$5:D$24)+COUNTIF(D$5:D16,D16)-1)</f>
        <v>10</v>
      </c>
      <c r="C16" s="357" t="s">
        <v>719</v>
      </c>
      <c r="D16" s="358">
        <v>6</v>
      </c>
      <c r="E16" s="359"/>
      <c r="F16" s="345"/>
      <c r="G16" s="360"/>
      <c r="H16" s="362"/>
    </row>
    <row r="17" spans="1:8" s="190" customFormat="1" ht="23.4" x14ac:dyDescent="0.3">
      <c r="A17" s="7"/>
      <c r="B17" s="356">
        <f>IF(D17="","",RANK(D17,D$5:D$24)+COUNTIF(D$5:D17,D17)-1)</f>
        <v>11</v>
      </c>
      <c r="C17" s="357" t="s">
        <v>720</v>
      </c>
      <c r="D17" s="358">
        <v>6</v>
      </c>
      <c r="E17" s="359"/>
      <c r="F17" s="345"/>
      <c r="G17" s="360"/>
      <c r="H17" s="362"/>
    </row>
    <row r="18" spans="1:8" s="190" customFormat="1" ht="23.4" x14ac:dyDescent="0.3">
      <c r="A18" s="7"/>
      <c r="B18" s="356">
        <f>IF(D18="","",RANK(D18,D$5:D$24)+COUNTIF(D$5:D18,D18)-1)</f>
        <v>12</v>
      </c>
      <c r="C18" s="357" t="s">
        <v>721</v>
      </c>
      <c r="D18" s="358">
        <v>6</v>
      </c>
      <c r="E18" s="359"/>
      <c r="F18" s="345"/>
      <c r="G18" s="360"/>
      <c r="H18" s="361"/>
    </row>
    <row r="19" spans="1:8" s="190" customFormat="1" ht="23.4" x14ac:dyDescent="0.3">
      <c r="A19" s="7"/>
      <c r="B19" s="356">
        <f>IF(D19="","",RANK(D19,D$5:D$24)+COUNTIF(D$5:D19,D19)-1)</f>
        <v>3</v>
      </c>
      <c r="C19" s="357" t="s">
        <v>722</v>
      </c>
      <c r="D19" s="358">
        <v>8</v>
      </c>
      <c r="E19" s="359"/>
      <c r="F19" s="345"/>
      <c r="G19" s="360"/>
      <c r="H19" s="362"/>
    </row>
    <row r="20" spans="1:8" s="190" customFormat="1" ht="23.4" x14ac:dyDescent="0.3">
      <c r="A20" s="7"/>
      <c r="B20" s="356">
        <f>IF(D20="","",RANK(D20,D$5:D$24)+COUNTIF(D$5:D20,D20)-1)</f>
        <v>13</v>
      </c>
      <c r="C20" s="357" t="s">
        <v>723</v>
      </c>
      <c r="D20" s="358">
        <v>6</v>
      </c>
      <c r="E20" s="359"/>
      <c r="F20" s="345"/>
      <c r="G20" s="360"/>
      <c r="H20" s="361"/>
    </row>
    <row r="21" spans="1:8" s="190" customFormat="1" ht="23.4" x14ac:dyDescent="0.3">
      <c r="A21" s="7"/>
      <c r="B21" s="356">
        <f>IF(D21="","",RANK(D21,D$5:D$24)+COUNTIF(D$5:D21,D21)-1)</f>
        <v>14</v>
      </c>
      <c r="C21" s="357" t="s">
        <v>724</v>
      </c>
      <c r="D21" s="358">
        <v>6</v>
      </c>
      <c r="E21" s="359"/>
      <c r="F21" s="345"/>
      <c r="G21" s="360"/>
      <c r="H21" s="362"/>
    </row>
    <row r="22" spans="1:8" s="190" customFormat="1" ht="23.4" x14ac:dyDescent="0.3">
      <c r="A22" s="7"/>
      <c r="B22" s="356">
        <f>IF(D22="","",RANK(D22,D$5:D$24)+COUNTIF(D$5:D22,D22)-1)</f>
        <v>15</v>
      </c>
      <c r="C22" s="357" t="s">
        <v>725</v>
      </c>
      <c r="D22" s="358">
        <v>6</v>
      </c>
      <c r="E22" s="359"/>
      <c r="F22" s="345"/>
      <c r="G22" s="360"/>
      <c r="H22" s="362"/>
    </row>
    <row r="23" spans="1:8" s="190" customFormat="1" ht="23.4" x14ac:dyDescent="0.3">
      <c r="A23" s="7"/>
      <c r="B23" s="356">
        <f>IF(D23="","",RANK(D23,D$5:D$24)+COUNTIF(D$5:D23,D23)-1)</f>
        <v>16</v>
      </c>
      <c r="C23" s="357" t="s">
        <v>726</v>
      </c>
      <c r="D23" s="358">
        <v>6</v>
      </c>
      <c r="E23" s="359"/>
      <c r="F23" s="345"/>
      <c r="G23" s="360"/>
      <c r="H23" s="361"/>
    </row>
    <row r="24" spans="1:8" s="190" customFormat="1" ht="23.4" x14ac:dyDescent="0.3">
      <c r="A24" s="7"/>
      <c r="B24" s="363">
        <f>IF(D24="","",RANK(D24,D$5:D$24)+COUNTIF(D$5:D24,D24)-1)</f>
        <v>17</v>
      </c>
      <c r="C24" s="364" t="s">
        <v>727</v>
      </c>
      <c r="D24" s="365">
        <v>6</v>
      </c>
      <c r="E24" s="366"/>
      <c r="F24" s="350"/>
      <c r="G24" s="367"/>
      <c r="H24" s="368"/>
    </row>
    <row r="25" spans="1:8" x14ac:dyDescent="0.3">
      <c r="A25" s="171"/>
      <c r="B25" s="335" t="s">
        <v>1776</v>
      </c>
      <c r="C25" s="189"/>
      <c r="D25" s="189"/>
      <c r="E25" s="189"/>
      <c r="F25" s="189"/>
      <c r="G25" s="189"/>
    </row>
    <row r="26" spans="1:8" x14ac:dyDescent="0.3">
      <c r="A26" s="171"/>
      <c r="B26" s="189"/>
      <c r="C26" s="189"/>
      <c r="D26" s="189"/>
      <c r="E26" s="189"/>
      <c r="F26" s="189"/>
      <c r="G26" s="189"/>
    </row>
    <row r="27" spans="1:8" x14ac:dyDescent="0.3">
      <c r="A27" s="171"/>
      <c r="B27" s="189"/>
      <c r="C27" s="189"/>
      <c r="D27" s="189"/>
      <c r="E27" s="189"/>
      <c r="F27" s="189"/>
      <c r="G27" s="189"/>
    </row>
    <row r="28" spans="1:8" x14ac:dyDescent="0.3">
      <c r="A28" s="171"/>
      <c r="B28" s="193" t="s">
        <v>0</v>
      </c>
      <c r="C28" s="193" t="s">
        <v>1</v>
      </c>
      <c r="D28" s="193" t="s">
        <v>2</v>
      </c>
      <c r="E28" s="194" t="s">
        <v>3</v>
      </c>
      <c r="F28" s="194"/>
      <c r="G28" s="235"/>
    </row>
    <row r="29" spans="1:8" x14ac:dyDescent="0.3">
      <c r="A29" s="171"/>
      <c r="B29" s="195" t="str">
        <f t="shared" ref="B29:B48" si="0">IF(D5="","",INDEX($B$5:$D$24,MATCH(D29,$B$5:$B$24,0),2))</f>
        <v>Process 6</v>
      </c>
      <c r="C29" s="195">
        <f t="shared" ref="C29:C48" si="1">IF(D5="","",INDEX($B$5:$D$24,MATCH(D29,$B$5:$B$24,0),3))</f>
        <v>10</v>
      </c>
      <c r="D29" s="195">
        <v>1</v>
      </c>
      <c r="E29" s="196">
        <f>IF(C29="","",C29/SUM($C$29:$C$48))</f>
        <v>8.2644628099173556E-2</v>
      </c>
      <c r="F29" s="196"/>
      <c r="G29" s="233"/>
    </row>
    <row r="30" spans="1:8" x14ac:dyDescent="0.3">
      <c r="A30" s="171"/>
      <c r="B30" s="195" t="str">
        <f t="shared" si="0"/>
        <v>Process 4</v>
      </c>
      <c r="C30" s="195">
        <f t="shared" si="1"/>
        <v>9</v>
      </c>
      <c r="D30" s="195">
        <v>2</v>
      </c>
      <c r="E30" s="196">
        <f t="shared" ref="E30:E48" si="2">IF(C30="","",(C30/SUM($C$29:$C$48)+E29))</f>
        <v>0.15702479338842976</v>
      </c>
      <c r="F30" s="196"/>
      <c r="G30" s="233"/>
    </row>
    <row r="31" spans="1:8" x14ac:dyDescent="0.3">
      <c r="A31" s="171"/>
      <c r="B31" s="195" t="str">
        <f t="shared" si="0"/>
        <v>Process 15</v>
      </c>
      <c r="C31" s="195">
        <f t="shared" si="1"/>
        <v>8</v>
      </c>
      <c r="D31" s="195">
        <v>3</v>
      </c>
      <c r="E31" s="196">
        <f t="shared" si="2"/>
        <v>0.2231404958677686</v>
      </c>
      <c r="F31" s="196"/>
      <c r="G31" s="233"/>
    </row>
    <row r="32" spans="1:8" x14ac:dyDescent="0.3">
      <c r="A32" s="171"/>
      <c r="B32" s="195" t="str">
        <f t="shared" si="0"/>
        <v>Process 5</v>
      </c>
      <c r="C32" s="195">
        <f t="shared" si="1"/>
        <v>6</v>
      </c>
      <c r="D32" s="195">
        <v>4</v>
      </c>
      <c r="E32" s="196">
        <f t="shared" si="2"/>
        <v>0.27272727272727271</v>
      </c>
      <c r="F32" s="196"/>
      <c r="G32" s="233"/>
    </row>
    <row r="33" spans="1:7" x14ac:dyDescent="0.3">
      <c r="A33" s="171"/>
      <c r="B33" s="195" t="str">
        <f t="shared" si="0"/>
        <v>Process 7</v>
      </c>
      <c r="C33" s="195">
        <f t="shared" si="1"/>
        <v>6</v>
      </c>
      <c r="D33" s="195">
        <v>5</v>
      </c>
      <c r="E33" s="196">
        <f t="shared" si="2"/>
        <v>0.32231404958677684</v>
      </c>
      <c r="F33" s="196"/>
      <c r="G33" s="233"/>
    </row>
    <row r="34" spans="1:7" x14ac:dyDescent="0.3">
      <c r="A34" s="171"/>
      <c r="B34" s="195" t="str">
        <f t="shared" si="0"/>
        <v>Process 8</v>
      </c>
      <c r="C34" s="195">
        <f t="shared" si="1"/>
        <v>6</v>
      </c>
      <c r="D34" s="195">
        <v>6</v>
      </c>
      <c r="E34" s="196">
        <f t="shared" si="2"/>
        <v>0.37190082644628097</v>
      </c>
      <c r="F34" s="196"/>
      <c r="G34" s="233"/>
    </row>
    <row r="35" spans="1:7" x14ac:dyDescent="0.3">
      <c r="A35" s="171"/>
      <c r="B35" s="195" t="str">
        <f t="shared" si="0"/>
        <v>Process 9</v>
      </c>
      <c r="C35" s="195">
        <f t="shared" si="1"/>
        <v>6</v>
      </c>
      <c r="D35" s="195">
        <v>7</v>
      </c>
      <c r="E35" s="196">
        <f t="shared" si="2"/>
        <v>0.42148760330578511</v>
      </c>
      <c r="F35" s="196"/>
      <c r="G35" s="233"/>
    </row>
    <row r="36" spans="1:7" x14ac:dyDescent="0.3">
      <c r="A36" s="171"/>
      <c r="B36" s="195" t="str">
        <f t="shared" si="0"/>
        <v>Process 10</v>
      </c>
      <c r="C36" s="195">
        <f t="shared" si="1"/>
        <v>6</v>
      </c>
      <c r="D36" s="195">
        <v>8</v>
      </c>
      <c r="E36" s="196">
        <f t="shared" si="2"/>
        <v>0.47107438016528924</v>
      </c>
      <c r="F36" s="196"/>
      <c r="G36" s="233"/>
    </row>
    <row r="37" spans="1:7" x14ac:dyDescent="0.3">
      <c r="A37" s="171"/>
      <c r="B37" s="195" t="str">
        <f t="shared" si="0"/>
        <v>Process 11</v>
      </c>
      <c r="C37" s="195">
        <f t="shared" si="1"/>
        <v>6</v>
      </c>
      <c r="D37" s="195">
        <v>9</v>
      </c>
      <c r="E37" s="196">
        <f t="shared" si="2"/>
        <v>0.52066115702479343</v>
      </c>
      <c r="F37" s="196"/>
      <c r="G37" s="233"/>
    </row>
    <row r="38" spans="1:7" x14ac:dyDescent="0.3">
      <c r="A38" s="171"/>
      <c r="B38" s="195" t="str">
        <f t="shared" si="0"/>
        <v>Process 12</v>
      </c>
      <c r="C38" s="195">
        <f t="shared" si="1"/>
        <v>6</v>
      </c>
      <c r="D38" s="195">
        <v>10</v>
      </c>
      <c r="E38" s="196">
        <f t="shared" si="2"/>
        <v>0.57024793388429762</v>
      </c>
      <c r="F38" s="196"/>
      <c r="G38" s="233"/>
    </row>
    <row r="39" spans="1:7" x14ac:dyDescent="0.3">
      <c r="A39" s="171"/>
      <c r="B39" s="195" t="str">
        <f t="shared" si="0"/>
        <v>Process 13</v>
      </c>
      <c r="C39" s="195">
        <f t="shared" si="1"/>
        <v>6</v>
      </c>
      <c r="D39" s="195">
        <v>11</v>
      </c>
      <c r="E39" s="196">
        <f t="shared" si="2"/>
        <v>0.61983471074380181</v>
      </c>
      <c r="F39" s="196"/>
      <c r="G39" s="233"/>
    </row>
    <row r="40" spans="1:7" x14ac:dyDescent="0.3">
      <c r="A40" s="171"/>
      <c r="B40" s="195" t="str">
        <f t="shared" si="0"/>
        <v>Process 14</v>
      </c>
      <c r="C40" s="195">
        <f t="shared" si="1"/>
        <v>6</v>
      </c>
      <c r="D40" s="195">
        <v>12</v>
      </c>
      <c r="E40" s="196">
        <f t="shared" si="2"/>
        <v>0.669421487603306</v>
      </c>
      <c r="F40" s="196"/>
      <c r="G40" s="233"/>
    </row>
    <row r="41" spans="1:7" x14ac:dyDescent="0.3">
      <c r="A41" s="171"/>
      <c r="B41" s="195" t="str">
        <f t="shared" si="0"/>
        <v>Process 16</v>
      </c>
      <c r="C41" s="195">
        <f t="shared" si="1"/>
        <v>6</v>
      </c>
      <c r="D41" s="195">
        <v>13</v>
      </c>
      <c r="E41" s="196">
        <f t="shared" si="2"/>
        <v>0.71900826446281019</v>
      </c>
      <c r="F41" s="196"/>
      <c r="G41" s="233"/>
    </row>
    <row r="42" spans="1:7" x14ac:dyDescent="0.3">
      <c r="A42" s="171"/>
      <c r="B42" s="195" t="str">
        <f t="shared" si="0"/>
        <v>Process 17</v>
      </c>
      <c r="C42" s="195">
        <f t="shared" si="1"/>
        <v>6</v>
      </c>
      <c r="D42" s="195">
        <v>14</v>
      </c>
      <c r="E42" s="196">
        <f t="shared" si="2"/>
        <v>0.76859504132231438</v>
      </c>
      <c r="F42" s="196"/>
      <c r="G42" s="233"/>
    </row>
    <row r="43" spans="1:7" x14ac:dyDescent="0.3">
      <c r="A43" s="171"/>
      <c r="B43" s="195" t="str">
        <f t="shared" si="0"/>
        <v>Process 18</v>
      </c>
      <c r="C43" s="195">
        <f t="shared" si="1"/>
        <v>6</v>
      </c>
      <c r="D43" s="195">
        <v>15</v>
      </c>
      <c r="E43" s="196">
        <f t="shared" si="2"/>
        <v>0.81818181818181857</v>
      </c>
      <c r="F43" s="196"/>
      <c r="G43" s="233"/>
    </row>
    <row r="44" spans="1:7" x14ac:dyDescent="0.3">
      <c r="A44" s="171"/>
      <c r="B44" s="195" t="str">
        <f t="shared" si="0"/>
        <v>Process 19</v>
      </c>
      <c r="C44" s="195">
        <f t="shared" si="1"/>
        <v>6</v>
      </c>
      <c r="D44" s="195">
        <v>16</v>
      </c>
      <c r="E44" s="196">
        <f t="shared" si="2"/>
        <v>0.86776859504132275</v>
      </c>
      <c r="F44" s="196"/>
      <c r="G44" s="233"/>
    </row>
    <row r="45" spans="1:7" x14ac:dyDescent="0.3">
      <c r="A45" s="171"/>
      <c r="B45" s="195" t="str">
        <f t="shared" si="0"/>
        <v>Process 20</v>
      </c>
      <c r="C45" s="195">
        <f t="shared" si="1"/>
        <v>6</v>
      </c>
      <c r="D45" s="195">
        <v>17</v>
      </c>
      <c r="E45" s="196">
        <f t="shared" si="2"/>
        <v>0.91735537190082694</v>
      </c>
      <c r="F45" s="196"/>
      <c r="G45" s="233"/>
    </row>
    <row r="46" spans="1:7" x14ac:dyDescent="0.3">
      <c r="A46" s="171"/>
      <c r="B46" s="195" t="str">
        <f t="shared" si="0"/>
        <v>Process 3</v>
      </c>
      <c r="C46" s="195">
        <f t="shared" si="1"/>
        <v>5</v>
      </c>
      <c r="D46" s="195">
        <v>18</v>
      </c>
      <c r="E46" s="196">
        <f t="shared" si="2"/>
        <v>0.95867768595041369</v>
      </c>
      <c r="F46" s="196"/>
      <c r="G46" s="233"/>
    </row>
    <row r="47" spans="1:7" x14ac:dyDescent="0.3">
      <c r="A47" s="171"/>
      <c r="B47" s="195" t="str">
        <f t="shared" si="0"/>
        <v>Process 2</v>
      </c>
      <c r="C47" s="195">
        <f t="shared" si="1"/>
        <v>3</v>
      </c>
      <c r="D47" s="195">
        <v>19</v>
      </c>
      <c r="E47" s="196">
        <f t="shared" si="2"/>
        <v>0.98347107438016579</v>
      </c>
      <c r="F47" s="196"/>
      <c r="G47" s="233"/>
    </row>
    <row r="48" spans="1:7" x14ac:dyDescent="0.3">
      <c r="A48" s="171"/>
      <c r="B48" s="195" t="str">
        <f t="shared" si="0"/>
        <v>Process 1</v>
      </c>
      <c r="C48" s="195">
        <f t="shared" si="1"/>
        <v>2</v>
      </c>
      <c r="D48" s="195">
        <v>20</v>
      </c>
      <c r="E48" s="196">
        <f t="shared" si="2"/>
        <v>1.0000000000000004</v>
      </c>
      <c r="F48" s="196"/>
      <c r="G48" s="233"/>
    </row>
    <row r="49" spans="1:7" x14ac:dyDescent="0.3">
      <c r="A49" s="171"/>
      <c r="B49" s="189"/>
      <c r="C49" s="189"/>
      <c r="D49" s="189"/>
      <c r="E49" s="189"/>
      <c r="F49" s="189"/>
      <c r="G49" s="189"/>
    </row>
    <row r="50" spans="1:7" x14ac:dyDescent="0.3">
      <c r="A50" s="171"/>
      <c r="B50" s="189"/>
      <c r="C50" s="189"/>
      <c r="D50" s="189"/>
      <c r="E50" s="189"/>
      <c r="F50" s="189"/>
      <c r="G50" s="189"/>
    </row>
    <row r="51" spans="1:7" x14ac:dyDescent="0.3">
      <c r="A51" s="171"/>
      <c r="B51" s="189"/>
      <c r="C51" s="189"/>
      <c r="D51" s="189"/>
      <c r="E51" s="189"/>
      <c r="F51" s="189"/>
      <c r="G51" s="189"/>
    </row>
    <row r="52" spans="1:7" x14ac:dyDescent="0.3">
      <c r="A52" s="171"/>
      <c r="B52" s="189"/>
      <c r="C52" s="189"/>
      <c r="D52" s="189"/>
      <c r="E52" s="189"/>
      <c r="F52" s="189"/>
      <c r="G52" s="189"/>
    </row>
    <row r="53" spans="1:7" x14ac:dyDescent="0.3">
      <c r="A53" s="171"/>
      <c r="B53" s="189"/>
      <c r="C53" s="189"/>
      <c r="D53" s="189"/>
      <c r="E53" s="189"/>
      <c r="F53" s="189"/>
      <c r="G53" s="189"/>
    </row>
    <row r="54" spans="1:7" x14ac:dyDescent="0.3">
      <c r="A54" s="171"/>
      <c r="B54" s="189"/>
      <c r="C54" s="189"/>
      <c r="D54" s="189"/>
      <c r="E54" s="189"/>
      <c r="F54" s="189"/>
      <c r="G54" s="189"/>
    </row>
    <row r="55" spans="1:7" x14ac:dyDescent="0.3">
      <c r="A55" s="171"/>
      <c r="B55" s="189"/>
      <c r="C55" s="189"/>
      <c r="D55" s="189"/>
      <c r="E55" s="189"/>
      <c r="F55" s="189"/>
      <c r="G55" s="189"/>
    </row>
    <row r="57" spans="1:7" ht="0.9" customHeight="1" x14ac:dyDescent="0.3">
      <c r="A57" s="20"/>
    </row>
  </sheetData>
  <sheetProtection sheet="1" objects="1" scenarios="1" formatCells="0" formatColumns="0" formatRows="0" insertHyperlinks="0" selectLockedCells="1" sort="0" autoFilter="0"/>
  <conditionalFormatting sqref="B5:H24">
    <cfRule type="expression" dxfId="132" priority="2">
      <formula>MOD(ROW(A1048575),2)=0</formula>
    </cfRule>
    <cfRule type="expression" dxfId="131" priority="3">
      <formula>MOD(ROW(A1048574),2)=0</formula>
    </cfRule>
  </conditionalFormatting>
  <conditionalFormatting sqref="F5:F2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2">
    <dataValidation type="list" allowBlank="1" showInputMessage="1" showErrorMessage="1" sqref="H5:H21" xr:uid="{00000000-0002-0000-0600-000000000000}">
      <formula1>"1,2,3"</formula1>
    </dataValidation>
    <dataValidation type="list" allowBlank="1" showInputMessage="1" showErrorMessage="1" sqref="F5:F24" xr:uid="{00000000-0002-0000-0600-000001000000}">
      <formula1>"1,2,3,4,5,6,7,8,9,10"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orientation="portrait" horizontalDpi="1200" verticalDpi="1200" r:id="rId1"/>
  <headerFooter alignWithMargins="0">
    <oddFooter>&amp;L&amp;8&amp;K00-049(c)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2303418E-CD4B-44F3-9116-56A5385C4FC5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H5:H24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19">
    <tabColor theme="5" tint="0.59999389629810485"/>
    <pageSetUpPr fitToPage="1"/>
  </sheetPr>
  <dimension ref="A1:BE57"/>
  <sheetViews>
    <sheetView showGridLines="0" zoomScaleNormal="100" workbookViewId="0">
      <pane ySplit="4" topLeftCell="A5" activePane="bottomLeft" state="frozen"/>
      <selection activeCell="K1" sqref="K1"/>
      <selection pane="bottomLeft" activeCell="C2" sqref="C2"/>
    </sheetView>
  </sheetViews>
  <sheetFormatPr baseColWidth="10" defaultColWidth="11.44140625" defaultRowHeight="14.4" x14ac:dyDescent="0.3"/>
  <cols>
    <col min="1" max="1" width="7" style="7" customWidth="1"/>
    <col min="2" max="2" width="8.88671875" style="188" customWidth="1"/>
    <col min="3" max="3" width="26.44140625" style="188" customWidth="1"/>
    <col min="4" max="4" width="8.109375" style="188" customWidth="1"/>
    <col min="5" max="5" width="25.44140625" style="193" customWidth="1"/>
    <col min="6" max="7" width="34.33203125" style="193" customWidth="1"/>
    <col min="8" max="8" width="16" style="193" customWidth="1"/>
    <col min="9" max="9" width="7.44140625" style="21" customWidth="1"/>
    <col min="10" max="46" width="9.109375" style="188" customWidth="1"/>
    <col min="47" max="57" width="9.109375" style="189" customWidth="1"/>
    <col min="58" max="251" width="9.109375" style="188" customWidth="1"/>
    <col min="252" max="16384" width="11.44140625" style="188"/>
  </cols>
  <sheetData>
    <row r="1" spans="1:11" s="5" customFormat="1" ht="44.4" customHeight="1" x14ac:dyDescent="0.3">
      <c r="A1" s="2"/>
      <c r="B1" s="3" t="str">
        <f ca="1">' '!A392</f>
        <v>A N A L Y S E   D E S   E R R E U R E S</v>
      </c>
      <c r="C1" s="3"/>
      <c r="D1" s="3"/>
      <c r="E1" s="191"/>
      <c r="F1" s="191"/>
      <c r="G1" s="191"/>
      <c r="H1" s="191"/>
      <c r="I1" s="260"/>
    </row>
    <row r="2" spans="1:11" s="171" customFormat="1" ht="14.25" customHeight="1" x14ac:dyDescent="0.3">
      <c r="B2" s="236" t="str">
        <f ca="1">' '!A399</f>
        <v>du:</v>
      </c>
      <c r="C2" s="237">
        <v>41640</v>
      </c>
      <c r="D2" s="236" t="str">
        <f ca="1">' '!A400</f>
        <v>au:</v>
      </c>
      <c r="E2" s="238">
        <v>42004</v>
      </c>
      <c r="I2" s="7"/>
    </row>
    <row r="3" spans="1:11" s="65" customFormat="1" ht="10.5" customHeight="1" x14ac:dyDescent="0.3">
      <c r="A3" s="171"/>
      <c r="B3" s="186"/>
      <c r="D3" s="171"/>
      <c r="I3" s="21"/>
    </row>
    <row r="4" spans="1:11" ht="33" customHeight="1" x14ac:dyDescent="0.3">
      <c r="B4" s="353" t="str">
        <f ca="1">' '!A349</f>
        <v>Ranking</v>
      </c>
      <c r="C4" s="354" t="str">
        <f ca="1">' '!A394</f>
        <v>Erreur</v>
      </c>
      <c r="D4" s="354" t="str">
        <f ca="1">' '!A351</f>
        <v>Fré-quence</v>
      </c>
      <c r="E4" s="354" t="str">
        <f ca="1">' '!A393</f>
        <v>Processus / Produit / Prestation de service</v>
      </c>
      <c r="F4" s="354" t="str">
        <f ca="1">' '!A395</f>
        <v>Raisons</v>
      </c>
      <c r="G4" s="354" t="str">
        <f ca="1">' '!A396</f>
        <v>Innovations possibles pour éviter les erreurs</v>
      </c>
      <c r="H4" s="354" t="str">
        <f ca="1">' '!A398</f>
        <v>Probabilité d'occurence</v>
      </c>
      <c r="I4" s="355" t="str">
        <f ca="1">' '!A397</f>
        <v>Statut</v>
      </c>
      <c r="K4" s="189"/>
    </row>
    <row r="5" spans="1:11" s="190" customFormat="1" ht="23.4" x14ac:dyDescent="0.3">
      <c r="A5" s="7"/>
      <c r="B5" s="356">
        <f>IF(D5="","",RANK(D5,D$5:D$24)+COUNTIF(D$5:D5,D5)-1)</f>
        <v>5</v>
      </c>
      <c r="C5" s="359" t="s">
        <v>657</v>
      </c>
      <c r="D5" s="358">
        <v>15</v>
      </c>
      <c r="E5" s="359"/>
      <c r="F5" s="359"/>
      <c r="G5" s="359"/>
      <c r="H5" s="345">
        <v>2</v>
      </c>
      <c r="I5" s="361">
        <v>2</v>
      </c>
    </row>
    <row r="6" spans="1:11" s="190" customFormat="1" ht="23.4" x14ac:dyDescent="0.3">
      <c r="A6" s="7"/>
      <c r="B6" s="356">
        <f>IF(D6="","",RANK(D6,D$5:D$24)+COUNTIF(D$5:D6,D6)-1)</f>
        <v>18</v>
      </c>
      <c r="C6" s="359" t="s">
        <v>658</v>
      </c>
      <c r="D6" s="358">
        <v>2</v>
      </c>
      <c r="E6" s="359"/>
      <c r="F6" s="359"/>
      <c r="G6" s="359"/>
      <c r="H6" s="345">
        <v>1</v>
      </c>
      <c r="I6" s="362"/>
    </row>
    <row r="7" spans="1:11" s="190" customFormat="1" ht="23.4" x14ac:dyDescent="0.3">
      <c r="A7" s="7"/>
      <c r="B7" s="356">
        <f>IF(D7="","",RANK(D7,D$5:D$24)+COUNTIF(D$5:D7,D7)-1)</f>
        <v>10</v>
      </c>
      <c r="C7" s="359" t="s">
        <v>659</v>
      </c>
      <c r="D7" s="358">
        <v>10</v>
      </c>
      <c r="E7" s="359"/>
      <c r="F7" s="359"/>
      <c r="G7" s="359"/>
      <c r="H7" s="345"/>
      <c r="I7" s="361"/>
    </row>
    <row r="8" spans="1:11" s="190" customFormat="1" ht="23.4" x14ac:dyDescent="0.3">
      <c r="A8" s="7"/>
      <c r="B8" s="356">
        <f>IF(D8="","",RANK(D8,D$5:D$24)+COUNTIF(D$5:D8,D8)-1)</f>
        <v>15</v>
      </c>
      <c r="C8" s="359" t="s">
        <v>660</v>
      </c>
      <c r="D8" s="358">
        <v>5</v>
      </c>
      <c r="E8" s="359"/>
      <c r="F8" s="359"/>
      <c r="G8" s="359"/>
      <c r="H8" s="345"/>
      <c r="I8" s="362"/>
    </row>
    <row r="9" spans="1:11" s="190" customFormat="1" ht="23.4" x14ac:dyDescent="0.3">
      <c r="A9" s="7"/>
      <c r="B9" s="356">
        <f>IF(D9="","",RANK(D9,D$5:D$24)+COUNTIF(D$5:D9,D9)-1)</f>
        <v>13</v>
      </c>
      <c r="C9" s="359" t="s">
        <v>661</v>
      </c>
      <c r="D9" s="358">
        <v>7</v>
      </c>
      <c r="E9" s="359"/>
      <c r="F9" s="359"/>
      <c r="G9" s="359"/>
      <c r="H9" s="345"/>
      <c r="I9" s="361"/>
    </row>
    <row r="10" spans="1:11" s="190" customFormat="1" ht="23.4" x14ac:dyDescent="0.3">
      <c r="A10" s="7"/>
      <c r="B10" s="356">
        <f>IF(D10="","",RANK(D10,D$5:D$24)+COUNTIF(D$5:D10,D10)-1)</f>
        <v>6</v>
      </c>
      <c r="C10" s="359" t="s">
        <v>662</v>
      </c>
      <c r="D10" s="358">
        <v>15</v>
      </c>
      <c r="E10" s="359"/>
      <c r="F10" s="359"/>
      <c r="G10" s="359"/>
      <c r="H10" s="345"/>
      <c r="I10" s="362"/>
    </row>
    <row r="11" spans="1:11" s="190" customFormat="1" ht="23.4" x14ac:dyDescent="0.3">
      <c r="A11" s="7"/>
      <c r="B11" s="356">
        <f>IF(D11="","",RANK(D11,D$5:D$24)+COUNTIF(D$5:D11,D11)-1)</f>
        <v>14</v>
      </c>
      <c r="C11" s="359" t="s">
        <v>663</v>
      </c>
      <c r="D11" s="358">
        <v>7</v>
      </c>
      <c r="E11" s="359"/>
      <c r="F11" s="359"/>
      <c r="G11" s="359"/>
      <c r="H11" s="345"/>
      <c r="I11" s="361"/>
    </row>
    <row r="12" spans="1:11" s="190" customFormat="1" ht="23.4" x14ac:dyDescent="0.3">
      <c r="A12" s="7"/>
      <c r="B12" s="356">
        <f>IF(D12="","",RANK(D12,D$5:D$24)+COUNTIF(D$5:D12,D12)-1)</f>
        <v>2</v>
      </c>
      <c r="C12" s="359" t="s">
        <v>664</v>
      </c>
      <c r="D12" s="358">
        <v>80</v>
      </c>
      <c r="E12" s="359"/>
      <c r="F12" s="359"/>
      <c r="G12" s="359"/>
      <c r="H12" s="345"/>
      <c r="I12" s="362"/>
    </row>
    <row r="13" spans="1:11" s="190" customFormat="1" ht="23.4" x14ac:dyDescent="0.3">
      <c r="A13" s="7"/>
      <c r="B13" s="356">
        <f>IF(D13="","",RANK(D13,D$5:D$24)+COUNTIF(D$5:D13,D13)-1)</f>
        <v>12</v>
      </c>
      <c r="C13" s="359" t="s">
        <v>665</v>
      </c>
      <c r="D13" s="358">
        <v>9</v>
      </c>
      <c r="E13" s="359"/>
      <c r="F13" s="359"/>
      <c r="G13" s="359"/>
      <c r="H13" s="345"/>
      <c r="I13" s="361"/>
    </row>
    <row r="14" spans="1:11" s="190" customFormat="1" ht="23.4" x14ac:dyDescent="0.3">
      <c r="A14" s="7"/>
      <c r="B14" s="356">
        <f>IF(D14="","",RANK(D14,D$5:D$24)+COUNTIF(D$5:D14,D14)-1)</f>
        <v>11</v>
      </c>
      <c r="C14" s="359" t="s">
        <v>666</v>
      </c>
      <c r="D14" s="358">
        <v>10</v>
      </c>
      <c r="E14" s="359"/>
      <c r="F14" s="359"/>
      <c r="G14" s="359"/>
      <c r="H14" s="345"/>
      <c r="I14" s="362"/>
    </row>
    <row r="15" spans="1:11" s="190" customFormat="1" ht="23.4" x14ac:dyDescent="0.3">
      <c r="A15" s="7"/>
      <c r="B15" s="356">
        <f>IF(D15="","",RANK(D15,D$5:D$24)+COUNTIF(D$5:D15,D15)-1)</f>
        <v>8</v>
      </c>
      <c r="C15" s="359" t="s">
        <v>667</v>
      </c>
      <c r="D15" s="358">
        <v>12</v>
      </c>
      <c r="E15" s="359"/>
      <c r="F15" s="359"/>
      <c r="G15" s="359"/>
      <c r="H15" s="345"/>
      <c r="I15" s="361"/>
    </row>
    <row r="16" spans="1:11" s="190" customFormat="1" ht="23.4" x14ac:dyDescent="0.3">
      <c r="A16" s="7"/>
      <c r="B16" s="356">
        <f>IF(D16="","",RANK(D16,D$5:D$24)+COUNTIF(D$5:D16,D16)-1)</f>
        <v>9</v>
      </c>
      <c r="C16" s="359" t="s">
        <v>668</v>
      </c>
      <c r="D16" s="358">
        <v>12</v>
      </c>
      <c r="E16" s="359"/>
      <c r="F16" s="359"/>
      <c r="G16" s="359"/>
      <c r="H16" s="345"/>
      <c r="I16" s="362"/>
    </row>
    <row r="17" spans="1:9" s="190" customFormat="1" ht="23.4" x14ac:dyDescent="0.3">
      <c r="A17" s="7"/>
      <c r="B17" s="356">
        <f>IF(D17="","",RANK(D17,D$5:D$24)+COUNTIF(D$5:D17,D17)-1)</f>
        <v>7</v>
      </c>
      <c r="C17" s="359" t="s">
        <v>669</v>
      </c>
      <c r="D17" s="358">
        <v>13</v>
      </c>
      <c r="E17" s="359"/>
      <c r="F17" s="359"/>
      <c r="G17" s="359"/>
      <c r="H17" s="345"/>
      <c r="I17" s="362"/>
    </row>
    <row r="18" spans="1:9" s="190" customFormat="1" ht="23.4" x14ac:dyDescent="0.3">
      <c r="A18" s="7"/>
      <c r="B18" s="356">
        <f>IF(D18="","",RANK(D18,D$5:D$24)+COUNTIF(D$5:D18,D18)-1)</f>
        <v>17</v>
      </c>
      <c r="C18" s="359" t="s">
        <v>670</v>
      </c>
      <c r="D18" s="358">
        <v>3</v>
      </c>
      <c r="E18" s="359"/>
      <c r="F18" s="359"/>
      <c r="G18" s="359"/>
      <c r="H18" s="345"/>
      <c r="I18" s="361"/>
    </row>
    <row r="19" spans="1:9" s="190" customFormat="1" ht="23.4" x14ac:dyDescent="0.3">
      <c r="A19" s="7"/>
      <c r="B19" s="356">
        <f>IF(D19="","",RANK(D19,D$5:D$24)+COUNTIF(D$5:D19,D19)-1)</f>
        <v>4</v>
      </c>
      <c r="C19" s="359" t="s">
        <v>671</v>
      </c>
      <c r="D19" s="358">
        <v>45</v>
      </c>
      <c r="E19" s="359"/>
      <c r="F19" s="359"/>
      <c r="G19" s="359"/>
      <c r="H19" s="345"/>
      <c r="I19" s="362"/>
    </row>
    <row r="20" spans="1:9" s="190" customFormat="1" ht="23.4" x14ac:dyDescent="0.3">
      <c r="A20" s="7"/>
      <c r="B20" s="356">
        <f>IF(D20="","",RANK(D20,D$5:D$24)+COUNTIF(D$5:D20,D20)-1)</f>
        <v>19</v>
      </c>
      <c r="C20" s="359" t="s">
        <v>672</v>
      </c>
      <c r="D20" s="358">
        <v>2</v>
      </c>
      <c r="E20" s="359"/>
      <c r="F20" s="359"/>
      <c r="G20" s="359"/>
      <c r="H20" s="345"/>
      <c r="I20" s="361"/>
    </row>
    <row r="21" spans="1:9" s="190" customFormat="1" ht="23.4" x14ac:dyDescent="0.3">
      <c r="A21" s="7"/>
      <c r="B21" s="356">
        <f>IF(D21="","",RANK(D21,D$5:D$24)+COUNTIF(D$5:D21,D21)-1)</f>
        <v>3</v>
      </c>
      <c r="C21" s="359" t="s">
        <v>673</v>
      </c>
      <c r="D21" s="358">
        <v>55</v>
      </c>
      <c r="E21" s="359"/>
      <c r="F21" s="359"/>
      <c r="G21" s="359"/>
      <c r="H21" s="345"/>
      <c r="I21" s="362"/>
    </row>
    <row r="22" spans="1:9" s="190" customFormat="1" ht="23.4" x14ac:dyDescent="0.3">
      <c r="A22" s="7"/>
      <c r="B22" s="356">
        <f>IF(D22="","",RANK(D22,D$5:D$24)+COUNTIF(D$5:D22,D22)-1)</f>
        <v>1</v>
      </c>
      <c r="C22" s="359" t="s">
        <v>674</v>
      </c>
      <c r="D22" s="358">
        <v>86</v>
      </c>
      <c r="E22" s="359"/>
      <c r="F22" s="359"/>
      <c r="G22" s="359"/>
      <c r="H22" s="345"/>
      <c r="I22" s="362"/>
    </row>
    <row r="23" spans="1:9" s="190" customFormat="1" ht="23.4" x14ac:dyDescent="0.3">
      <c r="A23" s="7"/>
      <c r="B23" s="356">
        <f>IF(D23="","",RANK(D23,D$5:D$24)+COUNTIF(D$5:D23,D23)-1)</f>
        <v>16</v>
      </c>
      <c r="C23" s="359" t="s">
        <v>675</v>
      </c>
      <c r="D23" s="358">
        <v>5</v>
      </c>
      <c r="E23" s="359"/>
      <c r="F23" s="359"/>
      <c r="G23" s="359"/>
      <c r="H23" s="345"/>
      <c r="I23" s="361"/>
    </row>
    <row r="24" spans="1:9" s="190" customFormat="1" ht="23.4" x14ac:dyDescent="0.3">
      <c r="A24" s="7"/>
      <c r="B24" s="363" t="str">
        <f>IF(D24="","",RANK(D24,D$5:D$24)+COUNTIF(D$5:D24,D24)-1)</f>
        <v/>
      </c>
      <c r="C24" s="366"/>
      <c r="D24" s="365"/>
      <c r="E24" s="366"/>
      <c r="F24" s="366"/>
      <c r="G24" s="366"/>
      <c r="H24" s="350"/>
      <c r="I24" s="368"/>
    </row>
    <row r="25" spans="1:9" x14ac:dyDescent="0.3">
      <c r="A25" s="171"/>
      <c r="B25" s="335" t="s">
        <v>1776</v>
      </c>
      <c r="C25" s="189"/>
      <c r="D25" s="189"/>
      <c r="E25" s="189"/>
      <c r="F25" s="189"/>
      <c r="G25" s="189"/>
      <c r="H25" s="189"/>
    </row>
    <row r="26" spans="1:9" x14ac:dyDescent="0.3">
      <c r="A26" s="171"/>
      <c r="B26" s="189"/>
      <c r="C26" s="189"/>
      <c r="D26" s="189"/>
      <c r="E26" s="189"/>
      <c r="F26" s="189"/>
      <c r="G26" s="189"/>
      <c r="H26" s="189"/>
    </row>
    <row r="27" spans="1:9" x14ac:dyDescent="0.3">
      <c r="A27" s="171"/>
      <c r="B27" s="189"/>
      <c r="C27" s="189"/>
      <c r="D27" s="189"/>
      <c r="E27" s="189"/>
      <c r="F27" s="189"/>
      <c r="G27" s="189"/>
      <c r="H27" s="189"/>
    </row>
    <row r="28" spans="1:9" x14ac:dyDescent="0.3">
      <c r="A28" s="171"/>
      <c r="B28" s="193" t="s">
        <v>0</v>
      </c>
      <c r="C28" s="193" t="s">
        <v>1</v>
      </c>
      <c r="D28" s="193" t="s">
        <v>2</v>
      </c>
      <c r="E28" s="194" t="s">
        <v>3</v>
      </c>
      <c r="F28" s="194"/>
      <c r="G28" s="235"/>
      <c r="H28" s="235"/>
    </row>
    <row r="29" spans="1:9" x14ac:dyDescent="0.3">
      <c r="A29" s="171"/>
      <c r="B29" s="195" t="str">
        <f t="shared" ref="B29:B48" si="0">IF(D5="","",INDEX($B$5:$D$24,MATCH(D29,$B$5:$B$24,0),2))</f>
        <v>Error 18</v>
      </c>
      <c r="C29" s="195">
        <f t="shared" ref="C29:C48" si="1">IF(D5="","",INDEX($B$5:$D$24,MATCH(D29,$B$5:$B$24,0),3))</f>
        <v>86</v>
      </c>
      <c r="D29" s="195">
        <v>1</v>
      </c>
      <c r="E29" s="196">
        <f>IF(C29="","",C29/SUM($C$29:$C$48))</f>
        <v>0.21882951653944022</v>
      </c>
      <c r="F29" s="196"/>
      <c r="G29" s="233"/>
      <c r="H29" s="233"/>
    </row>
    <row r="30" spans="1:9" x14ac:dyDescent="0.3">
      <c r="A30" s="171"/>
      <c r="B30" s="195" t="str">
        <f t="shared" si="0"/>
        <v>Error 8</v>
      </c>
      <c r="C30" s="195">
        <f t="shared" si="1"/>
        <v>80</v>
      </c>
      <c r="D30" s="195">
        <v>2</v>
      </c>
      <c r="E30" s="196">
        <f t="shared" ref="E30:E48" si="2">IF(C30="","",(C30/SUM($C$29:$C$48)+E29))</f>
        <v>0.42239185750636132</v>
      </c>
      <c r="F30" s="196"/>
      <c r="G30" s="233"/>
      <c r="H30" s="233"/>
    </row>
    <row r="31" spans="1:9" x14ac:dyDescent="0.3">
      <c r="A31" s="171"/>
      <c r="B31" s="195" t="str">
        <f t="shared" si="0"/>
        <v>Error 17</v>
      </c>
      <c r="C31" s="195">
        <f t="shared" si="1"/>
        <v>55</v>
      </c>
      <c r="D31" s="195">
        <v>3</v>
      </c>
      <c r="E31" s="196">
        <f t="shared" si="2"/>
        <v>0.56234096692111957</v>
      </c>
      <c r="F31" s="196"/>
      <c r="G31" s="233"/>
      <c r="H31" s="233"/>
    </row>
    <row r="32" spans="1:9" x14ac:dyDescent="0.3">
      <c r="A32" s="171"/>
      <c r="B32" s="195" t="str">
        <f t="shared" si="0"/>
        <v>Error 15</v>
      </c>
      <c r="C32" s="195">
        <f t="shared" si="1"/>
        <v>45</v>
      </c>
      <c r="D32" s="195">
        <v>4</v>
      </c>
      <c r="E32" s="196">
        <f t="shared" si="2"/>
        <v>0.67684478371501267</v>
      </c>
      <c r="F32" s="196"/>
      <c r="G32" s="233"/>
      <c r="H32" s="233"/>
    </row>
    <row r="33" spans="1:8" x14ac:dyDescent="0.3">
      <c r="A33" s="171"/>
      <c r="B33" s="195" t="str">
        <f t="shared" si="0"/>
        <v>Error 1</v>
      </c>
      <c r="C33" s="195">
        <f t="shared" si="1"/>
        <v>15</v>
      </c>
      <c r="D33" s="195">
        <v>5</v>
      </c>
      <c r="E33" s="196">
        <f t="shared" si="2"/>
        <v>0.71501272264631033</v>
      </c>
      <c r="F33" s="196"/>
      <c r="G33" s="233"/>
      <c r="H33" s="233"/>
    </row>
    <row r="34" spans="1:8" x14ac:dyDescent="0.3">
      <c r="A34" s="171"/>
      <c r="B34" s="195" t="str">
        <f t="shared" si="0"/>
        <v>Error 6</v>
      </c>
      <c r="C34" s="195">
        <f t="shared" si="1"/>
        <v>15</v>
      </c>
      <c r="D34" s="195">
        <v>6</v>
      </c>
      <c r="E34" s="196">
        <f t="shared" si="2"/>
        <v>0.75318066157760799</v>
      </c>
      <c r="F34" s="196"/>
      <c r="G34" s="233"/>
      <c r="H34" s="233"/>
    </row>
    <row r="35" spans="1:8" x14ac:dyDescent="0.3">
      <c r="A35" s="171"/>
      <c r="B35" s="195" t="str">
        <f t="shared" si="0"/>
        <v>Error 13</v>
      </c>
      <c r="C35" s="195">
        <f t="shared" si="1"/>
        <v>13</v>
      </c>
      <c r="D35" s="195">
        <v>7</v>
      </c>
      <c r="E35" s="196">
        <f t="shared" si="2"/>
        <v>0.78625954198473269</v>
      </c>
      <c r="F35" s="196"/>
      <c r="G35" s="233"/>
      <c r="H35" s="233"/>
    </row>
    <row r="36" spans="1:8" x14ac:dyDescent="0.3">
      <c r="A36" s="171"/>
      <c r="B36" s="195" t="str">
        <f t="shared" si="0"/>
        <v>Error 11</v>
      </c>
      <c r="C36" s="195">
        <f t="shared" si="1"/>
        <v>12</v>
      </c>
      <c r="D36" s="195">
        <v>8</v>
      </c>
      <c r="E36" s="196">
        <f t="shared" si="2"/>
        <v>0.81679389312977091</v>
      </c>
      <c r="F36" s="196"/>
      <c r="G36" s="233"/>
      <c r="H36" s="233"/>
    </row>
    <row r="37" spans="1:8" x14ac:dyDescent="0.3">
      <c r="A37" s="171"/>
      <c r="B37" s="195" t="str">
        <f t="shared" si="0"/>
        <v>Error 12</v>
      </c>
      <c r="C37" s="195">
        <f t="shared" si="1"/>
        <v>12</v>
      </c>
      <c r="D37" s="195">
        <v>9</v>
      </c>
      <c r="E37" s="196">
        <f t="shared" si="2"/>
        <v>0.84732824427480913</v>
      </c>
      <c r="F37" s="196"/>
      <c r="G37" s="233"/>
      <c r="H37" s="233"/>
    </row>
    <row r="38" spans="1:8" x14ac:dyDescent="0.3">
      <c r="A38" s="171"/>
      <c r="B38" s="195" t="str">
        <f t="shared" si="0"/>
        <v>Error 3</v>
      </c>
      <c r="C38" s="195">
        <f t="shared" si="1"/>
        <v>10</v>
      </c>
      <c r="D38" s="195">
        <v>10</v>
      </c>
      <c r="E38" s="196">
        <f t="shared" si="2"/>
        <v>0.87277353689567427</v>
      </c>
      <c r="F38" s="196"/>
      <c r="G38" s="233"/>
      <c r="H38" s="233"/>
    </row>
    <row r="39" spans="1:8" x14ac:dyDescent="0.3">
      <c r="A39" s="171"/>
      <c r="B39" s="195" t="str">
        <f t="shared" si="0"/>
        <v>Error 10</v>
      </c>
      <c r="C39" s="195">
        <f t="shared" si="1"/>
        <v>10</v>
      </c>
      <c r="D39" s="195">
        <v>11</v>
      </c>
      <c r="E39" s="196">
        <f t="shared" si="2"/>
        <v>0.89821882951653942</v>
      </c>
      <c r="F39" s="196"/>
      <c r="G39" s="233"/>
      <c r="H39" s="233"/>
    </row>
    <row r="40" spans="1:8" x14ac:dyDescent="0.3">
      <c r="A40" s="171"/>
      <c r="B40" s="195" t="str">
        <f t="shared" si="0"/>
        <v>Error 9</v>
      </c>
      <c r="C40" s="195">
        <f t="shared" si="1"/>
        <v>9</v>
      </c>
      <c r="D40" s="195">
        <v>12</v>
      </c>
      <c r="E40" s="196">
        <f t="shared" si="2"/>
        <v>0.92111959287531808</v>
      </c>
      <c r="F40" s="196"/>
      <c r="G40" s="233"/>
      <c r="H40" s="233"/>
    </row>
    <row r="41" spans="1:8" x14ac:dyDescent="0.3">
      <c r="A41" s="171"/>
      <c r="B41" s="195" t="str">
        <f t="shared" si="0"/>
        <v>Error 5</v>
      </c>
      <c r="C41" s="195">
        <f t="shared" si="1"/>
        <v>7</v>
      </c>
      <c r="D41" s="195">
        <v>13</v>
      </c>
      <c r="E41" s="196">
        <f t="shared" si="2"/>
        <v>0.93893129770992367</v>
      </c>
      <c r="F41" s="196"/>
      <c r="G41" s="233"/>
      <c r="H41" s="233"/>
    </row>
    <row r="42" spans="1:8" x14ac:dyDescent="0.3">
      <c r="A42" s="171"/>
      <c r="B42" s="195" t="str">
        <f t="shared" si="0"/>
        <v>Error 7</v>
      </c>
      <c r="C42" s="195">
        <f t="shared" si="1"/>
        <v>7</v>
      </c>
      <c r="D42" s="195">
        <v>14</v>
      </c>
      <c r="E42" s="196">
        <f t="shared" si="2"/>
        <v>0.95674300254452926</v>
      </c>
      <c r="F42" s="196"/>
      <c r="G42" s="233"/>
      <c r="H42" s="233"/>
    </row>
    <row r="43" spans="1:8" x14ac:dyDescent="0.3">
      <c r="A43" s="171"/>
      <c r="B43" s="195" t="str">
        <f t="shared" si="0"/>
        <v>Error 4</v>
      </c>
      <c r="C43" s="195">
        <f t="shared" si="1"/>
        <v>5</v>
      </c>
      <c r="D43" s="195">
        <v>15</v>
      </c>
      <c r="E43" s="196">
        <f t="shared" si="2"/>
        <v>0.96946564885496178</v>
      </c>
      <c r="F43" s="196"/>
      <c r="G43" s="233"/>
      <c r="H43" s="233"/>
    </row>
    <row r="44" spans="1:8" x14ac:dyDescent="0.3">
      <c r="A44" s="171"/>
      <c r="B44" s="195" t="str">
        <f t="shared" si="0"/>
        <v>Error 19</v>
      </c>
      <c r="C44" s="195">
        <f t="shared" si="1"/>
        <v>5</v>
      </c>
      <c r="D44" s="195">
        <v>16</v>
      </c>
      <c r="E44" s="196">
        <f t="shared" si="2"/>
        <v>0.9821882951653943</v>
      </c>
      <c r="F44" s="196"/>
      <c r="G44" s="233"/>
      <c r="H44" s="233"/>
    </row>
    <row r="45" spans="1:8" x14ac:dyDescent="0.3">
      <c r="A45" s="171"/>
      <c r="B45" s="195" t="str">
        <f t="shared" si="0"/>
        <v>Error 14</v>
      </c>
      <c r="C45" s="195">
        <f t="shared" si="1"/>
        <v>3</v>
      </c>
      <c r="D45" s="195">
        <v>17</v>
      </c>
      <c r="E45" s="196">
        <f t="shared" si="2"/>
        <v>0.98982188295165385</v>
      </c>
      <c r="F45" s="196"/>
      <c r="G45" s="233"/>
      <c r="H45" s="233"/>
    </row>
    <row r="46" spans="1:8" x14ac:dyDescent="0.3">
      <c r="A46" s="171"/>
      <c r="B46" s="195" t="str">
        <f t="shared" si="0"/>
        <v>Error 2</v>
      </c>
      <c r="C46" s="195">
        <f t="shared" si="1"/>
        <v>2</v>
      </c>
      <c r="D46" s="195">
        <v>18</v>
      </c>
      <c r="E46" s="196">
        <f t="shared" si="2"/>
        <v>0.99491094147582693</v>
      </c>
      <c r="F46" s="196"/>
      <c r="G46" s="233"/>
      <c r="H46" s="233"/>
    </row>
    <row r="47" spans="1:8" x14ac:dyDescent="0.3">
      <c r="A47" s="171"/>
      <c r="B47" s="195" t="str">
        <f t="shared" si="0"/>
        <v>Error 16</v>
      </c>
      <c r="C47" s="195">
        <f t="shared" si="1"/>
        <v>2</v>
      </c>
      <c r="D47" s="195">
        <v>19</v>
      </c>
      <c r="E47" s="196">
        <f t="shared" si="2"/>
        <v>1</v>
      </c>
      <c r="F47" s="196"/>
      <c r="G47" s="233"/>
      <c r="H47" s="233"/>
    </row>
    <row r="48" spans="1:8" x14ac:dyDescent="0.3">
      <c r="A48" s="171"/>
      <c r="B48" s="195" t="str">
        <f t="shared" si="0"/>
        <v/>
      </c>
      <c r="C48" s="195" t="str">
        <f t="shared" si="1"/>
        <v/>
      </c>
      <c r="D48" s="195">
        <v>20</v>
      </c>
      <c r="E48" s="196" t="str">
        <f t="shared" si="2"/>
        <v/>
      </c>
      <c r="F48" s="196"/>
      <c r="G48" s="233"/>
      <c r="H48" s="233"/>
    </row>
    <row r="49" spans="1:8" x14ac:dyDescent="0.3">
      <c r="A49" s="171"/>
      <c r="B49" s="189"/>
      <c r="C49" s="189"/>
      <c r="D49" s="189"/>
      <c r="E49" s="189"/>
      <c r="F49" s="189"/>
      <c r="G49" s="189"/>
      <c r="H49" s="189"/>
    </row>
    <row r="50" spans="1:8" x14ac:dyDescent="0.3">
      <c r="A50" s="171"/>
      <c r="B50" s="189"/>
      <c r="C50" s="189"/>
      <c r="D50" s="189"/>
      <c r="E50" s="189"/>
      <c r="F50" s="189"/>
      <c r="G50" s="189"/>
      <c r="H50" s="189"/>
    </row>
    <row r="51" spans="1:8" x14ac:dyDescent="0.3">
      <c r="A51" s="171"/>
      <c r="B51" s="189"/>
      <c r="C51" s="189"/>
      <c r="D51" s="189"/>
      <c r="E51" s="189"/>
      <c r="F51" s="189"/>
      <c r="G51" s="189"/>
      <c r="H51" s="189"/>
    </row>
    <row r="52" spans="1:8" x14ac:dyDescent="0.3">
      <c r="A52" s="171"/>
      <c r="B52" s="189"/>
      <c r="C52" s="189"/>
      <c r="D52" s="189"/>
      <c r="E52" s="189"/>
      <c r="F52" s="189"/>
      <c r="G52" s="189"/>
      <c r="H52" s="189"/>
    </row>
    <row r="53" spans="1:8" x14ac:dyDescent="0.3">
      <c r="A53" s="171"/>
      <c r="B53" s="189"/>
      <c r="C53" s="189"/>
      <c r="D53" s="189"/>
      <c r="E53" s="189"/>
      <c r="F53" s="189"/>
      <c r="G53" s="189"/>
      <c r="H53" s="189"/>
    </row>
    <row r="54" spans="1:8" x14ac:dyDescent="0.3">
      <c r="A54" s="171"/>
      <c r="B54" s="189"/>
      <c r="C54" s="189"/>
      <c r="D54" s="189"/>
      <c r="E54" s="189"/>
      <c r="F54" s="189"/>
      <c r="G54" s="189"/>
      <c r="H54" s="189"/>
    </row>
    <row r="55" spans="1:8" x14ac:dyDescent="0.3">
      <c r="A55" s="171"/>
      <c r="B55" s="189"/>
      <c r="C55" s="189"/>
      <c r="D55" s="189"/>
      <c r="E55" s="189"/>
      <c r="F55" s="189"/>
      <c r="G55" s="189"/>
      <c r="H55" s="189"/>
    </row>
    <row r="56" spans="1:8" x14ac:dyDescent="0.3">
      <c r="B56" s="234"/>
    </row>
    <row r="57" spans="1:8" ht="0.9" customHeight="1" x14ac:dyDescent="0.3">
      <c r="A57" s="20"/>
    </row>
  </sheetData>
  <sheetProtection sheet="1" objects="1" scenarios="1" formatCells="0" formatColumns="0" formatRows="0" insertHyperlinks="0" selectLockedCells="1" sort="0" autoFilter="0"/>
  <conditionalFormatting sqref="B5:I24">
    <cfRule type="expression" dxfId="130" priority="166">
      <formula>MOD(ROW(A1),2)=0</formula>
    </cfRule>
    <cfRule type="expression" dxfId="129" priority="167">
      <formula>MOD(ROW(A2),2)=0</formula>
    </cfRule>
  </conditionalFormatting>
  <conditionalFormatting sqref="H5:H24"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2">
    <dataValidation type="list" allowBlank="1" showInputMessage="1" showErrorMessage="1" sqref="I5:I21" xr:uid="{00000000-0002-0000-0700-000000000000}">
      <formula1>"1,2,3"</formula1>
    </dataValidation>
    <dataValidation type="list" allowBlank="1" showInputMessage="1" showErrorMessage="1" sqref="H5:H24" xr:uid="{00000000-0002-0000-0700-000001000000}">
      <formula1>"1,2,3,4,5,6,7,8,9,10"</formula1>
    </dataValidation>
  </dataValidations>
  <pageMargins left="0.25" right="0.25" top="0.75" bottom="0.75" header="0.3" footer="0.3"/>
  <pageSetup paperSize="8" scale="90" orientation="portrait" horizontalDpi="1200" verticalDpi="1200" r:id="rId1"/>
  <headerFooter alignWithMargins="0">
    <oddFooter>&amp;L&amp;8&amp;K00-049(c)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F3590EA6-E928-448B-8282-2E79216B57A5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I5:I24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8">
    <tabColor theme="5" tint="0.59999389629810485"/>
  </sheetPr>
  <dimension ref="A1:AB83"/>
  <sheetViews>
    <sheetView showGridLines="0" zoomScaleNormal="100" workbookViewId="0">
      <pane ySplit="1" topLeftCell="A2" activePane="bottomLeft" state="frozen"/>
      <selection activeCell="K1" sqref="K1"/>
      <selection pane="bottomLeft" activeCell="D3" sqref="D3:G3"/>
    </sheetView>
  </sheetViews>
  <sheetFormatPr baseColWidth="10" defaultColWidth="11.44140625" defaultRowHeight="14.4" x14ac:dyDescent="0.3"/>
  <cols>
    <col min="1" max="1" width="7" style="303" customWidth="1"/>
    <col min="2" max="2" width="2.6640625" style="303" customWidth="1"/>
    <col min="3" max="3" width="6.88671875" style="303" customWidth="1"/>
    <col min="4" max="6" width="3.5546875" style="303" customWidth="1"/>
    <col min="7" max="7" width="11.33203125" style="303" customWidth="1"/>
    <col min="8" max="8" width="3.44140625" style="303" customWidth="1"/>
    <col min="9" max="9" width="2" style="303" customWidth="1"/>
    <col min="10" max="10" width="1.6640625" style="303" customWidth="1"/>
    <col min="11" max="11" width="2.109375" style="303" customWidth="1"/>
    <col min="12" max="12" width="1.5546875" style="303" customWidth="1"/>
    <col min="13" max="13" width="2" style="303" customWidth="1"/>
    <col min="14" max="14" width="4" style="303" customWidth="1"/>
    <col min="15" max="15" width="10.88671875" style="303" customWidth="1"/>
    <col min="16" max="16" width="3.44140625" style="303" customWidth="1"/>
    <col min="17" max="17" width="2.33203125" style="303" customWidth="1"/>
    <col min="18" max="18" width="1.44140625" style="303" customWidth="1"/>
    <col min="19" max="19" width="2.109375" style="303" customWidth="1"/>
    <col min="20" max="20" width="1.5546875" style="303" customWidth="1"/>
    <col min="21" max="21" width="2.109375" style="303" customWidth="1"/>
    <col min="22" max="22" width="3.44140625" style="303" customWidth="1"/>
    <col min="23" max="23" width="11.109375" style="303" customWidth="1"/>
    <col min="24" max="24" width="3.5546875" style="303" customWidth="1"/>
    <col min="25" max="26" width="3.6640625" style="303" customWidth="1"/>
    <col min="27" max="27" width="12.44140625" style="303" customWidth="1"/>
    <col min="28" max="28" width="14.6640625" style="303" customWidth="1"/>
    <col min="29" max="16384" width="11.44140625" style="303"/>
  </cols>
  <sheetData>
    <row r="1" spans="1:28" s="302" customFormat="1" ht="44.4" customHeight="1" x14ac:dyDescent="0.3">
      <c r="A1" s="301"/>
      <c r="B1" s="977" t="str">
        <f ca="1">' '!A346</f>
        <v>D I A G R A M M E   D E   C A U S E S   E T   E F F E T S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260"/>
    </row>
    <row r="2" spans="1:28" ht="27.75" customHeight="1" x14ac:dyDescent="0.3">
      <c r="B2" s="304"/>
      <c r="C2" s="305"/>
      <c r="D2" s="305"/>
    </row>
    <row r="3" spans="1:28" ht="26.25" customHeight="1" x14ac:dyDescent="0.3">
      <c r="D3" s="1021" t="s">
        <v>1343</v>
      </c>
      <c r="E3" s="1021"/>
      <c r="F3" s="1021"/>
      <c r="G3" s="1021"/>
      <c r="J3" s="1021" t="s">
        <v>1344</v>
      </c>
      <c r="K3" s="1021"/>
      <c r="L3" s="1021"/>
      <c r="M3" s="1021"/>
      <c r="N3" s="1021"/>
      <c r="O3" s="1021"/>
      <c r="R3" s="1021" t="s">
        <v>1345</v>
      </c>
      <c r="S3" s="1021"/>
      <c r="T3" s="1021"/>
      <c r="U3" s="1021"/>
      <c r="V3" s="1021"/>
      <c r="W3" s="1021"/>
    </row>
    <row r="4" spans="1:28" ht="17.25" customHeight="1" x14ac:dyDescent="0.3"/>
    <row r="5" spans="1:28" ht="31.5" customHeight="1" x14ac:dyDescent="0.3">
      <c r="D5" s="1022" t="s">
        <v>1346</v>
      </c>
      <c r="E5" s="1022"/>
      <c r="F5" s="1022"/>
      <c r="G5" s="1022"/>
      <c r="J5" s="1022"/>
      <c r="K5" s="1022"/>
      <c r="L5" s="1022"/>
      <c r="M5" s="1022"/>
      <c r="N5" s="1022"/>
      <c r="O5" s="1022"/>
      <c r="R5" s="1022"/>
      <c r="S5" s="1022"/>
      <c r="T5" s="1022"/>
      <c r="U5" s="1022"/>
      <c r="V5" s="1022"/>
      <c r="W5" s="1022"/>
    </row>
    <row r="6" spans="1:28" ht="9" customHeight="1" x14ac:dyDescent="0.3"/>
    <row r="7" spans="1:28" ht="31.5" customHeight="1" x14ac:dyDescent="0.3">
      <c r="E7" s="1022" t="s">
        <v>1347</v>
      </c>
      <c r="F7" s="1022"/>
      <c r="G7" s="1022"/>
      <c r="H7" s="1022"/>
      <c r="L7" s="1022"/>
      <c r="M7" s="1022"/>
      <c r="N7" s="1022"/>
      <c r="O7" s="1022"/>
      <c r="P7" s="1022"/>
      <c r="T7" s="1022"/>
      <c r="U7" s="1022"/>
      <c r="V7" s="1022"/>
      <c r="W7" s="1022"/>
      <c r="X7" s="1022"/>
    </row>
    <row r="8" spans="1:28" ht="9" customHeight="1" x14ac:dyDescent="0.3"/>
    <row r="9" spans="1:28" ht="31.5" customHeight="1" x14ac:dyDescent="0.3">
      <c r="F9" s="1022"/>
      <c r="G9" s="1022"/>
      <c r="H9" s="1022"/>
      <c r="I9" s="1022"/>
      <c r="J9" s="1022"/>
      <c r="N9" s="1022"/>
      <c r="O9" s="1022"/>
      <c r="P9" s="1022"/>
      <c r="Q9" s="1022"/>
      <c r="R9" s="1022"/>
      <c r="S9" s="306"/>
      <c r="V9" s="1022"/>
      <c r="W9" s="1022"/>
      <c r="X9" s="1022"/>
      <c r="Y9" s="1022"/>
      <c r="AB9" s="1023" t="s">
        <v>1348</v>
      </c>
    </row>
    <row r="10" spans="1:28" ht="9" customHeight="1" x14ac:dyDescent="0.3">
      <c r="AB10" s="1023"/>
    </row>
    <row r="11" spans="1:28" ht="31.5" customHeight="1" x14ac:dyDescent="0.3">
      <c r="G11" s="1022"/>
      <c r="H11" s="1022"/>
      <c r="I11" s="1022"/>
      <c r="J11" s="1022"/>
      <c r="K11" s="1022"/>
      <c r="L11" s="1022"/>
      <c r="O11" s="1022"/>
      <c r="P11" s="1022"/>
      <c r="Q11" s="1022"/>
      <c r="R11" s="1022"/>
      <c r="S11" s="1022"/>
      <c r="T11" s="1022"/>
      <c r="W11" s="1022"/>
      <c r="X11" s="1022"/>
      <c r="Y11" s="1022"/>
      <c r="Z11" s="1022"/>
      <c r="AB11" s="1023"/>
    </row>
    <row r="12" spans="1:28" ht="9" customHeight="1" x14ac:dyDescent="0.3">
      <c r="AB12" s="1023"/>
    </row>
    <row r="13" spans="1:28" ht="31.5" customHeight="1" x14ac:dyDescent="0.3">
      <c r="G13" s="1022"/>
      <c r="H13" s="1022"/>
      <c r="I13" s="1022"/>
      <c r="J13" s="1022"/>
      <c r="K13" s="1022"/>
      <c r="L13" s="1022"/>
      <c r="O13" s="1022"/>
      <c r="P13" s="1022"/>
      <c r="Q13" s="1022"/>
      <c r="R13" s="1022"/>
      <c r="S13" s="1022"/>
      <c r="T13" s="1022"/>
      <c r="W13" s="1022"/>
      <c r="X13" s="1022"/>
      <c r="Y13" s="1022"/>
      <c r="Z13" s="1022"/>
      <c r="AB13" s="1023"/>
    </row>
    <row r="14" spans="1:28" ht="9" customHeight="1" x14ac:dyDescent="0.3">
      <c r="AB14" s="1023"/>
    </row>
    <row r="15" spans="1:28" ht="31.5" customHeight="1" x14ac:dyDescent="0.3">
      <c r="F15" s="1022"/>
      <c r="G15" s="1022"/>
      <c r="H15" s="1022"/>
      <c r="I15" s="1022"/>
      <c r="J15" s="1022"/>
      <c r="N15" s="1022"/>
      <c r="O15" s="1022"/>
      <c r="P15" s="1022"/>
      <c r="Q15" s="1022"/>
      <c r="R15" s="1022"/>
      <c r="V15" s="1022"/>
      <c r="W15" s="1022"/>
      <c r="X15" s="1022"/>
      <c r="Y15" s="1022"/>
      <c r="AB15" s="1023"/>
    </row>
    <row r="16" spans="1:28" ht="9" customHeight="1" x14ac:dyDescent="0.3"/>
    <row r="17" spans="2:24" ht="31.5" customHeight="1" x14ac:dyDescent="0.3">
      <c r="E17" s="1022"/>
      <c r="F17" s="1022"/>
      <c r="G17" s="1022"/>
      <c r="H17" s="1022"/>
      <c r="L17" s="1022"/>
      <c r="M17" s="1022"/>
      <c r="N17" s="1022"/>
      <c r="O17" s="1022"/>
      <c r="P17" s="1022"/>
      <c r="T17" s="1022"/>
      <c r="U17" s="1022"/>
      <c r="V17" s="1022"/>
      <c r="W17" s="1022"/>
      <c r="X17" s="1022"/>
    </row>
    <row r="18" spans="2:24" ht="9" customHeight="1" x14ac:dyDescent="0.3"/>
    <row r="19" spans="2:24" ht="31.5" customHeight="1" x14ac:dyDescent="0.3">
      <c r="D19" s="1022"/>
      <c r="E19" s="1022"/>
      <c r="F19" s="1022"/>
      <c r="G19" s="1022"/>
      <c r="J19" s="1022"/>
      <c r="K19" s="1022"/>
      <c r="L19" s="1022"/>
      <c r="M19" s="1022"/>
      <c r="N19" s="1022"/>
      <c r="O19" s="1022"/>
      <c r="R19" s="1022"/>
      <c r="S19" s="1022"/>
      <c r="T19" s="1022"/>
      <c r="U19" s="1022"/>
      <c r="V19" s="1022"/>
      <c r="W19" s="1022"/>
    </row>
    <row r="20" spans="2:24" ht="17.25" customHeight="1" x14ac:dyDescent="0.3"/>
    <row r="21" spans="2:24" ht="26.25" customHeight="1" x14ac:dyDescent="0.3">
      <c r="D21" s="1021" t="s">
        <v>1349</v>
      </c>
      <c r="E21" s="1021"/>
      <c r="F21" s="1021"/>
      <c r="G21" s="1021"/>
      <c r="J21" s="1021" t="s">
        <v>1350</v>
      </c>
      <c r="K21" s="1021"/>
      <c r="L21" s="1021"/>
      <c r="M21" s="1021"/>
      <c r="N21" s="1021"/>
      <c r="O21" s="1021"/>
      <c r="R21" s="1021" t="s">
        <v>1351</v>
      </c>
      <c r="S21" s="1021"/>
      <c r="T21" s="1021"/>
      <c r="U21" s="1021"/>
      <c r="V21" s="1021"/>
      <c r="W21" s="1021"/>
    </row>
    <row r="23" spans="2:24" x14ac:dyDescent="0.3">
      <c r="B23"/>
      <c r="D23" s="335" t="s">
        <v>1776</v>
      </c>
    </row>
    <row r="25" spans="2:24" ht="11.25" customHeight="1" x14ac:dyDescent="0.3">
      <c r="D25" s="307"/>
      <c r="E25" s="307"/>
      <c r="H25" s="308"/>
      <c r="I25" s="307"/>
      <c r="J25" s="307"/>
      <c r="K25" s="308"/>
      <c r="L25" s="309"/>
    </row>
    <row r="83" spans="5:5" ht="15.6" x14ac:dyDescent="0.3">
      <c r="E83" s="310"/>
    </row>
  </sheetData>
  <sheetProtection sheet="1" objects="1" scenarios="1" formatCells="0" formatColumns="0" formatRows="0" insertHyperlinks="0" selectLockedCells="1" sort="0" autoFilter="0"/>
  <mergeCells count="31">
    <mergeCell ref="D21:G21"/>
    <mergeCell ref="J21:O21"/>
    <mergeCell ref="R21:W21"/>
    <mergeCell ref="E17:H17"/>
    <mergeCell ref="L17:P17"/>
    <mergeCell ref="T17:X17"/>
    <mergeCell ref="D19:G19"/>
    <mergeCell ref="J19:O19"/>
    <mergeCell ref="R19:W19"/>
    <mergeCell ref="AB9:AB15"/>
    <mergeCell ref="G11:L11"/>
    <mergeCell ref="O11:T11"/>
    <mergeCell ref="W11:Z11"/>
    <mergeCell ref="G13:L13"/>
    <mergeCell ref="O13:T13"/>
    <mergeCell ref="W13:Z13"/>
    <mergeCell ref="F15:J15"/>
    <mergeCell ref="N15:R15"/>
    <mergeCell ref="V15:Y15"/>
    <mergeCell ref="E7:H7"/>
    <mergeCell ref="L7:P7"/>
    <mergeCell ref="T7:X7"/>
    <mergeCell ref="F9:J9"/>
    <mergeCell ref="N9:R9"/>
    <mergeCell ref="V9:Y9"/>
    <mergeCell ref="D3:G3"/>
    <mergeCell ref="J3:O3"/>
    <mergeCell ref="R3:W3"/>
    <mergeCell ref="D5:G5"/>
    <mergeCell ref="J5:O5"/>
    <mergeCell ref="R5:W5"/>
  </mergeCells>
  <printOptions horizontalCentered="1" verticalCentered="1"/>
  <pageMargins left="0.23622047244094491" right="0.23622047244094491" top="0.19685039370078741" bottom="0.19685039370078741" header="0.19685039370078741" footer="0.19685039370078741"/>
  <pageSetup paperSize="9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9">
    <tabColor theme="5" tint="0.59999389629810485"/>
    <pageSetUpPr fitToPage="1"/>
  </sheetPr>
  <dimension ref="A1:P131"/>
  <sheetViews>
    <sheetView showGridLines="0" zoomScaleNormal="100" workbookViewId="0">
      <pane ySplit="4" topLeftCell="A5" activePane="bottomLeft" state="frozen"/>
      <selection activeCell="K1" sqref="K1"/>
      <selection pane="bottomLeft" activeCell="C5" sqref="C5"/>
    </sheetView>
  </sheetViews>
  <sheetFormatPr baseColWidth="10" defaultColWidth="12.5546875" defaultRowHeight="14.4" x14ac:dyDescent="0.3"/>
  <cols>
    <col min="1" max="1" width="7" customWidth="1"/>
    <col min="2" max="2" width="4.5546875" style="372" customWidth="1"/>
    <col min="3" max="3" width="29" style="372" customWidth="1"/>
    <col min="4" max="4" width="10.6640625" style="372" customWidth="1"/>
    <col min="5" max="5" width="11.88671875" style="372" bestFit="1" customWidth="1"/>
    <col min="6" max="6" width="31.6640625" style="372" customWidth="1"/>
    <col min="7" max="7" width="11.109375" style="372" customWidth="1"/>
    <col min="8" max="8" width="24" style="372" customWidth="1"/>
    <col min="9" max="9" width="22.6640625" style="372" customWidth="1"/>
    <col min="10" max="10" width="7" style="372" customWidth="1"/>
    <col min="11" max="11" width="5.88671875" style="339" customWidth="1"/>
    <col min="12" max="25" width="4" style="372" customWidth="1"/>
    <col min="26" max="16384" width="12.5546875" style="372"/>
  </cols>
  <sheetData>
    <row r="1" spans="1:16" s="371" customFormat="1" ht="44.4" customHeight="1" x14ac:dyDescent="0.3">
      <c r="A1" s="881"/>
      <c r="B1" s="369" t="str">
        <f ca="1">' '!A454</f>
        <v>A N A L Y S E   D E S   P A R T I E S   P R E N A N T E S</v>
      </c>
      <c r="C1" s="369"/>
      <c r="D1" s="369"/>
      <c r="E1" s="369"/>
      <c r="F1" s="369"/>
      <c r="G1" s="369"/>
      <c r="H1" s="369"/>
      <c r="I1" s="369"/>
      <c r="J1" s="317"/>
      <c r="K1" s="370"/>
    </row>
    <row r="2" spans="1:16" customFormat="1" ht="14.25" customHeight="1" x14ac:dyDescent="0.3">
      <c r="A2" s="320"/>
      <c r="K2" s="195"/>
    </row>
    <row r="3" spans="1:16" ht="10.5" customHeight="1" x14ac:dyDescent="0.3">
      <c r="A3" s="15"/>
      <c r="C3"/>
    </row>
    <row r="4" spans="1:16" ht="33.75" customHeight="1" x14ac:dyDescent="0.3">
      <c r="B4" s="373" t="str">
        <f ca="1">' '!A468</f>
        <v>No.</v>
      </c>
      <c r="C4" s="374" t="str">
        <f ca="1">' '!A469</f>
        <v>Groupe de parties prenantes</v>
      </c>
      <c r="D4" s="374" t="str">
        <f ca="1">' '!A471</f>
        <v>Etendue de l'intérêt</v>
      </c>
      <c r="E4" s="374" t="str">
        <f ca="1">' '!A472</f>
        <v>Etendue de l'influence</v>
      </c>
      <c r="F4" s="374" t="str">
        <f ca="1">' '!A470</f>
        <v>Intérêt, attentes</v>
      </c>
      <c r="G4" s="374" t="str">
        <f ca="1">' '!A476</f>
        <v>Taille du groupe</v>
      </c>
      <c r="H4" s="374" t="str">
        <f ca="1">' '!A473</f>
        <v>Chances (+) et 
Dangers (-)</v>
      </c>
      <c r="I4" s="374" t="str">
        <f ca="1">' '!A474</f>
        <v>Innovations possibles</v>
      </c>
      <c r="J4" s="375" t="str">
        <f ca="1">' '!A475</f>
        <v>Statut</v>
      </c>
    </row>
    <row r="5" spans="1:16" ht="23.4" x14ac:dyDescent="0.3">
      <c r="B5" s="376" t="s">
        <v>448</v>
      </c>
      <c r="C5" s="377" t="s">
        <v>901</v>
      </c>
      <c r="D5" s="378">
        <v>8.1818181818181817</v>
      </c>
      <c r="E5" s="378">
        <v>4</v>
      </c>
      <c r="F5" s="377"/>
      <c r="G5" s="379">
        <v>2</v>
      </c>
      <c r="H5" s="377"/>
      <c r="I5" s="377"/>
      <c r="J5" s="380">
        <v>1</v>
      </c>
      <c r="K5" s="339">
        <f>IF(G5=3,3,
IF(G5=2,2,1))</f>
        <v>2</v>
      </c>
      <c r="N5" s="381"/>
      <c r="O5" s="381"/>
      <c r="P5" s="382"/>
    </row>
    <row r="6" spans="1:16" ht="23.4" x14ac:dyDescent="0.3">
      <c r="B6" s="383" t="s">
        <v>449</v>
      </c>
      <c r="C6" s="384"/>
      <c r="D6" s="385">
        <v>5</v>
      </c>
      <c r="E6" s="385">
        <v>6</v>
      </c>
      <c r="F6" s="384"/>
      <c r="G6" s="386">
        <v>1</v>
      </c>
      <c r="H6" s="387"/>
      <c r="I6" s="384"/>
      <c r="J6" s="388">
        <v>2</v>
      </c>
      <c r="K6" s="339">
        <f t="shared" ref="K6:K24" si="0">IF(G6=3,3,
IF(G6=2,2,1))</f>
        <v>1</v>
      </c>
      <c r="N6"/>
      <c r="O6"/>
      <c r="P6" s="382"/>
    </row>
    <row r="7" spans="1:16" ht="23.4" x14ac:dyDescent="0.3">
      <c r="B7" s="383" t="s">
        <v>450</v>
      </c>
      <c r="C7" s="384"/>
      <c r="D7" s="385">
        <v>9.0909090909090899</v>
      </c>
      <c r="E7" s="385">
        <v>8</v>
      </c>
      <c r="F7" s="384"/>
      <c r="G7" s="386">
        <v>3</v>
      </c>
      <c r="H7" s="384"/>
      <c r="I7" s="384"/>
      <c r="J7" s="388">
        <v>3</v>
      </c>
      <c r="K7" s="339">
        <f t="shared" si="0"/>
        <v>3</v>
      </c>
      <c r="N7"/>
      <c r="O7"/>
      <c r="P7" s="382"/>
    </row>
    <row r="8" spans="1:16" ht="23.4" x14ac:dyDescent="0.3">
      <c r="B8" s="383" t="s">
        <v>451</v>
      </c>
      <c r="C8" s="384"/>
      <c r="D8" s="385"/>
      <c r="E8" s="385"/>
      <c r="F8" s="384"/>
      <c r="G8" s="386"/>
      <c r="H8" s="384"/>
      <c r="I8" s="384"/>
      <c r="J8" s="388"/>
      <c r="K8" s="339">
        <f t="shared" si="0"/>
        <v>1</v>
      </c>
      <c r="N8"/>
      <c r="O8"/>
      <c r="P8" s="382"/>
    </row>
    <row r="9" spans="1:16" ht="23.4" x14ac:dyDescent="0.3">
      <c r="B9" s="383" t="s">
        <v>452</v>
      </c>
      <c r="C9" s="384"/>
      <c r="D9" s="385"/>
      <c r="E9" s="385"/>
      <c r="F9" s="384"/>
      <c r="G9" s="386"/>
      <c r="H9" s="384"/>
      <c r="I9" s="384"/>
      <c r="J9" s="388"/>
      <c r="K9" s="339">
        <f t="shared" si="0"/>
        <v>1</v>
      </c>
      <c r="N9"/>
      <c r="O9"/>
      <c r="P9" s="382"/>
    </row>
    <row r="10" spans="1:16" ht="23.4" x14ac:dyDescent="0.3">
      <c r="B10" s="383" t="s">
        <v>453</v>
      </c>
      <c r="C10" s="384"/>
      <c r="D10" s="385"/>
      <c r="E10" s="385"/>
      <c r="F10" s="384"/>
      <c r="G10" s="386"/>
      <c r="H10" s="384"/>
      <c r="I10" s="384"/>
      <c r="J10" s="388"/>
      <c r="K10" s="339">
        <f t="shared" si="0"/>
        <v>1</v>
      </c>
      <c r="N10"/>
      <c r="O10"/>
      <c r="P10" s="382"/>
    </row>
    <row r="11" spans="1:16" ht="23.4" x14ac:dyDescent="0.3">
      <c r="B11" s="383" t="s">
        <v>454</v>
      </c>
      <c r="C11" s="384"/>
      <c r="D11" s="385"/>
      <c r="E11" s="385"/>
      <c r="F11" s="384"/>
      <c r="G11" s="386"/>
      <c r="H11" s="384"/>
      <c r="I11" s="384"/>
      <c r="J11" s="388"/>
      <c r="K11" s="339">
        <f t="shared" si="0"/>
        <v>1</v>
      </c>
      <c r="N11"/>
      <c r="O11"/>
      <c r="P11" s="382"/>
    </row>
    <row r="12" spans="1:16" ht="23.4" x14ac:dyDescent="0.3">
      <c r="B12" s="383" t="s">
        <v>455</v>
      </c>
      <c r="C12" s="384"/>
      <c r="D12" s="385"/>
      <c r="E12" s="385"/>
      <c r="F12" s="384"/>
      <c r="G12" s="386"/>
      <c r="H12" s="384"/>
      <c r="I12" s="384"/>
      <c r="J12" s="388"/>
      <c r="K12" s="339">
        <f t="shared" si="0"/>
        <v>1</v>
      </c>
      <c r="N12"/>
      <c r="O12"/>
      <c r="P12" s="382"/>
    </row>
    <row r="13" spans="1:16" ht="23.4" x14ac:dyDescent="0.3">
      <c r="B13" s="383" t="s">
        <v>456</v>
      </c>
      <c r="C13" s="384"/>
      <c r="D13" s="385"/>
      <c r="E13" s="385"/>
      <c r="F13" s="384"/>
      <c r="G13" s="386"/>
      <c r="H13" s="384"/>
      <c r="I13" s="384"/>
      <c r="J13" s="388"/>
      <c r="K13" s="339">
        <f t="shared" si="0"/>
        <v>1</v>
      </c>
      <c r="N13"/>
      <c r="O13"/>
      <c r="P13" s="382"/>
    </row>
    <row r="14" spans="1:16" ht="23.4" x14ac:dyDescent="0.3">
      <c r="B14" s="383" t="s">
        <v>457</v>
      </c>
      <c r="C14" s="384"/>
      <c r="D14" s="385"/>
      <c r="E14" s="385"/>
      <c r="F14" s="384"/>
      <c r="G14" s="386"/>
      <c r="H14" s="384"/>
      <c r="I14" s="384"/>
      <c r="J14" s="388"/>
      <c r="K14" s="339">
        <f t="shared" si="0"/>
        <v>1</v>
      </c>
      <c r="N14"/>
      <c r="O14"/>
      <c r="P14" s="382"/>
    </row>
    <row r="15" spans="1:16" ht="23.4" x14ac:dyDescent="0.3">
      <c r="B15" s="383" t="s">
        <v>458</v>
      </c>
      <c r="C15" s="384"/>
      <c r="D15" s="385"/>
      <c r="E15" s="385"/>
      <c r="F15" s="384"/>
      <c r="G15" s="386"/>
      <c r="H15" s="384"/>
      <c r="I15" s="384"/>
      <c r="J15" s="388"/>
      <c r="K15" s="339">
        <f t="shared" si="0"/>
        <v>1</v>
      </c>
      <c r="N15"/>
      <c r="O15"/>
      <c r="P15" s="382"/>
    </row>
    <row r="16" spans="1:16" ht="23.4" x14ac:dyDescent="0.3">
      <c r="B16" s="383" t="s">
        <v>459</v>
      </c>
      <c r="C16" s="384"/>
      <c r="D16" s="385"/>
      <c r="E16" s="385"/>
      <c r="F16" s="384"/>
      <c r="G16" s="386"/>
      <c r="H16" s="384"/>
      <c r="I16" s="384"/>
      <c r="J16" s="388"/>
      <c r="K16" s="339">
        <f t="shared" si="0"/>
        <v>1</v>
      </c>
      <c r="N16"/>
      <c r="O16"/>
      <c r="P16" s="382"/>
    </row>
    <row r="17" spans="2:16" ht="23.4" x14ac:dyDescent="0.3">
      <c r="B17" s="383" t="s">
        <v>460</v>
      </c>
      <c r="C17" s="384"/>
      <c r="D17" s="385"/>
      <c r="E17" s="385"/>
      <c r="F17" s="384"/>
      <c r="G17" s="386"/>
      <c r="H17" s="384"/>
      <c r="I17" s="384"/>
      <c r="J17" s="388"/>
      <c r="K17" s="339">
        <f t="shared" si="0"/>
        <v>1</v>
      </c>
      <c r="N17"/>
      <c r="O17"/>
      <c r="P17" s="382"/>
    </row>
    <row r="18" spans="2:16" ht="23.4" x14ac:dyDescent="0.3">
      <c r="B18" s="383" t="s">
        <v>461</v>
      </c>
      <c r="C18" s="384"/>
      <c r="D18" s="385"/>
      <c r="E18" s="385"/>
      <c r="F18" s="384"/>
      <c r="G18" s="386"/>
      <c r="H18" s="384"/>
      <c r="I18" s="384"/>
      <c r="J18" s="388"/>
      <c r="K18" s="339">
        <f t="shared" si="0"/>
        <v>1</v>
      </c>
      <c r="N18"/>
      <c r="O18"/>
      <c r="P18" s="382"/>
    </row>
    <row r="19" spans="2:16" ht="23.4" x14ac:dyDescent="0.3">
      <c r="B19" s="383" t="s">
        <v>462</v>
      </c>
      <c r="C19" s="384"/>
      <c r="D19" s="385"/>
      <c r="E19" s="385"/>
      <c r="F19" s="384"/>
      <c r="G19" s="386"/>
      <c r="H19" s="384"/>
      <c r="I19" s="384"/>
      <c r="J19" s="388"/>
      <c r="K19" s="339">
        <f t="shared" si="0"/>
        <v>1</v>
      </c>
      <c r="N19"/>
      <c r="O19"/>
      <c r="P19" s="382"/>
    </row>
    <row r="20" spans="2:16" ht="23.4" x14ac:dyDescent="0.3">
      <c r="B20" s="383" t="s">
        <v>463</v>
      </c>
      <c r="C20" s="384"/>
      <c r="D20" s="385"/>
      <c r="E20" s="385"/>
      <c r="F20" s="384"/>
      <c r="G20" s="386"/>
      <c r="H20" s="384"/>
      <c r="I20" s="384"/>
      <c r="J20" s="388"/>
      <c r="K20" s="339">
        <f t="shared" si="0"/>
        <v>1</v>
      </c>
      <c r="N20"/>
      <c r="O20"/>
      <c r="P20" s="382"/>
    </row>
    <row r="21" spans="2:16" ht="23.4" x14ac:dyDescent="0.3">
      <c r="B21" s="383" t="s">
        <v>464</v>
      </c>
      <c r="C21" s="384"/>
      <c r="D21" s="385"/>
      <c r="E21" s="385"/>
      <c r="F21" s="384"/>
      <c r="G21" s="386"/>
      <c r="H21" s="384"/>
      <c r="I21" s="384"/>
      <c r="J21" s="388"/>
      <c r="K21" s="339">
        <f t="shared" si="0"/>
        <v>1</v>
      </c>
      <c r="N21"/>
      <c r="O21"/>
      <c r="P21" s="382"/>
    </row>
    <row r="22" spans="2:16" ht="23.4" x14ac:dyDescent="0.3">
      <c r="B22" s="383" t="s">
        <v>465</v>
      </c>
      <c r="C22" s="384"/>
      <c r="D22" s="385"/>
      <c r="E22" s="385"/>
      <c r="F22" s="384"/>
      <c r="G22" s="386"/>
      <c r="H22" s="384"/>
      <c r="I22" s="384"/>
      <c r="J22" s="388"/>
      <c r="K22" s="339">
        <f t="shared" si="0"/>
        <v>1</v>
      </c>
      <c r="N22"/>
      <c r="O22"/>
      <c r="P22" s="382"/>
    </row>
    <row r="23" spans="2:16" ht="23.4" x14ac:dyDescent="0.3">
      <c r="B23" s="383" t="s">
        <v>790</v>
      </c>
      <c r="C23" s="384"/>
      <c r="D23" s="385"/>
      <c r="E23" s="385"/>
      <c r="F23" s="384"/>
      <c r="G23" s="386"/>
      <c r="H23" s="384"/>
      <c r="I23" s="384"/>
      <c r="J23" s="388"/>
      <c r="K23" s="339">
        <f t="shared" si="0"/>
        <v>1</v>
      </c>
      <c r="N23"/>
      <c r="O23"/>
      <c r="P23" s="382"/>
    </row>
    <row r="24" spans="2:16" ht="23.4" x14ac:dyDescent="0.3">
      <c r="B24" s="389" t="s">
        <v>793</v>
      </c>
      <c r="C24" s="390"/>
      <c r="D24" s="391"/>
      <c r="E24" s="391"/>
      <c r="F24" s="390"/>
      <c r="G24" s="392"/>
      <c r="H24" s="390"/>
      <c r="I24" s="390"/>
      <c r="J24" s="393"/>
      <c r="K24" s="339">
        <f t="shared" si="0"/>
        <v>1</v>
      </c>
      <c r="N24"/>
      <c r="O24"/>
      <c r="P24" s="382"/>
    </row>
    <row r="25" spans="2:16" x14ac:dyDescent="0.3">
      <c r="B25" s="335" t="s">
        <v>1776</v>
      </c>
      <c r="C25"/>
      <c r="N25"/>
      <c r="O25"/>
    </row>
    <row r="26" spans="2:16" ht="22.5" customHeight="1" x14ac:dyDescent="0.3">
      <c r="N26"/>
      <c r="O26"/>
    </row>
    <row r="27" spans="2:16" ht="22.5" customHeight="1" x14ac:dyDescent="0.3">
      <c r="N27"/>
      <c r="O27"/>
    </row>
    <row r="28" spans="2:16" ht="22.5" customHeight="1" x14ac:dyDescent="0.35">
      <c r="H28" s="394" t="str">
        <f>CONCATENATE("    ",B5,"   ",C5)</f>
        <v xml:space="preserve">    s1   Groupe 1</v>
      </c>
      <c r="I28" s="395"/>
      <c r="N28"/>
      <c r="O28"/>
    </row>
    <row r="29" spans="2:16" ht="22.5" customHeight="1" x14ac:dyDescent="0.35">
      <c r="H29" s="394" t="str">
        <f t="shared" ref="H29:H47" si="1">CONCATENATE("    ",B6,"   ",C6)</f>
        <v xml:space="preserve">    s2   </v>
      </c>
      <c r="I29" s="395"/>
      <c r="N29"/>
      <c r="O29"/>
    </row>
    <row r="30" spans="2:16" ht="22.5" customHeight="1" x14ac:dyDescent="0.35">
      <c r="H30" s="394" t="str">
        <f t="shared" si="1"/>
        <v xml:space="preserve">    s3   </v>
      </c>
      <c r="I30" s="395"/>
      <c r="N30"/>
      <c r="O30"/>
    </row>
    <row r="31" spans="2:16" ht="22.5" customHeight="1" x14ac:dyDescent="0.35">
      <c r="H31" s="394" t="str">
        <f t="shared" si="1"/>
        <v xml:space="preserve">    s4   </v>
      </c>
      <c r="I31" s="395"/>
      <c r="N31"/>
      <c r="O31"/>
    </row>
    <row r="32" spans="2:16" ht="22.5" customHeight="1" x14ac:dyDescent="0.35">
      <c r="H32" s="394" t="str">
        <f t="shared" si="1"/>
        <v xml:space="preserve">    s5   </v>
      </c>
      <c r="I32" s="395"/>
      <c r="N32"/>
      <c r="O32"/>
    </row>
    <row r="33" spans="8:15" ht="22.5" customHeight="1" x14ac:dyDescent="0.35">
      <c r="H33" s="394" t="str">
        <f t="shared" si="1"/>
        <v xml:space="preserve">    s6   </v>
      </c>
      <c r="I33" s="395"/>
      <c r="N33"/>
      <c r="O33"/>
    </row>
    <row r="34" spans="8:15" ht="22.5" customHeight="1" x14ac:dyDescent="0.35">
      <c r="H34" s="394" t="str">
        <f t="shared" si="1"/>
        <v xml:space="preserve">    s7   </v>
      </c>
      <c r="I34" s="395"/>
      <c r="N34"/>
      <c r="O34"/>
    </row>
    <row r="35" spans="8:15" ht="22.5" customHeight="1" x14ac:dyDescent="0.35">
      <c r="H35" s="394" t="str">
        <f t="shared" si="1"/>
        <v xml:space="preserve">    s8   </v>
      </c>
      <c r="I35" s="395"/>
      <c r="N35"/>
      <c r="O35"/>
    </row>
    <row r="36" spans="8:15" ht="22.5" customHeight="1" x14ac:dyDescent="0.35">
      <c r="H36" s="394" t="str">
        <f t="shared" si="1"/>
        <v xml:space="preserve">    s9   </v>
      </c>
      <c r="I36" s="395"/>
      <c r="N36"/>
      <c r="O36"/>
    </row>
    <row r="37" spans="8:15" ht="22.5" customHeight="1" x14ac:dyDescent="0.35">
      <c r="H37" s="394" t="str">
        <f t="shared" si="1"/>
        <v xml:space="preserve">    s10   </v>
      </c>
      <c r="I37" s="395"/>
      <c r="N37"/>
      <c r="O37"/>
    </row>
    <row r="38" spans="8:15" ht="22.5" customHeight="1" x14ac:dyDescent="0.35">
      <c r="H38" s="394" t="str">
        <f t="shared" si="1"/>
        <v xml:space="preserve">    s11   </v>
      </c>
      <c r="I38" s="395"/>
      <c r="N38"/>
      <c r="O38"/>
    </row>
    <row r="39" spans="8:15" ht="22.5" customHeight="1" x14ac:dyDescent="0.35">
      <c r="H39" s="394" t="str">
        <f t="shared" si="1"/>
        <v xml:space="preserve">    s12   </v>
      </c>
      <c r="I39" s="395"/>
      <c r="N39"/>
      <c r="O39"/>
    </row>
    <row r="40" spans="8:15" ht="22.5" customHeight="1" x14ac:dyDescent="0.35">
      <c r="H40" s="394" t="str">
        <f t="shared" si="1"/>
        <v xml:space="preserve">    s13   </v>
      </c>
      <c r="I40" s="395"/>
      <c r="N40"/>
      <c r="O40"/>
    </row>
    <row r="41" spans="8:15" ht="22.5" customHeight="1" x14ac:dyDescent="0.35">
      <c r="H41" s="394" t="str">
        <f t="shared" si="1"/>
        <v xml:space="preserve">    s14   </v>
      </c>
      <c r="I41" s="395"/>
      <c r="N41"/>
      <c r="O41"/>
    </row>
    <row r="42" spans="8:15" ht="22.5" customHeight="1" x14ac:dyDescent="0.35">
      <c r="H42" s="394" t="str">
        <f t="shared" si="1"/>
        <v xml:space="preserve">    s15   </v>
      </c>
      <c r="I42" s="395"/>
      <c r="N42"/>
      <c r="O42"/>
    </row>
    <row r="43" spans="8:15" ht="22.5" customHeight="1" x14ac:dyDescent="0.35">
      <c r="H43" s="394" t="str">
        <f t="shared" si="1"/>
        <v xml:space="preserve">    s16   </v>
      </c>
      <c r="I43" s="395"/>
      <c r="N43"/>
      <c r="O43"/>
    </row>
    <row r="44" spans="8:15" ht="22.5" customHeight="1" x14ac:dyDescent="0.35">
      <c r="H44" s="394" t="str">
        <f t="shared" si="1"/>
        <v xml:space="preserve">    s17   </v>
      </c>
      <c r="I44" s="395"/>
      <c r="N44"/>
      <c r="O44"/>
    </row>
    <row r="45" spans="8:15" ht="22.5" customHeight="1" x14ac:dyDescent="0.35">
      <c r="H45" s="394" t="str">
        <f t="shared" si="1"/>
        <v xml:space="preserve">    s18   </v>
      </c>
      <c r="I45" s="395"/>
      <c r="N45"/>
      <c r="O45"/>
    </row>
    <row r="46" spans="8:15" ht="22.5" customHeight="1" x14ac:dyDescent="0.35">
      <c r="H46" s="394" t="str">
        <f t="shared" si="1"/>
        <v xml:space="preserve">    s19   </v>
      </c>
      <c r="I46" s="395"/>
      <c r="N46"/>
      <c r="O46"/>
    </row>
    <row r="47" spans="8:15" ht="22.5" customHeight="1" x14ac:dyDescent="0.35">
      <c r="H47" s="394" t="str">
        <f t="shared" si="1"/>
        <v xml:space="preserve">    s20   </v>
      </c>
      <c r="I47" s="395"/>
      <c r="N47"/>
      <c r="O47"/>
    </row>
    <row r="48" spans="8:15" ht="22.5" customHeight="1" x14ac:dyDescent="0.3">
      <c r="N48"/>
      <c r="O48"/>
    </row>
    <row r="49" spans="1:15" ht="22.5" customHeight="1" x14ac:dyDescent="0.3">
      <c r="N49"/>
      <c r="O49"/>
    </row>
    <row r="50" spans="1:15" ht="0.9" customHeight="1" x14ac:dyDescent="0.3">
      <c r="A50" s="319"/>
      <c r="N50"/>
      <c r="O50"/>
    </row>
    <row r="51" spans="1:15" ht="22.5" customHeight="1" x14ac:dyDescent="0.3">
      <c r="B51" s="335"/>
      <c r="C51"/>
      <c r="N51"/>
      <c r="O51"/>
    </row>
    <row r="52" spans="1:15" ht="22.5" customHeight="1" x14ac:dyDescent="0.3">
      <c r="B52" s="396"/>
      <c r="N52"/>
      <c r="O52"/>
    </row>
    <row r="53" spans="1:15" ht="22.5" customHeight="1" x14ac:dyDescent="0.3">
      <c r="N53"/>
      <c r="O53"/>
    </row>
    <row r="54" spans="1:15" ht="22.5" customHeight="1" x14ac:dyDescent="0.3">
      <c r="N54"/>
      <c r="O54"/>
    </row>
    <row r="55" spans="1:15" ht="22.5" customHeight="1" x14ac:dyDescent="0.3">
      <c r="N55"/>
      <c r="O55"/>
    </row>
    <row r="56" spans="1:15" ht="22.5" customHeight="1" x14ac:dyDescent="0.3">
      <c r="N56"/>
      <c r="O56"/>
    </row>
    <row r="57" spans="1:15" ht="22.5" customHeight="1" x14ac:dyDescent="0.3">
      <c r="N57"/>
      <c r="O57"/>
    </row>
    <row r="58" spans="1:15" ht="22.5" customHeight="1" x14ac:dyDescent="0.3">
      <c r="N58"/>
      <c r="O58"/>
    </row>
    <row r="59" spans="1:15" ht="22.5" customHeight="1" x14ac:dyDescent="0.3">
      <c r="N59"/>
      <c r="O59"/>
    </row>
    <row r="60" spans="1:15" ht="22.5" customHeight="1" x14ac:dyDescent="0.3">
      <c r="N60"/>
      <c r="O60"/>
    </row>
    <row r="61" spans="1:15" ht="22.5" customHeight="1" x14ac:dyDescent="0.3">
      <c r="N61"/>
      <c r="O61"/>
    </row>
    <row r="62" spans="1:15" ht="22.5" customHeight="1" x14ac:dyDescent="0.3">
      <c r="N62"/>
      <c r="O62"/>
    </row>
    <row r="63" spans="1:15" ht="22.5" customHeight="1" x14ac:dyDescent="0.3">
      <c r="N63"/>
      <c r="O63"/>
    </row>
    <row r="64" spans="1:15" ht="22.5" customHeight="1" x14ac:dyDescent="0.3">
      <c r="N64"/>
      <c r="O64"/>
    </row>
    <row r="65" spans="1:15" ht="22.5" customHeight="1" x14ac:dyDescent="0.3">
      <c r="N65"/>
      <c r="O65"/>
    </row>
    <row r="66" spans="1:15" ht="22.5" customHeight="1" x14ac:dyDescent="0.3">
      <c r="N66"/>
      <c r="O66"/>
    </row>
    <row r="67" spans="1:15" ht="22.5" customHeight="1" x14ac:dyDescent="0.3">
      <c r="N67"/>
      <c r="O67"/>
    </row>
    <row r="68" spans="1:15" ht="22.5" customHeight="1" x14ac:dyDescent="0.3">
      <c r="N68"/>
      <c r="O68"/>
    </row>
    <row r="69" spans="1:15" ht="22.5" customHeight="1" x14ac:dyDescent="0.3">
      <c r="N69"/>
      <c r="O69"/>
    </row>
    <row r="70" spans="1:15" ht="22.5" customHeight="1" x14ac:dyDescent="0.3">
      <c r="N70"/>
      <c r="O70"/>
    </row>
    <row r="71" spans="1:15" ht="22.5" customHeight="1" x14ac:dyDescent="0.3">
      <c r="N71"/>
      <c r="O71"/>
    </row>
    <row r="72" spans="1:15" ht="22.5" customHeight="1" x14ac:dyDescent="0.3">
      <c r="N72"/>
      <c r="O72"/>
    </row>
    <row r="73" spans="1:15" ht="22.5" customHeight="1" x14ac:dyDescent="0.3">
      <c r="N73"/>
      <c r="O73"/>
    </row>
    <row r="74" spans="1:15" ht="22.5" customHeight="1" x14ac:dyDescent="0.3">
      <c r="N74"/>
      <c r="O74"/>
    </row>
    <row r="75" spans="1:15" ht="22.5" customHeight="1" x14ac:dyDescent="0.3">
      <c r="B75" s="397"/>
      <c r="N75"/>
      <c r="O75"/>
    </row>
    <row r="76" spans="1:15" ht="0.9" customHeight="1" x14ac:dyDescent="0.3">
      <c r="A76" s="319"/>
      <c r="N76"/>
      <c r="O76"/>
    </row>
    <row r="77" spans="1:15" ht="22.5" customHeight="1" x14ac:dyDescent="0.3">
      <c r="N77"/>
      <c r="O77"/>
    </row>
    <row r="78" spans="1:15" ht="22.5" customHeight="1" x14ac:dyDescent="0.3">
      <c r="N78"/>
      <c r="O78"/>
    </row>
    <row r="79" spans="1:15" ht="22.5" customHeight="1" x14ac:dyDescent="0.3">
      <c r="N79"/>
      <c r="O79"/>
    </row>
    <row r="80" spans="1:15" ht="22.5" customHeight="1" x14ac:dyDescent="0.3">
      <c r="N80"/>
      <c r="O80"/>
    </row>
    <row r="81" spans="14:15" ht="22.5" customHeight="1" x14ac:dyDescent="0.3">
      <c r="N81"/>
      <c r="O81"/>
    </row>
    <row r="82" spans="14:15" ht="22.5" customHeight="1" x14ac:dyDescent="0.3">
      <c r="N82"/>
      <c r="O82"/>
    </row>
    <row r="83" spans="14:15" ht="22.5" customHeight="1" x14ac:dyDescent="0.3">
      <c r="N83"/>
      <c r="O83"/>
    </row>
    <row r="84" spans="14:15" ht="22.5" customHeight="1" x14ac:dyDescent="0.3">
      <c r="N84"/>
      <c r="O84"/>
    </row>
    <row r="85" spans="14:15" ht="22.5" customHeight="1" x14ac:dyDescent="0.3">
      <c r="N85"/>
      <c r="O85"/>
    </row>
    <row r="86" spans="14:15" ht="22.5" customHeight="1" x14ac:dyDescent="0.3">
      <c r="N86"/>
      <c r="O86"/>
    </row>
    <row r="87" spans="14:15" ht="22.5" customHeight="1" x14ac:dyDescent="0.3">
      <c r="N87"/>
      <c r="O87"/>
    </row>
    <row r="88" spans="14:15" ht="22.5" customHeight="1" x14ac:dyDescent="0.3">
      <c r="N88"/>
      <c r="O88"/>
    </row>
    <row r="89" spans="14:15" ht="22.5" customHeight="1" x14ac:dyDescent="0.3">
      <c r="N89"/>
      <c r="O89"/>
    </row>
    <row r="90" spans="14:15" ht="22.5" customHeight="1" x14ac:dyDescent="0.3">
      <c r="N90"/>
      <c r="O90"/>
    </row>
    <row r="91" spans="14:15" ht="22.5" customHeight="1" x14ac:dyDescent="0.3">
      <c r="N91"/>
      <c r="O91"/>
    </row>
    <row r="92" spans="14:15" ht="22.5" customHeight="1" x14ac:dyDescent="0.3">
      <c r="N92"/>
      <c r="O92"/>
    </row>
    <row r="93" spans="14:15" ht="22.5" customHeight="1" x14ac:dyDescent="0.3">
      <c r="N93"/>
      <c r="O93"/>
    </row>
    <row r="94" spans="14:15" ht="22.5" customHeight="1" x14ac:dyDescent="0.3">
      <c r="N94"/>
      <c r="O94"/>
    </row>
    <row r="95" spans="14:15" ht="22.5" customHeight="1" x14ac:dyDescent="0.3">
      <c r="N95"/>
      <c r="O95"/>
    </row>
    <row r="96" spans="14:15" ht="22.5" customHeight="1" x14ac:dyDescent="0.3">
      <c r="N96"/>
      <c r="O96"/>
    </row>
    <row r="98" spans="4:15" x14ac:dyDescent="0.3">
      <c r="N98"/>
      <c r="O98"/>
    </row>
    <row r="99" spans="4:15" x14ac:dyDescent="0.3">
      <c r="N99"/>
      <c r="O99"/>
    </row>
    <row r="100" spans="4:15" x14ac:dyDescent="0.3">
      <c r="N100"/>
      <c r="O100"/>
    </row>
    <row r="101" spans="4:15" x14ac:dyDescent="0.3">
      <c r="N101"/>
      <c r="O101"/>
    </row>
    <row r="102" spans="4:15" x14ac:dyDescent="0.3">
      <c r="N102"/>
    </row>
    <row r="106" spans="4:15" ht="15.6" x14ac:dyDescent="0.3">
      <c r="F106" s="398"/>
      <c r="G106" s="398"/>
    </row>
    <row r="112" spans="4:15" x14ac:dyDescent="0.3">
      <c r="D112" s="381"/>
    </row>
    <row r="113" spans="4:4" x14ac:dyDescent="0.3">
      <c r="D113"/>
    </row>
    <row r="114" spans="4:4" x14ac:dyDescent="0.3">
      <c r="D114"/>
    </row>
    <row r="115" spans="4:4" x14ac:dyDescent="0.3">
      <c r="D115"/>
    </row>
    <row r="116" spans="4:4" x14ac:dyDescent="0.3">
      <c r="D116"/>
    </row>
    <row r="117" spans="4:4" x14ac:dyDescent="0.3">
      <c r="D117"/>
    </row>
    <row r="118" spans="4:4" x14ac:dyDescent="0.3">
      <c r="D118"/>
    </row>
    <row r="119" spans="4:4" x14ac:dyDescent="0.3">
      <c r="D119"/>
    </row>
    <row r="120" spans="4:4" x14ac:dyDescent="0.3">
      <c r="D120"/>
    </row>
    <row r="121" spans="4:4" x14ac:dyDescent="0.3">
      <c r="D121"/>
    </row>
    <row r="122" spans="4:4" x14ac:dyDescent="0.3">
      <c r="D122"/>
    </row>
    <row r="123" spans="4:4" x14ac:dyDescent="0.3">
      <c r="D123"/>
    </row>
    <row r="124" spans="4:4" x14ac:dyDescent="0.3">
      <c r="D124"/>
    </row>
    <row r="125" spans="4:4" x14ac:dyDescent="0.3">
      <c r="D125"/>
    </row>
    <row r="126" spans="4:4" x14ac:dyDescent="0.3">
      <c r="D126"/>
    </row>
    <row r="127" spans="4:4" x14ac:dyDescent="0.3">
      <c r="D127"/>
    </row>
    <row r="128" spans="4:4" x14ac:dyDescent="0.3">
      <c r="D128"/>
    </row>
    <row r="129" spans="4:4" x14ac:dyDescent="0.3">
      <c r="D129"/>
    </row>
    <row r="130" spans="4:4" x14ac:dyDescent="0.3">
      <c r="D130"/>
    </row>
    <row r="131" spans="4:4" x14ac:dyDescent="0.3">
      <c r="D131"/>
    </row>
  </sheetData>
  <sheetProtection sheet="1" objects="1" scenarios="1" formatCells="0" formatColumns="0" formatRows="0" insertHyperlinks="0" selectLockedCells="1" sort="0" autoFilter="0"/>
  <conditionalFormatting sqref="B5:J24">
    <cfRule type="expression" dxfId="128" priority="5">
      <formula>MOD(ROW(A1),2)=0</formula>
    </cfRule>
    <cfRule type="expression" dxfId="127" priority="6">
      <formula>MOD(ROW(A2),2)=0</formula>
    </cfRule>
  </conditionalFormatting>
  <conditionalFormatting sqref="D5:D24">
    <cfRule type="iconSet" priority="4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5:E2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2">
    <dataValidation type="list" allowBlank="1" showInputMessage="1" showErrorMessage="1" sqref="D5:E24 D26:E96" xr:uid="{00000000-0002-0000-0900-000000000000}">
      <formula1>"1,2,3,4,5,6,7,8,9,10"</formula1>
    </dataValidation>
    <dataValidation type="list" allowBlank="1" showInputMessage="1" showErrorMessage="1" sqref="J5:J24 G5:G24 J81:J96 G26:G96" xr:uid="{00000000-0002-0000-0900-000001000000}">
      <formula1>"1,2,3"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scale="96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54209D09-581E-4A6E-BBFA-F926E8F9E0FF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D26:D96</xm:sqref>
        </x14:conditionalFormatting>
        <x14:conditionalFormatting xmlns:xm="http://schemas.microsoft.com/office/excel/2006/main">
          <x14:cfRule type="iconSet" priority="7" id="{25BA9700-F963-4A90-8D77-C0FDA26E2AAC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D98:D5191 D25</xm:sqref>
        </x14:conditionalFormatting>
        <x14:conditionalFormatting xmlns:xm="http://schemas.microsoft.com/office/excel/2006/main">
          <x14:cfRule type="iconSet" priority="2" id="{4D12B672-EFDE-4809-9854-E1BED2536A4F}">
            <x14:iconSet iconSet="3Stars" showValue="0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</x14:iconSet>
          </x14:cfRule>
          <xm:sqref>G5:G24</xm:sqref>
        </x14:conditionalFormatting>
        <x14:conditionalFormatting xmlns:xm="http://schemas.microsoft.com/office/excel/2006/main">
          <x14:cfRule type="iconSet" priority="3" id="{A51F28B7-1C88-4E1B-A318-DA28F6E773CF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J5:J24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abelle10">
    <tabColor theme="5" tint="0.59999389629810485"/>
    <pageSetUpPr fitToPage="1"/>
  </sheetPr>
  <dimension ref="A1:BE57"/>
  <sheetViews>
    <sheetView showGridLines="0" zoomScaleNormal="100" workbookViewId="0">
      <pane ySplit="4" topLeftCell="A5" activePane="bottomLeft" state="frozen"/>
      <selection activeCell="K1" sqref="K1"/>
      <selection pane="bottomLeft" activeCell="C2" sqref="C2"/>
    </sheetView>
  </sheetViews>
  <sheetFormatPr baseColWidth="10" defaultColWidth="11.44140625" defaultRowHeight="14.4" x14ac:dyDescent="0.3"/>
  <cols>
    <col min="1" max="1" width="7" style="7" customWidth="1"/>
    <col min="2" max="2" width="8.88671875" style="188" customWidth="1"/>
    <col min="3" max="3" width="26.44140625" style="188" customWidth="1"/>
    <col min="4" max="4" width="8.109375" style="188" customWidth="1"/>
    <col min="5" max="5" width="25.44140625" style="193" customWidth="1"/>
    <col min="6" max="7" width="34.33203125" style="193" customWidth="1"/>
    <col min="8" max="8" width="16" style="193" customWidth="1"/>
    <col min="9" max="9" width="7.44140625" style="21" customWidth="1"/>
    <col min="10" max="46" width="9.109375" style="188" customWidth="1"/>
    <col min="47" max="57" width="9.109375" style="189" customWidth="1"/>
    <col min="58" max="251" width="9.109375" style="188" customWidth="1"/>
    <col min="252" max="16384" width="11.44140625" style="188"/>
  </cols>
  <sheetData>
    <row r="1" spans="1:11" s="5" customFormat="1" ht="44.4" customHeight="1" x14ac:dyDescent="0.3">
      <c r="A1" s="2"/>
      <c r="B1" s="3" t="str">
        <f ca="1">' '!A401</f>
        <v>R É C L A M A T I O N S   D E S   C L I E N T S</v>
      </c>
      <c r="C1" s="3"/>
      <c r="D1" s="3"/>
      <c r="E1" s="191"/>
      <c r="F1" s="191"/>
      <c r="G1" s="191"/>
      <c r="H1" s="191"/>
      <c r="I1" s="260"/>
    </row>
    <row r="2" spans="1:11" s="171" customFormat="1" ht="14.25" customHeight="1" x14ac:dyDescent="0.3">
      <c r="B2" s="236" t="str">
        <f ca="1">' '!A399</f>
        <v>du:</v>
      </c>
      <c r="C2" s="237">
        <v>41640</v>
      </c>
      <c r="D2" s="236" t="str">
        <f ca="1">' '!A400</f>
        <v>au:</v>
      </c>
      <c r="E2" s="238">
        <v>42004</v>
      </c>
      <c r="I2" s="7"/>
    </row>
    <row r="3" spans="1:11" s="65" customFormat="1" ht="10.5" customHeight="1" x14ac:dyDescent="0.3">
      <c r="A3" s="171"/>
      <c r="B3" s="186"/>
      <c r="D3" s="171"/>
      <c r="I3" s="21"/>
    </row>
    <row r="4" spans="1:11" ht="33" customHeight="1" x14ac:dyDescent="0.3">
      <c r="B4" s="353" t="str">
        <f ca="1">' '!A349</f>
        <v>Ranking</v>
      </c>
      <c r="C4" s="354" t="str">
        <f ca="1">' '!A402</f>
        <v>Réclamations</v>
      </c>
      <c r="D4" s="354" t="str">
        <f ca="1">' '!A351</f>
        <v>Fré-quence</v>
      </c>
      <c r="E4" s="354" t="str">
        <f ca="1">' '!A393</f>
        <v>Processus / Produit / Prestation de service</v>
      </c>
      <c r="F4" s="354" t="str">
        <f ca="1">' '!A395</f>
        <v>Raisons</v>
      </c>
      <c r="G4" s="354" t="str">
        <f ca="1">' '!A403</f>
        <v>Innovations possibles pour éviter les réclamations</v>
      </c>
      <c r="H4" s="354" t="str">
        <f ca="1">' '!A398</f>
        <v>Probabilité d'occurence</v>
      </c>
      <c r="I4" s="355" t="str">
        <f ca="1">' '!A397</f>
        <v>Statut</v>
      </c>
      <c r="K4" s="189"/>
    </row>
    <row r="5" spans="1:11" s="190" customFormat="1" ht="23.4" x14ac:dyDescent="0.3">
      <c r="A5" s="7"/>
      <c r="B5" s="356">
        <f>IF(D5="","",RANK(D5,D$5:D$24)+COUNTIF(D$5:D5,D5)-1)</f>
        <v>5</v>
      </c>
      <c r="C5" s="357" t="s">
        <v>684</v>
      </c>
      <c r="D5" s="358">
        <v>15</v>
      </c>
      <c r="E5" s="359"/>
      <c r="F5" s="359"/>
      <c r="G5" s="359"/>
      <c r="H5" s="345">
        <v>2</v>
      </c>
      <c r="I5" s="361">
        <v>2</v>
      </c>
    </row>
    <row r="6" spans="1:11" s="190" customFormat="1" ht="23.4" x14ac:dyDescent="0.3">
      <c r="A6" s="7"/>
      <c r="B6" s="356">
        <f>IF(D6="","",RANK(D6,D$5:D$24)+COUNTIF(D$5:D6,D6)-1)</f>
        <v>19</v>
      </c>
      <c r="C6" s="357" t="s">
        <v>685</v>
      </c>
      <c r="D6" s="358">
        <v>2</v>
      </c>
      <c r="E6" s="359"/>
      <c r="F6" s="359"/>
      <c r="G6" s="359"/>
      <c r="H6" s="345">
        <v>6</v>
      </c>
      <c r="I6" s="362">
        <v>1</v>
      </c>
    </row>
    <row r="7" spans="1:11" s="190" customFormat="1" ht="23.4" x14ac:dyDescent="0.3">
      <c r="A7" s="7"/>
      <c r="B7" s="356">
        <f>IF(D7="","",RANK(D7,D$5:D$24)+COUNTIF(D$5:D7,D7)-1)</f>
        <v>10</v>
      </c>
      <c r="C7" s="357" t="s">
        <v>686</v>
      </c>
      <c r="D7" s="358">
        <v>10</v>
      </c>
      <c r="E7" s="359"/>
      <c r="F7" s="359"/>
      <c r="G7" s="359"/>
      <c r="H7" s="345"/>
      <c r="I7" s="361"/>
    </row>
    <row r="8" spans="1:11" s="190" customFormat="1" ht="23.4" x14ac:dyDescent="0.3">
      <c r="A8" s="7"/>
      <c r="B8" s="356">
        <f>IF(D8="","",RANK(D8,D$5:D$24)+COUNTIF(D$5:D8,D8)-1)</f>
        <v>15</v>
      </c>
      <c r="C8" s="357" t="s">
        <v>687</v>
      </c>
      <c r="D8" s="358">
        <v>5</v>
      </c>
      <c r="E8" s="359"/>
      <c r="F8" s="359"/>
      <c r="G8" s="359"/>
      <c r="H8" s="345"/>
      <c r="I8" s="362"/>
    </row>
    <row r="9" spans="1:11" s="190" customFormat="1" ht="23.4" x14ac:dyDescent="0.3">
      <c r="A9" s="7"/>
      <c r="B9" s="356">
        <f>IF(D9="","",RANK(D9,D$5:D$24)+COUNTIF(D$5:D9,D9)-1)</f>
        <v>13</v>
      </c>
      <c r="C9" s="357" t="s">
        <v>688</v>
      </c>
      <c r="D9" s="358">
        <v>7</v>
      </c>
      <c r="E9" s="359"/>
      <c r="F9" s="359"/>
      <c r="G9" s="359"/>
      <c r="H9" s="345"/>
      <c r="I9" s="361"/>
    </row>
    <row r="10" spans="1:11" s="190" customFormat="1" ht="23.4" x14ac:dyDescent="0.3">
      <c r="A10" s="7"/>
      <c r="B10" s="356">
        <f>IF(D10="","",RANK(D10,D$5:D$24)+COUNTIF(D$5:D10,D10)-1)</f>
        <v>6</v>
      </c>
      <c r="C10" s="357" t="s">
        <v>689</v>
      </c>
      <c r="D10" s="358">
        <v>15</v>
      </c>
      <c r="E10" s="359"/>
      <c r="F10" s="359"/>
      <c r="G10" s="359"/>
      <c r="H10" s="345"/>
      <c r="I10" s="362"/>
    </row>
    <row r="11" spans="1:11" s="190" customFormat="1" ht="23.4" x14ac:dyDescent="0.3">
      <c r="A11" s="7"/>
      <c r="B11" s="356">
        <f>IF(D11="","",RANK(D11,D$5:D$24)+COUNTIF(D$5:D11,D11)-1)</f>
        <v>14</v>
      </c>
      <c r="C11" s="357" t="s">
        <v>690</v>
      </c>
      <c r="D11" s="358">
        <v>7</v>
      </c>
      <c r="E11" s="359"/>
      <c r="F11" s="359"/>
      <c r="G11" s="359"/>
      <c r="H11" s="345"/>
      <c r="I11" s="361"/>
    </row>
    <row r="12" spans="1:11" s="190" customFormat="1" ht="23.4" x14ac:dyDescent="0.3">
      <c r="A12" s="7"/>
      <c r="B12" s="356">
        <f>IF(D12="","",RANK(D12,D$5:D$24)+COUNTIF(D$5:D12,D12)-1)</f>
        <v>2</v>
      </c>
      <c r="C12" s="357" t="s">
        <v>691</v>
      </c>
      <c r="D12" s="358">
        <v>80</v>
      </c>
      <c r="E12" s="359"/>
      <c r="F12" s="359"/>
      <c r="G12" s="359"/>
      <c r="H12" s="345"/>
      <c r="I12" s="362"/>
    </row>
    <row r="13" spans="1:11" s="190" customFormat="1" ht="23.4" x14ac:dyDescent="0.3">
      <c r="A13" s="7"/>
      <c r="B13" s="356">
        <f>IF(D13="","",RANK(D13,D$5:D$24)+COUNTIF(D$5:D13,D13)-1)</f>
        <v>12</v>
      </c>
      <c r="C13" s="357" t="s">
        <v>692</v>
      </c>
      <c r="D13" s="358">
        <v>9</v>
      </c>
      <c r="E13" s="359"/>
      <c r="F13" s="359"/>
      <c r="G13" s="359"/>
      <c r="H13" s="345"/>
      <c r="I13" s="361"/>
    </row>
    <row r="14" spans="1:11" s="190" customFormat="1" ht="23.4" x14ac:dyDescent="0.3">
      <c r="A14" s="7"/>
      <c r="B14" s="356">
        <f>IF(D14="","",RANK(D14,D$5:D$24)+COUNTIF(D$5:D14,D14)-1)</f>
        <v>11</v>
      </c>
      <c r="C14" s="357" t="s">
        <v>693</v>
      </c>
      <c r="D14" s="358">
        <v>10</v>
      </c>
      <c r="E14" s="359"/>
      <c r="F14" s="359"/>
      <c r="G14" s="359"/>
      <c r="H14" s="345"/>
      <c r="I14" s="362"/>
    </row>
    <row r="15" spans="1:11" s="190" customFormat="1" ht="23.4" x14ac:dyDescent="0.3">
      <c r="A15" s="7"/>
      <c r="B15" s="356">
        <f>IF(D15="","",RANK(D15,D$5:D$24)+COUNTIF(D$5:D15,D15)-1)</f>
        <v>8</v>
      </c>
      <c r="C15" s="357" t="s">
        <v>694</v>
      </c>
      <c r="D15" s="358">
        <v>12</v>
      </c>
      <c r="E15" s="359"/>
      <c r="F15" s="359"/>
      <c r="G15" s="359"/>
      <c r="H15" s="345"/>
      <c r="I15" s="361"/>
    </row>
    <row r="16" spans="1:11" s="190" customFormat="1" ht="23.4" x14ac:dyDescent="0.3">
      <c r="A16" s="7"/>
      <c r="B16" s="356">
        <f>IF(D16="","",RANK(D16,D$5:D$24)+COUNTIF(D$5:D16,D16)-1)</f>
        <v>9</v>
      </c>
      <c r="C16" s="357" t="s">
        <v>695</v>
      </c>
      <c r="D16" s="358">
        <v>12</v>
      </c>
      <c r="E16" s="359"/>
      <c r="F16" s="359"/>
      <c r="G16" s="359"/>
      <c r="H16" s="345"/>
      <c r="I16" s="362"/>
    </row>
    <row r="17" spans="1:9" s="190" customFormat="1" ht="23.4" x14ac:dyDescent="0.3">
      <c r="A17" s="7"/>
      <c r="B17" s="356">
        <f>IF(D17="","",RANK(D17,D$5:D$24)+COUNTIF(D$5:D17,D17)-1)</f>
        <v>7</v>
      </c>
      <c r="C17" s="357" t="s">
        <v>696</v>
      </c>
      <c r="D17" s="358">
        <v>13</v>
      </c>
      <c r="E17" s="359"/>
      <c r="F17" s="359"/>
      <c r="G17" s="359"/>
      <c r="H17" s="345"/>
      <c r="I17" s="362"/>
    </row>
    <row r="18" spans="1:9" s="190" customFormat="1" ht="23.4" x14ac:dyDescent="0.3">
      <c r="A18" s="7"/>
      <c r="B18" s="356">
        <f>IF(D18="","",RANK(D18,D$5:D$24)+COUNTIF(D$5:D18,D18)-1)</f>
        <v>17</v>
      </c>
      <c r="C18" s="357" t="s">
        <v>697</v>
      </c>
      <c r="D18" s="358">
        <v>3</v>
      </c>
      <c r="E18" s="359"/>
      <c r="F18" s="359"/>
      <c r="G18" s="359"/>
      <c r="H18" s="345"/>
      <c r="I18" s="361"/>
    </row>
    <row r="19" spans="1:9" s="190" customFormat="1" ht="23.4" x14ac:dyDescent="0.3">
      <c r="A19" s="7"/>
      <c r="B19" s="356">
        <f>IF(D19="","",RANK(D19,D$5:D$24)+COUNTIF(D$5:D19,D19)-1)</f>
        <v>4</v>
      </c>
      <c r="C19" s="357" t="s">
        <v>698</v>
      </c>
      <c r="D19" s="358">
        <v>45</v>
      </c>
      <c r="E19" s="359"/>
      <c r="F19" s="359"/>
      <c r="G19" s="359"/>
      <c r="H19" s="345"/>
      <c r="I19" s="362"/>
    </row>
    <row r="20" spans="1:9" s="190" customFormat="1" ht="23.4" x14ac:dyDescent="0.3">
      <c r="A20" s="7"/>
      <c r="B20" s="356">
        <f>IF(D20="","",RANK(D20,D$5:D$24)+COUNTIF(D$5:D20,D20)-1)</f>
        <v>20</v>
      </c>
      <c r="C20" s="357" t="s">
        <v>699</v>
      </c>
      <c r="D20" s="358">
        <v>2</v>
      </c>
      <c r="E20" s="359"/>
      <c r="F20" s="359"/>
      <c r="G20" s="359"/>
      <c r="H20" s="345"/>
      <c r="I20" s="361"/>
    </row>
    <row r="21" spans="1:9" s="190" customFormat="1" ht="23.4" x14ac:dyDescent="0.3">
      <c r="A21" s="7"/>
      <c r="B21" s="356">
        <f>IF(D21="","",RANK(D21,D$5:D$24)+COUNTIF(D$5:D21,D21)-1)</f>
        <v>3</v>
      </c>
      <c r="C21" s="357" t="s">
        <v>700</v>
      </c>
      <c r="D21" s="358">
        <v>55</v>
      </c>
      <c r="E21" s="359"/>
      <c r="F21" s="359"/>
      <c r="G21" s="359"/>
      <c r="H21" s="345"/>
      <c r="I21" s="362"/>
    </row>
    <row r="22" spans="1:9" s="190" customFormat="1" ht="23.4" x14ac:dyDescent="0.3">
      <c r="A22" s="7"/>
      <c r="B22" s="356">
        <f>IF(D22="","",RANK(D22,D$5:D$24)+COUNTIF(D$5:D22,D22)-1)</f>
        <v>1</v>
      </c>
      <c r="C22" s="357" t="s">
        <v>701</v>
      </c>
      <c r="D22" s="358">
        <v>86</v>
      </c>
      <c r="E22" s="359"/>
      <c r="F22" s="359"/>
      <c r="G22" s="359"/>
      <c r="H22" s="345"/>
      <c r="I22" s="362"/>
    </row>
    <row r="23" spans="1:9" s="190" customFormat="1" ht="23.4" x14ac:dyDescent="0.3">
      <c r="A23" s="7"/>
      <c r="B23" s="356">
        <f>IF(D23="","",RANK(D23,D$5:D$24)+COUNTIF(D$5:D23,D23)-1)</f>
        <v>16</v>
      </c>
      <c r="C23" s="357" t="s">
        <v>702</v>
      </c>
      <c r="D23" s="358">
        <v>5</v>
      </c>
      <c r="E23" s="359"/>
      <c r="F23" s="359"/>
      <c r="G23" s="359"/>
      <c r="H23" s="345"/>
      <c r="I23" s="361"/>
    </row>
    <row r="24" spans="1:9" s="190" customFormat="1" ht="23.4" x14ac:dyDescent="0.3">
      <c r="A24" s="7"/>
      <c r="B24" s="363">
        <f>IF(D24="","",RANK(D24,D$5:D$24)+COUNTIF(D$5:D24,D24)-1)</f>
        <v>18</v>
      </c>
      <c r="C24" s="399" t="s">
        <v>941</v>
      </c>
      <c r="D24" s="365">
        <v>3</v>
      </c>
      <c r="E24" s="366"/>
      <c r="F24" s="366"/>
      <c r="G24" s="366"/>
      <c r="H24" s="350"/>
      <c r="I24" s="368"/>
    </row>
    <row r="25" spans="1:9" x14ac:dyDescent="0.3">
      <c r="A25" s="171"/>
      <c r="B25" s="335" t="s">
        <v>1776</v>
      </c>
      <c r="C25" s="189"/>
      <c r="D25" s="189"/>
      <c r="E25" s="189"/>
      <c r="F25" s="189"/>
      <c r="G25" s="189"/>
      <c r="H25" s="189"/>
    </row>
    <row r="26" spans="1:9" x14ac:dyDescent="0.3">
      <c r="A26" s="171"/>
      <c r="B26" s="189"/>
      <c r="C26" s="189"/>
      <c r="D26" s="189"/>
      <c r="E26" s="189"/>
      <c r="F26" s="189"/>
      <c r="G26" s="189"/>
      <c r="H26" s="189"/>
    </row>
    <row r="27" spans="1:9" x14ac:dyDescent="0.3">
      <c r="A27" s="171"/>
      <c r="B27" s="189"/>
      <c r="C27" s="189"/>
      <c r="D27" s="189"/>
      <c r="E27" s="189"/>
      <c r="F27" s="189"/>
      <c r="G27" s="189"/>
      <c r="H27" s="189"/>
    </row>
    <row r="28" spans="1:9" x14ac:dyDescent="0.3">
      <c r="A28" s="171"/>
      <c r="B28" s="193" t="s">
        <v>0</v>
      </c>
      <c r="C28" s="193" t="s">
        <v>1</v>
      </c>
      <c r="D28" s="193" t="s">
        <v>2</v>
      </c>
      <c r="E28" s="194" t="s">
        <v>3</v>
      </c>
      <c r="F28" s="194"/>
      <c r="G28" s="235"/>
      <c r="H28" s="235"/>
    </row>
    <row r="29" spans="1:9" x14ac:dyDescent="0.3">
      <c r="A29" s="171"/>
      <c r="B29" s="195" t="str">
        <f t="shared" ref="B29:B48" si="0">IF(D5="","",INDEX($B$5:$D$24,MATCH(D29,$B$5:$B$24,0),2))</f>
        <v>Reklamation 18</v>
      </c>
      <c r="C29" s="195">
        <f t="shared" ref="C29:C48" si="1">IF(D5="","",INDEX($B$5:$D$24,MATCH(D29,$B$5:$B$24,0),3))</f>
        <v>86</v>
      </c>
      <c r="D29" s="195">
        <v>1</v>
      </c>
      <c r="E29" s="196">
        <f>IF(C29="","",C29/SUM($C$29:$C$48))</f>
        <v>0.21717171717171718</v>
      </c>
      <c r="F29" s="196"/>
      <c r="G29" s="233"/>
      <c r="H29" s="233"/>
    </row>
    <row r="30" spans="1:9" x14ac:dyDescent="0.3">
      <c r="A30" s="171"/>
      <c r="B30" s="195" t="str">
        <f t="shared" si="0"/>
        <v>Reklamation 8</v>
      </c>
      <c r="C30" s="195">
        <f t="shared" si="1"/>
        <v>80</v>
      </c>
      <c r="D30" s="195">
        <v>2</v>
      </c>
      <c r="E30" s="196">
        <f t="shared" ref="E30:E48" si="2">IF(C30="","",(C30/SUM($C$29:$C$48)+E29))</f>
        <v>0.41919191919191923</v>
      </c>
      <c r="F30" s="196"/>
      <c r="G30" s="233"/>
      <c r="H30" s="233"/>
    </row>
    <row r="31" spans="1:9" x14ac:dyDescent="0.3">
      <c r="A31" s="171"/>
      <c r="B31" s="195" t="str">
        <f t="shared" si="0"/>
        <v>Reklamation 17</v>
      </c>
      <c r="C31" s="195">
        <f t="shared" si="1"/>
        <v>55</v>
      </c>
      <c r="D31" s="195">
        <v>3</v>
      </c>
      <c r="E31" s="196">
        <f t="shared" si="2"/>
        <v>0.55808080808080818</v>
      </c>
      <c r="F31" s="196"/>
      <c r="G31" s="233"/>
      <c r="H31" s="233"/>
    </row>
    <row r="32" spans="1:9" x14ac:dyDescent="0.3">
      <c r="A32" s="171"/>
      <c r="B32" s="195" t="str">
        <f t="shared" si="0"/>
        <v>Reklamation 15</v>
      </c>
      <c r="C32" s="195">
        <f t="shared" si="1"/>
        <v>45</v>
      </c>
      <c r="D32" s="195">
        <v>4</v>
      </c>
      <c r="E32" s="196">
        <f t="shared" si="2"/>
        <v>0.67171717171717182</v>
      </c>
      <c r="F32" s="196"/>
      <c r="G32" s="233"/>
      <c r="H32" s="233"/>
    </row>
    <row r="33" spans="1:8" x14ac:dyDescent="0.3">
      <c r="A33" s="171"/>
      <c r="B33" s="195" t="str">
        <f t="shared" si="0"/>
        <v>Reklamation 1</v>
      </c>
      <c r="C33" s="195">
        <f t="shared" si="1"/>
        <v>15</v>
      </c>
      <c r="D33" s="195">
        <v>5</v>
      </c>
      <c r="E33" s="196">
        <f t="shared" si="2"/>
        <v>0.70959595959595967</v>
      </c>
      <c r="F33" s="196"/>
      <c r="G33" s="233"/>
      <c r="H33" s="233"/>
    </row>
    <row r="34" spans="1:8" x14ac:dyDescent="0.3">
      <c r="A34" s="171"/>
      <c r="B34" s="195" t="str">
        <f t="shared" si="0"/>
        <v>Reklamation 6</v>
      </c>
      <c r="C34" s="195">
        <f t="shared" si="1"/>
        <v>15</v>
      </c>
      <c r="D34" s="195">
        <v>6</v>
      </c>
      <c r="E34" s="196">
        <f t="shared" si="2"/>
        <v>0.74747474747474751</v>
      </c>
      <c r="F34" s="196"/>
      <c r="G34" s="233"/>
      <c r="H34" s="233"/>
    </row>
    <row r="35" spans="1:8" x14ac:dyDescent="0.3">
      <c r="A35" s="171"/>
      <c r="B35" s="195" t="str">
        <f t="shared" si="0"/>
        <v>Reklamation 13</v>
      </c>
      <c r="C35" s="195">
        <f t="shared" si="1"/>
        <v>13</v>
      </c>
      <c r="D35" s="195">
        <v>7</v>
      </c>
      <c r="E35" s="196">
        <f t="shared" si="2"/>
        <v>0.78030303030303039</v>
      </c>
      <c r="F35" s="196"/>
      <c r="G35" s="233"/>
      <c r="H35" s="233"/>
    </row>
    <row r="36" spans="1:8" x14ac:dyDescent="0.3">
      <c r="A36" s="171"/>
      <c r="B36" s="195" t="str">
        <f t="shared" si="0"/>
        <v>Reklamation 11</v>
      </c>
      <c r="C36" s="195">
        <f t="shared" si="1"/>
        <v>12</v>
      </c>
      <c r="D36" s="195">
        <v>8</v>
      </c>
      <c r="E36" s="196">
        <f t="shared" si="2"/>
        <v>0.81060606060606066</v>
      </c>
      <c r="F36" s="196"/>
      <c r="G36" s="233"/>
      <c r="H36" s="233"/>
    </row>
    <row r="37" spans="1:8" x14ac:dyDescent="0.3">
      <c r="A37" s="171"/>
      <c r="B37" s="195" t="str">
        <f t="shared" si="0"/>
        <v>Reklamation 12</v>
      </c>
      <c r="C37" s="195">
        <f t="shared" si="1"/>
        <v>12</v>
      </c>
      <c r="D37" s="195">
        <v>9</v>
      </c>
      <c r="E37" s="196">
        <f t="shared" si="2"/>
        <v>0.84090909090909094</v>
      </c>
      <c r="F37" s="196"/>
      <c r="G37" s="233"/>
      <c r="H37" s="233"/>
    </row>
    <row r="38" spans="1:8" x14ac:dyDescent="0.3">
      <c r="A38" s="171"/>
      <c r="B38" s="195" t="str">
        <f t="shared" si="0"/>
        <v>Reklamation 3</v>
      </c>
      <c r="C38" s="195">
        <f t="shared" si="1"/>
        <v>10</v>
      </c>
      <c r="D38" s="195">
        <v>10</v>
      </c>
      <c r="E38" s="196">
        <f t="shared" si="2"/>
        <v>0.86616161616161624</v>
      </c>
      <c r="F38" s="196"/>
      <c r="G38" s="233"/>
      <c r="H38" s="233"/>
    </row>
    <row r="39" spans="1:8" x14ac:dyDescent="0.3">
      <c r="A39" s="171"/>
      <c r="B39" s="195" t="str">
        <f t="shared" si="0"/>
        <v>Reklamation 10</v>
      </c>
      <c r="C39" s="195">
        <f t="shared" si="1"/>
        <v>10</v>
      </c>
      <c r="D39" s="195">
        <v>11</v>
      </c>
      <c r="E39" s="196">
        <f t="shared" si="2"/>
        <v>0.89141414141414155</v>
      </c>
      <c r="F39" s="196"/>
      <c r="G39" s="233"/>
      <c r="H39" s="233"/>
    </row>
    <row r="40" spans="1:8" x14ac:dyDescent="0.3">
      <c r="A40" s="171"/>
      <c r="B40" s="195" t="str">
        <f t="shared" si="0"/>
        <v>Reklamation 9</v>
      </c>
      <c r="C40" s="195">
        <f t="shared" si="1"/>
        <v>9</v>
      </c>
      <c r="D40" s="195">
        <v>12</v>
      </c>
      <c r="E40" s="196">
        <f t="shared" si="2"/>
        <v>0.91414141414141425</v>
      </c>
      <c r="F40" s="196"/>
      <c r="G40" s="233"/>
      <c r="H40" s="233"/>
    </row>
    <row r="41" spans="1:8" x14ac:dyDescent="0.3">
      <c r="A41" s="171"/>
      <c r="B41" s="195" t="str">
        <f t="shared" si="0"/>
        <v>Reklamation 5</v>
      </c>
      <c r="C41" s="195">
        <f t="shared" si="1"/>
        <v>7</v>
      </c>
      <c r="D41" s="195">
        <v>13</v>
      </c>
      <c r="E41" s="196">
        <f t="shared" si="2"/>
        <v>0.93181818181818188</v>
      </c>
      <c r="F41" s="196"/>
      <c r="G41" s="233"/>
      <c r="H41" s="233"/>
    </row>
    <row r="42" spans="1:8" x14ac:dyDescent="0.3">
      <c r="A42" s="171"/>
      <c r="B42" s="195" t="str">
        <f t="shared" si="0"/>
        <v>Reklamation 7</v>
      </c>
      <c r="C42" s="195">
        <f t="shared" si="1"/>
        <v>7</v>
      </c>
      <c r="D42" s="195">
        <v>14</v>
      </c>
      <c r="E42" s="196">
        <f t="shared" si="2"/>
        <v>0.9494949494949495</v>
      </c>
      <c r="F42" s="196"/>
      <c r="G42" s="233"/>
      <c r="H42" s="233"/>
    </row>
    <row r="43" spans="1:8" x14ac:dyDescent="0.3">
      <c r="A43" s="171"/>
      <c r="B43" s="195" t="str">
        <f t="shared" si="0"/>
        <v>Reklamation 4</v>
      </c>
      <c r="C43" s="195">
        <f t="shared" si="1"/>
        <v>5</v>
      </c>
      <c r="D43" s="195">
        <v>15</v>
      </c>
      <c r="E43" s="196">
        <f t="shared" si="2"/>
        <v>0.96212121212121215</v>
      </c>
      <c r="F43" s="196"/>
      <c r="G43" s="233"/>
      <c r="H43" s="233"/>
    </row>
    <row r="44" spans="1:8" x14ac:dyDescent="0.3">
      <c r="A44" s="171"/>
      <c r="B44" s="195" t="str">
        <f t="shared" si="0"/>
        <v>Reklamation 19</v>
      </c>
      <c r="C44" s="195">
        <f t="shared" si="1"/>
        <v>5</v>
      </c>
      <c r="D44" s="195">
        <v>16</v>
      </c>
      <c r="E44" s="196">
        <f t="shared" si="2"/>
        <v>0.97474747474747481</v>
      </c>
      <c r="F44" s="196"/>
      <c r="G44" s="233"/>
      <c r="H44" s="233"/>
    </row>
    <row r="45" spans="1:8" x14ac:dyDescent="0.3">
      <c r="A45" s="171"/>
      <c r="B45" s="195" t="str">
        <f t="shared" si="0"/>
        <v>Reklamation 14</v>
      </c>
      <c r="C45" s="195">
        <f t="shared" si="1"/>
        <v>3</v>
      </c>
      <c r="D45" s="195">
        <v>17</v>
      </c>
      <c r="E45" s="196">
        <f t="shared" si="2"/>
        <v>0.98232323232323238</v>
      </c>
      <c r="F45" s="196"/>
      <c r="G45" s="233"/>
      <c r="H45" s="233"/>
    </row>
    <row r="46" spans="1:8" x14ac:dyDescent="0.3">
      <c r="A46" s="171"/>
      <c r="B46" s="195" t="str">
        <f t="shared" si="0"/>
        <v>Reklamation 20</v>
      </c>
      <c r="C46" s="195">
        <f t="shared" si="1"/>
        <v>3</v>
      </c>
      <c r="D46" s="195">
        <v>18</v>
      </c>
      <c r="E46" s="196">
        <f t="shared" si="2"/>
        <v>0.98989898989898994</v>
      </c>
      <c r="F46" s="196"/>
      <c r="G46" s="233"/>
      <c r="H46" s="233"/>
    </row>
    <row r="47" spans="1:8" x14ac:dyDescent="0.3">
      <c r="A47" s="171"/>
      <c r="B47" s="195" t="str">
        <f t="shared" si="0"/>
        <v>Reklamation 2</v>
      </c>
      <c r="C47" s="195">
        <f t="shared" si="1"/>
        <v>2</v>
      </c>
      <c r="D47" s="195">
        <v>19</v>
      </c>
      <c r="E47" s="196">
        <f t="shared" si="2"/>
        <v>0.99494949494949503</v>
      </c>
      <c r="F47" s="196"/>
      <c r="G47" s="233"/>
      <c r="H47" s="233"/>
    </row>
    <row r="48" spans="1:8" x14ac:dyDescent="0.3">
      <c r="A48" s="171"/>
      <c r="B48" s="195" t="str">
        <f t="shared" si="0"/>
        <v>Reklamation 16</v>
      </c>
      <c r="C48" s="195">
        <f t="shared" si="1"/>
        <v>2</v>
      </c>
      <c r="D48" s="195">
        <v>20</v>
      </c>
      <c r="E48" s="196">
        <f t="shared" si="2"/>
        <v>1</v>
      </c>
      <c r="F48" s="196"/>
      <c r="G48" s="233"/>
      <c r="H48" s="233"/>
    </row>
    <row r="49" spans="1:8" x14ac:dyDescent="0.3">
      <c r="A49" s="171"/>
      <c r="B49" s="189"/>
      <c r="C49" s="189"/>
      <c r="D49" s="189"/>
      <c r="E49" s="189"/>
      <c r="F49" s="189"/>
      <c r="G49" s="189"/>
      <c r="H49" s="189"/>
    </row>
    <row r="50" spans="1:8" x14ac:dyDescent="0.3">
      <c r="A50" s="171"/>
      <c r="B50" s="189"/>
      <c r="C50" s="189"/>
      <c r="D50" s="189"/>
      <c r="E50" s="189"/>
      <c r="F50" s="189"/>
      <c r="G50" s="189"/>
      <c r="H50" s="189"/>
    </row>
    <row r="51" spans="1:8" x14ac:dyDescent="0.3">
      <c r="A51" s="171"/>
      <c r="B51" s="189"/>
      <c r="C51" s="189"/>
      <c r="D51" s="189"/>
      <c r="E51" s="189"/>
      <c r="F51" s="189"/>
      <c r="G51" s="189"/>
      <c r="H51" s="189"/>
    </row>
    <row r="52" spans="1:8" x14ac:dyDescent="0.3">
      <c r="A52" s="171"/>
      <c r="B52" s="189"/>
      <c r="C52" s="189"/>
      <c r="D52" s="189"/>
      <c r="E52" s="189"/>
      <c r="F52" s="189"/>
      <c r="G52" s="189"/>
      <c r="H52" s="189"/>
    </row>
    <row r="53" spans="1:8" x14ac:dyDescent="0.3">
      <c r="A53" s="171"/>
      <c r="B53" s="189"/>
      <c r="C53" s="189"/>
      <c r="D53" s="189"/>
      <c r="E53" s="189"/>
      <c r="F53" s="189"/>
      <c r="G53" s="189"/>
      <c r="H53" s="189"/>
    </row>
    <row r="54" spans="1:8" x14ac:dyDescent="0.3">
      <c r="A54" s="171"/>
      <c r="B54" s="189"/>
      <c r="C54" s="189"/>
      <c r="D54" s="189"/>
      <c r="E54" s="189"/>
      <c r="F54" s="189"/>
      <c r="G54" s="189"/>
      <c r="H54" s="189"/>
    </row>
    <row r="55" spans="1:8" x14ac:dyDescent="0.3">
      <c r="A55" s="171"/>
      <c r="B55" s="189"/>
      <c r="C55" s="189"/>
      <c r="D55" s="189"/>
      <c r="E55" s="189"/>
      <c r="F55" s="189"/>
      <c r="G55" s="189"/>
      <c r="H55" s="189"/>
    </row>
    <row r="56" spans="1:8" x14ac:dyDescent="0.3">
      <c r="B56" s="234"/>
    </row>
    <row r="57" spans="1:8" ht="0.9" customHeight="1" x14ac:dyDescent="0.3">
      <c r="A57" s="20"/>
    </row>
  </sheetData>
  <sheetProtection sheet="1" objects="1" scenarios="1" formatCells="0" formatColumns="0" formatRows="0" insertHyperlinks="0" selectLockedCells="1" sort="0" autoFilter="0"/>
  <conditionalFormatting sqref="B5:I24">
    <cfRule type="expression" dxfId="126" priority="3">
      <formula>MOD(ROW(A1),2)=0</formula>
    </cfRule>
    <cfRule type="expression" dxfId="125" priority="4">
      <formula>MOD(ROW(A2),2)=0</formula>
    </cfRule>
  </conditionalFormatting>
  <conditionalFormatting sqref="H5:H2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2">
    <dataValidation type="list" allowBlank="1" showInputMessage="1" showErrorMessage="1" sqref="H5:H24" xr:uid="{00000000-0002-0000-0A00-000000000000}">
      <formula1>"1,2,3,4,5,6,7,8,9,10"</formula1>
    </dataValidation>
    <dataValidation type="list" allowBlank="1" showInputMessage="1" showErrorMessage="1" sqref="I5:I21" xr:uid="{00000000-0002-0000-0A00-000001000000}">
      <formula1>"1,2,3"</formula1>
    </dataValidation>
  </dataValidations>
  <pageMargins left="0.25" right="0.25" top="0.75" bottom="0.75" header="0.3" footer="0.3"/>
  <pageSetup paperSize="8" scale="90" orientation="portrait" horizontalDpi="1200" verticalDpi="1200" r:id="rId1"/>
  <headerFooter alignWithMargins="0">
    <oddFooter>&amp;L&amp;8&amp;K00-049(c)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1FF8D9B6-1672-4C0D-88E8-C2E6BDE08FF8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I5:I24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Tabelle39">
    <tabColor theme="5" tint="0.59999389629810485"/>
    <pageSetUpPr fitToPage="1"/>
  </sheetPr>
  <dimension ref="A1:Q87"/>
  <sheetViews>
    <sheetView showGridLines="0" zoomScaleNormal="100" workbookViewId="0">
      <pane ySplit="1" topLeftCell="A2" activePane="bottomLeft" state="frozen"/>
      <selection activeCell="K1" sqref="K1"/>
      <selection pane="bottomLeft" activeCell="D5" sqref="D5"/>
    </sheetView>
  </sheetViews>
  <sheetFormatPr baseColWidth="10" defaultColWidth="12.5546875" defaultRowHeight="13.2" x14ac:dyDescent="0.25"/>
  <cols>
    <col min="1" max="1" width="7" customWidth="1"/>
    <col min="2" max="2" width="3.109375" style="320" customWidth="1"/>
    <col min="3" max="3" width="3.33203125" style="200" customWidth="1"/>
    <col min="4" max="4" width="36.88671875" style="200" customWidth="1"/>
    <col min="5" max="6" width="4.5546875" style="200" customWidth="1"/>
    <col min="7" max="7" width="1.44140625" style="200" customWidth="1"/>
    <col min="8" max="8" width="38" style="200" customWidth="1"/>
    <col min="9" max="9" width="47.33203125" style="200" customWidth="1"/>
    <col min="10" max="10" width="9.33203125" style="200" customWidth="1"/>
    <col min="11" max="11" width="7" style="200" customWidth="1"/>
    <col min="12" max="20" width="4" style="200" customWidth="1"/>
    <col min="21" max="16384" width="12.5546875" style="200"/>
  </cols>
  <sheetData>
    <row r="1" spans="1:17" s="316" customFormat="1" ht="44.4" customHeight="1" x14ac:dyDescent="0.3">
      <c r="A1" s="400"/>
      <c r="B1" s="198" t="str">
        <f ca="1">' '!A126</f>
        <v>B E N C H M A R K I N G</v>
      </c>
      <c r="C1" s="198"/>
      <c r="D1" s="198"/>
      <c r="E1" s="198"/>
      <c r="F1" s="198"/>
      <c r="G1" s="198"/>
      <c r="H1" s="198"/>
      <c r="I1" s="317"/>
      <c r="J1" s="199"/>
      <c r="K1" s="199"/>
      <c r="L1" s="199"/>
    </row>
    <row r="2" spans="1:17" s="316" customFormat="1" ht="15.75" customHeight="1" x14ac:dyDescent="0.3">
      <c r="A2" s="320"/>
      <c r="B2" s="322"/>
      <c r="C2" s="199"/>
      <c r="D2" s="401"/>
      <c r="E2" s="199"/>
      <c r="F2" s="199"/>
      <c r="G2" s="199"/>
      <c r="H2" s="199"/>
      <c r="I2" s="199"/>
      <c r="J2" s="199"/>
      <c r="K2" s="199"/>
      <c r="L2" s="199"/>
    </row>
    <row r="3" spans="1:17" ht="61.5" customHeight="1" x14ac:dyDescent="0.4">
      <c r="A3" s="15"/>
      <c r="B3" s="1024" t="str">
        <f ca="1">' '!A127</f>
        <v>Statut</v>
      </c>
      <c r="C3" s="200" t="str">
        <f ca="1">' '!A128</f>
        <v>No.</v>
      </c>
      <c r="D3" s="202" t="str">
        <f ca="1">' '!A129</f>
        <v>Objets de comparaison</v>
      </c>
      <c r="E3" s="402" t="str">
        <f ca="1">' '!A131</f>
        <v>Nous</v>
      </c>
      <c r="F3" s="403" t="str">
        <f ca="1">' '!A132</f>
        <v>Concurrence</v>
      </c>
      <c r="H3" s="201"/>
      <c r="I3" s="202" t="str">
        <f ca="1">' '!A130</f>
        <v>Innovations possibles</v>
      </c>
    </row>
    <row r="4" spans="1:17" ht="11.25" customHeight="1" x14ac:dyDescent="0.4">
      <c r="B4" s="1024"/>
      <c r="D4" s="202"/>
      <c r="E4" s="404" t="s">
        <v>542</v>
      </c>
      <c r="F4" s="405" t="s">
        <v>543</v>
      </c>
      <c r="H4" s="201"/>
      <c r="I4" s="203"/>
    </row>
    <row r="5" spans="1:17" ht="18" x14ac:dyDescent="0.3">
      <c r="A5" s="197">
        <f>E5-F5</f>
        <v>1</v>
      </c>
      <c r="B5" s="406">
        <f>IF(A5&gt;=2,1,
IF(OR(A5=1,A5=-1,
AND(E5=0,F5=0)),2,3))</f>
        <v>2</v>
      </c>
      <c r="C5" s="407">
        <v>1</v>
      </c>
      <c r="D5" s="408" t="s">
        <v>544</v>
      </c>
      <c r="E5" s="409">
        <v>2</v>
      </c>
      <c r="F5" s="410">
        <v>1</v>
      </c>
      <c r="G5" s="411"/>
      <c r="H5" s="412"/>
      <c r="I5" s="413"/>
      <c r="J5" s="414"/>
    </row>
    <row r="6" spans="1:17" ht="18" x14ac:dyDescent="0.3">
      <c r="A6" s="197">
        <f t="shared" ref="A6:A34" si="0">E6-F6</f>
        <v>-2</v>
      </c>
      <c r="B6" s="415">
        <f t="shared" ref="B6:B34" si="1">IF(A6&gt;=2,1,
IF(OR(A6=1,A6=-1,
AND(E6=0,F6=0)),2,3))</f>
        <v>3</v>
      </c>
      <c r="C6" s="416">
        <v>2</v>
      </c>
      <c r="D6" s="417" t="s">
        <v>545</v>
      </c>
      <c r="E6" s="418">
        <v>1</v>
      </c>
      <c r="F6" s="419">
        <v>3</v>
      </c>
      <c r="G6" s="420"/>
      <c r="H6" s="421"/>
      <c r="I6" s="422"/>
      <c r="Q6" s="320"/>
    </row>
    <row r="7" spans="1:17" ht="18" x14ac:dyDescent="0.3">
      <c r="A7" s="197">
        <f t="shared" si="0"/>
        <v>-1</v>
      </c>
      <c r="B7" s="415">
        <f t="shared" si="1"/>
        <v>2</v>
      </c>
      <c r="C7" s="416">
        <v>3</v>
      </c>
      <c r="D7" s="417"/>
      <c r="E7" s="418">
        <v>1</v>
      </c>
      <c r="F7" s="419">
        <v>2</v>
      </c>
      <c r="G7" s="420"/>
      <c r="H7" s="421"/>
      <c r="I7" s="422"/>
      <c r="Q7" s="320"/>
    </row>
    <row r="8" spans="1:17" ht="18" x14ac:dyDescent="0.3">
      <c r="A8" s="197">
        <f t="shared" si="0"/>
        <v>-2</v>
      </c>
      <c r="B8" s="415">
        <f t="shared" si="1"/>
        <v>3</v>
      </c>
      <c r="C8" s="416">
        <v>4</v>
      </c>
      <c r="D8" s="417"/>
      <c r="E8" s="418">
        <v>-1</v>
      </c>
      <c r="F8" s="419">
        <v>1</v>
      </c>
      <c r="G8" s="420"/>
      <c r="H8" s="421"/>
      <c r="I8" s="422"/>
      <c r="Q8" s="320"/>
    </row>
    <row r="9" spans="1:17" ht="18" x14ac:dyDescent="0.3">
      <c r="A9" s="197">
        <f t="shared" si="0"/>
        <v>-4</v>
      </c>
      <c r="B9" s="415">
        <f t="shared" si="1"/>
        <v>3</v>
      </c>
      <c r="C9" s="416">
        <v>5</v>
      </c>
      <c r="D9" s="417"/>
      <c r="E9" s="418">
        <v>-3</v>
      </c>
      <c r="F9" s="419">
        <v>1</v>
      </c>
      <c r="G9" s="420"/>
      <c r="H9" s="421"/>
      <c r="I9" s="422"/>
      <c r="Q9" s="320"/>
    </row>
    <row r="10" spans="1:17" ht="18" x14ac:dyDescent="0.3">
      <c r="A10" s="197">
        <f t="shared" si="0"/>
        <v>0</v>
      </c>
      <c r="B10" s="415">
        <f t="shared" si="1"/>
        <v>3</v>
      </c>
      <c r="C10" s="416">
        <v>6</v>
      </c>
      <c r="D10" s="417"/>
      <c r="E10" s="418">
        <v>1</v>
      </c>
      <c r="F10" s="419">
        <v>1</v>
      </c>
      <c r="G10" s="420"/>
      <c r="H10" s="421"/>
      <c r="I10" s="422"/>
      <c r="Q10" s="320"/>
    </row>
    <row r="11" spans="1:17" ht="18" x14ac:dyDescent="0.3">
      <c r="A11" s="197">
        <f t="shared" si="0"/>
        <v>-4</v>
      </c>
      <c r="B11" s="415">
        <f t="shared" si="1"/>
        <v>3</v>
      </c>
      <c r="C11" s="416">
        <v>7</v>
      </c>
      <c r="D11" s="417"/>
      <c r="E11" s="418">
        <v>-3</v>
      </c>
      <c r="F11" s="419">
        <v>1</v>
      </c>
      <c r="G11" s="420"/>
      <c r="H11" s="421"/>
      <c r="I11" s="422"/>
      <c r="Q11" s="320"/>
    </row>
    <row r="12" spans="1:17" ht="18" x14ac:dyDescent="0.3">
      <c r="A12" s="197">
        <f t="shared" si="0"/>
        <v>2</v>
      </c>
      <c r="B12" s="415">
        <f t="shared" si="1"/>
        <v>1</v>
      </c>
      <c r="C12" s="416">
        <v>8</v>
      </c>
      <c r="D12" s="417"/>
      <c r="E12" s="418">
        <v>3</v>
      </c>
      <c r="F12" s="419">
        <v>1</v>
      </c>
      <c r="G12" s="420"/>
      <c r="H12" s="421"/>
      <c r="I12" s="422"/>
      <c r="Q12" s="320"/>
    </row>
    <row r="13" spans="1:17" ht="18" x14ac:dyDescent="0.3">
      <c r="A13" s="197">
        <f t="shared" si="0"/>
        <v>0</v>
      </c>
      <c r="B13" s="415">
        <f t="shared" si="1"/>
        <v>3</v>
      </c>
      <c r="C13" s="416">
        <v>9</v>
      </c>
      <c r="D13" s="417"/>
      <c r="E13" s="418">
        <v>1</v>
      </c>
      <c r="F13" s="419">
        <v>1</v>
      </c>
      <c r="G13" s="420"/>
      <c r="H13" s="421"/>
      <c r="I13" s="422"/>
      <c r="Q13" s="320"/>
    </row>
    <row r="14" spans="1:17" ht="18" x14ac:dyDescent="0.3">
      <c r="A14" s="197">
        <f t="shared" si="0"/>
        <v>-2</v>
      </c>
      <c r="B14" s="415">
        <f t="shared" si="1"/>
        <v>3</v>
      </c>
      <c r="C14" s="416">
        <v>10</v>
      </c>
      <c r="D14" s="417"/>
      <c r="E14" s="418">
        <v>-1</v>
      </c>
      <c r="F14" s="419">
        <v>1</v>
      </c>
      <c r="G14" s="420"/>
      <c r="H14" s="421"/>
      <c r="I14" s="422"/>
      <c r="Q14" s="320"/>
    </row>
    <row r="15" spans="1:17" ht="18" x14ac:dyDescent="0.3">
      <c r="A15" s="197">
        <f t="shared" si="0"/>
        <v>1</v>
      </c>
      <c r="B15" s="415">
        <f t="shared" si="1"/>
        <v>2</v>
      </c>
      <c r="C15" s="416">
        <v>11</v>
      </c>
      <c r="D15" s="423"/>
      <c r="E15" s="418">
        <v>2</v>
      </c>
      <c r="F15" s="419">
        <v>1</v>
      </c>
      <c r="G15" s="420"/>
      <c r="H15" s="421"/>
      <c r="I15" s="422"/>
      <c r="Q15" s="320"/>
    </row>
    <row r="16" spans="1:17" ht="18" x14ac:dyDescent="0.3">
      <c r="A16" s="197">
        <f t="shared" si="0"/>
        <v>-2</v>
      </c>
      <c r="B16" s="415">
        <f t="shared" si="1"/>
        <v>3</v>
      </c>
      <c r="C16" s="416">
        <v>12</v>
      </c>
      <c r="D16" s="417"/>
      <c r="E16" s="418">
        <v>-1</v>
      </c>
      <c r="F16" s="419">
        <v>1</v>
      </c>
      <c r="G16" s="420"/>
      <c r="H16" s="421"/>
      <c r="I16" s="422"/>
      <c r="Q16" s="320"/>
    </row>
    <row r="17" spans="1:17" ht="18" customHeight="1" x14ac:dyDescent="0.3">
      <c r="A17" s="197">
        <f t="shared" si="0"/>
        <v>-1</v>
      </c>
      <c r="B17" s="415">
        <f t="shared" si="1"/>
        <v>2</v>
      </c>
      <c r="C17" s="416">
        <v>13</v>
      </c>
      <c r="D17" s="417"/>
      <c r="E17" s="418">
        <v>0</v>
      </c>
      <c r="F17" s="419">
        <v>1</v>
      </c>
      <c r="G17" s="420"/>
      <c r="H17" s="421"/>
      <c r="I17" s="422"/>
      <c r="Q17" s="320"/>
    </row>
    <row r="18" spans="1:17" ht="18" customHeight="1" x14ac:dyDescent="0.3">
      <c r="A18" s="197">
        <f t="shared" si="0"/>
        <v>-3</v>
      </c>
      <c r="B18" s="415">
        <f t="shared" si="1"/>
        <v>3</v>
      </c>
      <c r="C18" s="416">
        <v>14</v>
      </c>
      <c r="D18" s="417"/>
      <c r="E18" s="418">
        <v>-2</v>
      </c>
      <c r="F18" s="419">
        <v>1</v>
      </c>
      <c r="G18" s="420"/>
      <c r="H18" s="421"/>
      <c r="I18" s="422"/>
      <c r="Q18" s="320"/>
    </row>
    <row r="19" spans="1:17" ht="18" customHeight="1" x14ac:dyDescent="0.3">
      <c r="A19" s="197">
        <f t="shared" si="0"/>
        <v>0</v>
      </c>
      <c r="B19" s="415">
        <f t="shared" si="1"/>
        <v>2</v>
      </c>
      <c r="C19" s="416">
        <v>15</v>
      </c>
      <c r="D19" s="417"/>
      <c r="E19" s="418">
        <v>0</v>
      </c>
      <c r="F19" s="419">
        <v>0</v>
      </c>
      <c r="G19" s="420"/>
      <c r="H19" s="421"/>
      <c r="I19" s="422"/>
      <c r="Q19" s="320"/>
    </row>
    <row r="20" spans="1:17" ht="18.75" customHeight="1" x14ac:dyDescent="0.3">
      <c r="A20" s="197">
        <f t="shared" si="0"/>
        <v>0</v>
      </c>
      <c r="B20" s="415">
        <f t="shared" si="1"/>
        <v>2</v>
      </c>
      <c r="C20" s="416">
        <v>16</v>
      </c>
      <c r="D20" s="417"/>
      <c r="E20" s="418">
        <v>0</v>
      </c>
      <c r="F20" s="419">
        <v>0</v>
      </c>
      <c r="G20" s="420"/>
      <c r="H20" s="421"/>
      <c r="I20" s="422"/>
      <c r="Q20" s="320"/>
    </row>
    <row r="21" spans="1:17" ht="18" customHeight="1" x14ac:dyDescent="0.3">
      <c r="A21" s="197">
        <f t="shared" si="0"/>
        <v>0</v>
      </c>
      <c r="B21" s="415">
        <f t="shared" si="1"/>
        <v>2</v>
      </c>
      <c r="C21" s="416">
        <v>17</v>
      </c>
      <c r="D21" s="417"/>
      <c r="E21" s="418">
        <v>0</v>
      </c>
      <c r="F21" s="419">
        <v>0</v>
      </c>
      <c r="G21" s="420"/>
      <c r="H21" s="421"/>
      <c r="I21" s="422"/>
      <c r="Q21" s="320"/>
    </row>
    <row r="22" spans="1:17" ht="18" customHeight="1" x14ac:dyDescent="0.3">
      <c r="A22" s="197">
        <f t="shared" si="0"/>
        <v>0</v>
      </c>
      <c r="B22" s="415">
        <f t="shared" si="1"/>
        <v>2</v>
      </c>
      <c r="C22" s="416">
        <v>18</v>
      </c>
      <c r="D22" s="417"/>
      <c r="E22" s="418">
        <v>0</v>
      </c>
      <c r="F22" s="419">
        <v>0</v>
      </c>
      <c r="G22" s="420"/>
      <c r="H22" s="421"/>
      <c r="I22" s="422"/>
      <c r="Q22" s="320"/>
    </row>
    <row r="23" spans="1:17" ht="18" customHeight="1" x14ac:dyDescent="0.3">
      <c r="A23" s="197">
        <f t="shared" si="0"/>
        <v>0</v>
      </c>
      <c r="B23" s="415">
        <f t="shared" si="1"/>
        <v>2</v>
      </c>
      <c r="C23" s="416">
        <v>19</v>
      </c>
      <c r="D23" s="417"/>
      <c r="E23" s="418">
        <v>0</v>
      </c>
      <c r="F23" s="419">
        <v>0</v>
      </c>
      <c r="G23" s="420"/>
      <c r="H23" s="421"/>
      <c r="I23" s="422"/>
      <c r="Q23" s="320"/>
    </row>
    <row r="24" spans="1:17" ht="19.5" customHeight="1" x14ac:dyDescent="0.3">
      <c r="A24" s="197">
        <f t="shared" si="0"/>
        <v>0</v>
      </c>
      <c r="B24" s="415">
        <f t="shared" si="1"/>
        <v>2</v>
      </c>
      <c r="C24" s="416">
        <v>20</v>
      </c>
      <c r="D24" s="417"/>
      <c r="E24" s="418">
        <v>0</v>
      </c>
      <c r="F24" s="419">
        <v>0</v>
      </c>
      <c r="G24" s="420"/>
      <c r="H24" s="421"/>
      <c r="I24" s="422"/>
      <c r="Q24" s="320"/>
    </row>
    <row r="25" spans="1:17" ht="18" customHeight="1" x14ac:dyDescent="0.3">
      <c r="A25" s="197">
        <f t="shared" si="0"/>
        <v>0</v>
      </c>
      <c r="B25" s="415">
        <f t="shared" si="1"/>
        <v>2</v>
      </c>
      <c r="C25" s="416">
        <v>21</v>
      </c>
      <c r="D25" s="417"/>
      <c r="E25" s="418">
        <v>0</v>
      </c>
      <c r="F25" s="419">
        <v>0</v>
      </c>
      <c r="G25" s="420"/>
      <c r="H25" s="421"/>
      <c r="I25" s="422"/>
      <c r="Q25" s="320"/>
    </row>
    <row r="26" spans="1:17" ht="15.75" customHeight="1" x14ac:dyDescent="0.3">
      <c r="A26" s="197">
        <f t="shared" si="0"/>
        <v>0</v>
      </c>
      <c r="B26" s="415">
        <f t="shared" si="1"/>
        <v>2</v>
      </c>
      <c r="C26" s="416">
        <v>22</v>
      </c>
      <c r="D26" s="417"/>
      <c r="E26" s="418">
        <v>0</v>
      </c>
      <c r="F26" s="419">
        <v>0</v>
      </c>
      <c r="G26" s="420"/>
      <c r="H26" s="421"/>
      <c r="I26" s="422"/>
      <c r="Q26" s="320"/>
    </row>
    <row r="27" spans="1:17" ht="18.75" customHeight="1" x14ac:dyDescent="0.3">
      <c r="A27" s="197">
        <f t="shared" si="0"/>
        <v>0</v>
      </c>
      <c r="B27" s="415">
        <f t="shared" si="1"/>
        <v>2</v>
      </c>
      <c r="C27" s="416">
        <v>23</v>
      </c>
      <c r="D27" s="417"/>
      <c r="E27" s="418">
        <v>0</v>
      </c>
      <c r="F27" s="419">
        <v>0</v>
      </c>
      <c r="G27" s="420"/>
      <c r="H27" s="421"/>
      <c r="I27" s="422"/>
    </row>
    <row r="28" spans="1:17" ht="18" customHeight="1" x14ac:dyDescent="0.3">
      <c r="A28" s="197">
        <f t="shared" si="0"/>
        <v>0</v>
      </c>
      <c r="B28" s="415">
        <f t="shared" si="1"/>
        <v>2</v>
      </c>
      <c r="C28" s="416">
        <v>24</v>
      </c>
      <c r="D28" s="417"/>
      <c r="E28" s="418">
        <v>0</v>
      </c>
      <c r="F28" s="419">
        <v>0</v>
      </c>
      <c r="G28" s="420"/>
      <c r="H28" s="421"/>
      <c r="I28" s="422"/>
    </row>
    <row r="29" spans="1:17" ht="18.75" customHeight="1" x14ac:dyDescent="0.3">
      <c r="A29" s="197">
        <f t="shared" si="0"/>
        <v>0</v>
      </c>
      <c r="B29" s="415">
        <f t="shared" si="1"/>
        <v>2</v>
      </c>
      <c r="C29" s="416">
        <v>25</v>
      </c>
      <c r="D29" s="417"/>
      <c r="E29" s="418">
        <v>0</v>
      </c>
      <c r="F29" s="419">
        <v>0</v>
      </c>
      <c r="G29" s="420"/>
      <c r="H29" s="421"/>
      <c r="I29" s="422"/>
    </row>
    <row r="30" spans="1:17" ht="18" customHeight="1" x14ac:dyDescent="0.3">
      <c r="A30" s="197">
        <f t="shared" si="0"/>
        <v>0</v>
      </c>
      <c r="B30" s="415">
        <f t="shared" si="1"/>
        <v>2</v>
      </c>
      <c r="C30" s="416">
        <v>26</v>
      </c>
      <c r="D30" s="417"/>
      <c r="E30" s="418">
        <v>0</v>
      </c>
      <c r="F30" s="419">
        <v>0</v>
      </c>
      <c r="G30" s="420"/>
      <c r="H30" s="421"/>
      <c r="I30" s="422"/>
    </row>
    <row r="31" spans="1:17" ht="18.75" customHeight="1" x14ac:dyDescent="0.3">
      <c r="A31" s="197">
        <f t="shared" si="0"/>
        <v>0</v>
      </c>
      <c r="B31" s="415">
        <f t="shared" si="1"/>
        <v>2</v>
      </c>
      <c r="C31" s="416">
        <v>27</v>
      </c>
      <c r="D31" s="417"/>
      <c r="E31" s="418">
        <v>0</v>
      </c>
      <c r="F31" s="419">
        <v>0</v>
      </c>
      <c r="G31" s="420"/>
      <c r="H31" s="421"/>
      <c r="I31" s="422"/>
      <c r="J31" s="424"/>
      <c r="K31" s="424"/>
    </row>
    <row r="32" spans="1:17" ht="18" customHeight="1" x14ac:dyDescent="0.3">
      <c r="A32" s="197">
        <f t="shared" si="0"/>
        <v>0</v>
      </c>
      <c r="B32" s="415">
        <f t="shared" si="1"/>
        <v>2</v>
      </c>
      <c r="C32" s="416">
        <v>28</v>
      </c>
      <c r="D32" s="417"/>
      <c r="E32" s="418">
        <v>0</v>
      </c>
      <c r="F32" s="419">
        <v>0</v>
      </c>
      <c r="G32" s="420"/>
      <c r="H32" s="421"/>
      <c r="I32" s="422"/>
      <c r="J32" s="205"/>
      <c r="K32" s="425"/>
    </row>
    <row r="33" spans="1:11" ht="20.25" customHeight="1" x14ac:dyDescent="0.3">
      <c r="A33" s="197">
        <f t="shared" si="0"/>
        <v>0</v>
      </c>
      <c r="B33" s="415">
        <f t="shared" si="1"/>
        <v>2</v>
      </c>
      <c r="C33" s="416">
        <v>29</v>
      </c>
      <c r="D33" s="417"/>
      <c r="E33" s="418">
        <v>0</v>
      </c>
      <c r="F33" s="419">
        <v>0</v>
      </c>
      <c r="G33" s="420"/>
      <c r="H33" s="421"/>
      <c r="I33" s="422"/>
      <c r="J33" s="205"/>
      <c r="K33" s="425"/>
    </row>
    <row r="34" spans="1:11" ht="18" customHeight="1" x14ac:dyDescent="0.3">
      <c r="A34" s="197">
        <f t="shared" si="0"/>
        <v>0</v>
      </c>
      <c r="B34" s="426">
        <f t="shared" si="1"/>
        <v>2</v>
      </c>
      <c r="C34" s="427">
        <v>30</v>
      </c>
      <c r="D34" s="428"/>
      <c r="E34" s="429">
        <v>0</v>
      </c>
      <c r="F34" s="430">
        <v>0</v>
      </c>
      <c r="G34" s="431"/>
      <c r="H34" s="432"/>
      <c r="I34" s="433"/>
      <c r="J34" s="205"/>
      <c r="K34" s="425"/>
    </row>
    <row r="35" spans="1:11" ht="18" x14ac:dyDescent="0.25">
      <c r="B35" s="335" t="s">
        <v>1776</v>
      </c>
      <c r="C35"/>
      <c r="D35" s="205"/>
      <c r="E35" s="434"/>
      <c r="F35" s="434"/>
      <c r="G35" s="204"/>
      <c r="H35" s="205"/>
      <c r="I35" s="206"/>
      <c r="J35" s="205"/>
      <c r="K35" s="425"/>
    </row>
    <row r="36" spans="1:11" ht="19.5" customHeight="1" x14ac:dyDescent="0.25">
      <c r="C36" s="435"/>
      <c r="D36" s="205"/>
      <c r="E36" s="434"/>
      <c r="F36" s="434"/>
      <c r="G36" s="204"/>
      <c r="H36" s="205"/>
      <c r="I36" s="206"/>
      <c r="J36" s="205"/>
      <c r="K36" s="425"/>
    </row>
    <row r="37" spans="1:11" ht="18" x14ac:dyDescent="0.25">
      <c r="C37" s="435"/>
      <c r="D37" s="205"/>
      <c r="E37" s="434"/>
      <c r="F37" s="434"/>
      <c r="G37" s="204"/>
      <c r="H37" s="205"/>
      <c r="I37" s="206"/>
      <c r="J37" s="205"/>
      <c r="K37" s="425"/>
    </row>
    <row r="38" spans="1:11" ht="18" x14ac:dyDescent="0.25">
      <c r="C38" s="435"/>
      <c r="D38" s="205"/>
      <c r="E38" s="434"/>
      <c r="F38" s="434"/>
      <c r="G38" s="204"/>
      <c r="H38" s="205"/>
      <c r="I38" s="206"/>
      <c r="J38" s="205"/>
      <c r="K38" s="425"/>
    </row>
    <row r="39" spans="1:11" ht="18" x14ac:dyDescent="0.25">
      <c r="C39" s="435"/>
      <c r="D39" s="205"/>
      <c r="E39" s="434"/>
      <c r="F39" s="434"/>
      <c r="G39" s="204"/>
      <c r="H39" s="205"/>
      <c r="I39" s="206"/>
      <c r="J39" s="205"/>
      <c r="K39" s="425"/>
    </row>
    <row r="40" spans="1:11" ht="18" x14ac:dyDescent="0.25">
      <c r="C40" s="435"/>
      <c r="D40" s="205"/>
      <c r="E40" s="434"/>
      <c r="F40" s="434"/>
      <c r="G40" s="204"/>
      <c r="H40" s="205"/>
      <c r="I40" s="206"/>
      <c r="J40" s="205"/>
      <c r="K40" s="425"/>
    </row>
    <row r="41" spans="1:11" ht="18" x14ac:dyDescent="0.25">
      <c r="C41" s="435"/>
      <c r="D41" s="205"/>
      <c r="E41" s="434"/>
      <c r="F41" s="434"/>
      <c r="G41" s="204"/>
      <c r="H41" s="205"/>
      <c r="I41" s="206"/>
      <c r="J41" s="205"/>
      <c r="K41" s="425"/>
    </row>
    <row r="42" spans="1:11" ht="18" x14ac:dyDescent="0.25">
      <c r="C42" s="435"/>
      <c r="D42" s="205"/>
      <c r="E42" s="434"/>
      <c r="F42" s="434"/>
      <c r="G42" s="204"/>
      <c r="H42" s="205"/>
      <c r="I42" s="206"/>
      <c r="J42" s="205"/>
      <c r="K42" s="425"/>
    </row>
    <row r="43" spans="1:11" ht="18" x14ac:dyDescent="0.25">
      <c r="C43" s="435"/>
      <c r="D43" s="205"/>
      <c r="E43" s="434"/>
      <c r="F43" s="434"/>
      <c r="G43" s="204"/>
      <c r="H43" s="205"/>
      <c r="I43" s="206"/>
      <c r="J43" s="205"/>
      <c r="K43" s="425"/>
    </row>
    <row r="44" spans="1:11" ht="18" x14ac:dyDescent="0.25">
      <c r="C44" s="435"/>
      <c r="D44" s="205"/>
      <c r="E44" s="434"/>
      <c r="F44" s="434"/>
      <c r="G44" s="204"/>
      <c r="H44" s="205"/>
      <c r="I44" s="206"/>
      <c r="J44" s="205"/>
      <c r="K44" s="425"/>
    </row>
    <row r="45" spans="1:11" ht="18" x14ac:dyDescent="0.25">
      <c r="C45" s="435"/>
      <c r="D45" s="205"/>
      <c r="E45" s="436"/>
      <c r="F45" s="436"/>
      <c r="G45" s="204"/>
      <c r="H45" s="205"/>
      <c r="I45" s="206"/>
      <c r="J45" s="205"/>
      <c r="K45" s="425"/>
    </row>
    <row r="46" spans="1:11" ht="402.75" customHeight="1" x14ac:dyDescent="0.25">
      <c r="C46" s="435"/>
      <c r="D46" s="205"/>
      <c r="E46" s="434"/>
      <c r="F46" s="434"/>
      <c r="G46" s="204"/>
      <c r="H46" s="205"/>
      <c r="I46" s="206"/>
      <c r="J46" s="205"/>
      <c r="K46" s="425"/>
    </row>
    <row r="47" spans="1:11" ht="18" x14ac:dyDescent="0.25">
      <c r="C47" s="435"/>
      <c r="D47" s="205"/>
      <c r="E47" s="434"/>
      <c r="F47" s="434"/>
      <c r="G47" s="204"/>
      <c r="H47" s="205"/>
      <c r="I47" s="206"/>
      <c r="J47" s="205"/>
      <c r="K47" s="425"/>
    </row>
    <row r="48" spans="1:11" ht="18" x14ac:dyDescent="0.25">
      <c r="C48" s="435"/>
      <c r="E48" s="434"/>
      <c r="F48" s="434"/>
      <c r="G48" s="204"/>
      <c r="H48" s="205"/>
      <c r="I48" s="206"/>
      <c r="J48" s="205"/>
      <c r="K48" s="425"/>
    </row>
    <row r="49" spans="3:11" ht="18" x14ac:dyDescent="0.25">
      <c r="C49" s="435"/>
      <c r="D49" s="205"/>
      <c r="E49" s="434"/>
      <c r="F49" s="434"/>
      <c r="G49" s="204"/>
      <c r="H49" s="205"/>
      <c r="I49" s="206"/>
      <c r="J49" s="205"/>
      <c r="K49" s="425"/>
    </row>
    <row r="50" spans="3:11" ht="18" x14ac:dyDescent="0.25">
      <c r="C50" s="435"/>
      <c r="D50" s="205"/>
      <c r="E50" s="434"/>
      <c r="F50" s="434"/>
      <c r="G50" s="204"/>
      <c r="H50" s="205"/>
      <c r="I50" s="206"/>
      <c r="J50" s="205"/>
      <c r="K50" s="425"/>
    </row>
    <row r="51" spans="3:11" ht="18" x14ac:dyDescent="0.25">
      <c r="C51" s="435"/>
      <c r="D51" s="205"/>
      <c r="E51" s="434"/>
      <c r="F51" s="434"/>
      <c r="G51" s="204"/>
      <c r="H51" s="205"/>
      <c r="I51" s="206"/>
      <c r="J51" s="205"/>
      <c r="K51" s="425"/>
    </row>
    <row r="52" spans="3:11" ht="18" x14ac:dyDescent="0.25">
      <c r="C52" s="435"/>
      <c r="D52" s="205"/>
      <c r="E52" s="434"/>
      <c r="F52" s="434"/>
      <c r="G52" s="204"/>
      <c r="H52" s="205"/>
      <c r="I52" s="206"/>
      <c r="J52" s="205"/>
      <c r="K52" s="425"/>
    </row>
    <row r="62" spans="3:11" ht="15" x14ac:dyDescent="0.25">
      <c r="H62" s="207"/>
      <c r="I62" s="207"/>
    </row>
    <row r="68" spans="5:6" x14ac:dyDescent="0.25">
      <c r="E68" s="437"/>
      <c r="F68" s="437"/>
    </row>
    <row r="69" spans="5:6" x14ac:dyDescent="0.25">
      <c r="E69" s="320"/>
      <c r="F69" s="320"/>
    </row>
    <row r="70" spans="5:6" x14ac:dyDescent="0.25">
      <c r="E70" s="320"/>
      <c r="F70" s="320"/>
    </row>
    <row r="71" spans="5:6" x14ac:dyDescent="0.25">
      <c r="E71" s="320"/>
      <c r="F71" s="320"/>
    </row>
    <row r="72" spans="5:6" x14ac:dyDescent="0.25">
      <c r="E72" s="320"/>
      <c r="F72" s="320"/>
    </row>
    <row r="73" spans="5:6" x14ac:dyDescent="0.25">
      <c r="E73" s="320"/>
      <c r="F73" s="320"/>
    </row>
    <row r="74" spans="5:6" x14ac:dyDescent="0.25">
      <c r="E74" s="320"/>
      <c r="F74" s="320"/>
    </row>
    <row r="75" spans="5:6" x14ac:dyDescent="0.25">
      <c r="E75" s="320"/>
      <c r="F75" s="320"/>
    </row>
    <row r="76" spans="5:6" x14ac:dyDescent="0.25">
      <c r="E76" s="320"/>
      <c r="F76" s="320"/>
    </row>
    <row r="77" spans="5:6" x14ac:dyDescent="0.25">
      <c r="E77" s="320"/>
      <c r="F77" s="320"/>
    </row>
    <row r="78" spans="5:6" x14ac:dyDescent="0.25">
      <c r="E78" s="320"/>
      <c r="F78" s="320"/>
    </row>
    <row r="79" spans="5:6" x14ac:dyDescent="0.25">
      <c r="E79" s="320"/>
      <c r="F79" s="320"/>
    </row>
    <row r="80" spans="5:6" x14ac:dyDescent="0.25">
      <c r="E80" s="320"/>
      <c r="F80" s="320"/>
    </row>
    <row r="81" spans="5:6" x14ac:dyDescent="0.25">
      <c r="E81" s="320"/>
      <c r="F81" s="320"/>
    </row>
    <row r="82" spans="5:6" x14ac:dyDescent="0.25">
      <c r="E82" s="320"/>
      <c r="F82" s="320"/>
    </row>
    <row r="83" spans="5:6" x14ac:dyDescent="0.25">
      <c r="E83" s="320"/>
      <c r="F83" s="320"/>
    </row>
    <row r="84" spans="5:6" x14ac:dyDescent="0.25">
      <c r="E84" s="320"/>
      <c r="F84" s="320"/>
    </row>
    <row r="85" spans="5:6" x14ac:dyDescent="0.25">
      <c r="E85" s="320"/>
      <c r="F85" s="320"/>
    </row>
    <row r="86" spans="5:6" x14ac:dyDescent="0.25">
      <c r="E86" s="320"/>
      <c r="F86" s="320"/>
    </row>
    <row r="87" spans="5:6" x14ac:dyDescent="0.25">
      <c r="E87" s="320"/>
      <c r="F87" s="320"/>
    </row>
  </sheetData>
  <sheetProtection sheet="1" objects="1" scenarios="1" formatCells="0" formatColumns="0" formatRows="0" insertHyperlinks="0" selectLockedCells="1" sort="0" autoFilter="0"/>
  <mergeCells count="1">
    <mergeCell ref="B3:B4"/>
  </mergeCells>
  <conditionalFormatting sqref="B5:B34">
    <cfRule type="iconSet" priority="1">
      <iconSet iconSet="3Signs" showValue="0" reverse="1">
        <cfvo type="percent" val="0"/>
        <cfvo type="num" val="2"/>
        <cfvo type="num" val="3"/>
      </iconSet>
    </cfRule>
    <cfRule type="expression" dxfId="124" priority="2">
      <formula>MOD(ROW(A9),2)=1</formula>
    </cfRule>
    <cfRule type="expression" dxfId="123" priority="3">
      <formula>MOD(ROW(A9),2)=0</formula>
    </cfRule>
  </conditionalFormatting>
  <conditionalFormatting sqref="C5:C22 C23:E23 C24:I34">
    <cfRule type="expression" dxfId="122" priority="12">
      <formula>MOD(ROW(B9),2)=1</formula>
    </cfRule>
    <cfRule type="expression" dxfId="121" priority="13">
      <formula>MOD(ROW(B9),2)=0</formula>
    </cfRule>
  </conditionalFormatting>
  <conditionalFormatting sqref="D20:E22 F20:I23">
    <cfRule type="expression" dxfId="120" priority="10">
      <formula>MOD(ROW(C24),2)=1</formula>
    </cfRule>
    <cfRule type="expression" dxfId="119" priority="11">
      <formula>MOD(ROW(C24),2)=0</formula>
    </cfRule>
  </conditionalFormatting>
  <conditionalFormatting sqref="D5:I19">
    <cfRule type="expression" dxfId="118" priority="4">
      <formula>MOD(ROW(C9),2)=1</formula>
    </cfRule>
    <cfRule type="expression" dxfId="117" priority="5">
      <formula>MOD(ROW(C9),2)=0</formula>
    </cfRule>
  </conditionalFormatting>
  <conditionalFormatting sqref="G35:G52">
    <cfRule type="iconSet" priority="16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I35:I52">
    <cfRule type="iconSet" priority="15">
      <iconSet iconSet="3Signs" showValue="0" reverse="1">
        <cfvo type="percent" val="0"/>
        <cfvo type="num" val="2"/>
        <cfvo type="num" val="3"/>
      </iconSet>
    </cfRule>
  </conditionalFormatting>
  <conditionalFormatting sqref="K32 K34 K36 K44 K46:K52">
    <cfRule type="cellIs" dxfId="116" priority="18" operator="equal">
      <formula>3</formula>
    </cfRule>
    <cfRule type="cellIs" dxfId="115" priority="19" operator="equal">
      <formula>2</formula>
    </cfRule>
    <cfRule type="cellIs" dxfId="114" priority="20" operator="equal">
      <formula>1</formula>
    </cfRule>
  </conditionalFormatting>
  <conditionalFormatting sqref="K32:K52">
    <cfRule type="iconSet" priority="22">
      <iconSet iconSet="3Symbols2" showValue="0" reverse="1">
        <cfvo type="percent" val="0"/>
        <cfvo type="num" val="2"/>
        <cfvo type="num" val="3"/>
      </iconSet>
    </cfRule>
    <cfRule type="cellIs" dxfId="113" priority="23" operator="equal">
      <formula>3</formula>
    </cfRule>
    <cfRule type="cellIs" dxfId="112" priority="24" operator="equal">
      <formula>2</formula>
    </cfRule>
    <cfRule type="cellIs" dxfId="111" priority="25" operator="equal">
      <formula>1</formula>
    </cfRule>
  </conditionalFormatting>
  <dataValidations disablePrompts="1" count="4">
    <dataValidation type="list" allowBlank="1" showInputMessage="1" showErrorMessage="1" sqref="G35:G52" xr:uid="{00000000-0002-0000-0B00-000000000000}">
      <formula1>"1,2,3,4,5"</formula1>
    </dataValidation>
    <dataValidation type="list" allowBlank="1" showInputMessage="1" showErrorMessage="1" sqref="E35:F52" xr:uid="{00000000-0002-0000-0B00-000001000000}">
      <formula1>"1,2,3,4,5,6,7,8,9,10,11"</formula1>
    </dataValidation>
    <dataValidation type="list" allowBlank="1" showInputMessage="1" showErrorMessage="1" sqref="K32:K52 I35:I52" xr:uid="{00000000-0002-0000-0B00-000002000000}">
      <formula1>"1,2,3"</formula1>
    </dataValidation>
    <dataValidation type="list" allowBlank="1" showInputMessage="1" showErrorMessage="1" sqref="E5:F34" xr:uid="{00000000-0002-0000-0B00-000003000000}">
      <formula1>"3,2,1,0,-1,-2,-3"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9" scale="72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" id="{6F894DEF-4871-49AC-B126-ABB2F987D7B1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E35:F52</xm:sqref>
        </x14:conditionalFormatting>
        <x14:conditionalFormatting xmlns:xm="http://schemas.microsoft.com/office/excel/2006/main">
          <x14:cfRule type="iconSet" priority="21" id="{C277F884-0D87-4C30-B26D-5AA981E6EB0C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K32 K34 K36 K44 K46:K52</xm:sqref>
        </x14:conditionalFormatting>
        <x14:conditionalFormatting xmlns:xm="http://schemas.microsoft.com/office/excel/2006/main">
          <x14:cfRule type="iconSet" priority="17" id="{9B9AA2D5-252A-4E95-BADA-85FABD14744A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K33 K35 K37:K43 K45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Tabelle17">
    <tabColor theme="5" tint="0.59999389629810485"/>
  </sheetPr>
  <dimension ref="A1:S183"/>
  <sheetViews>
    <sheetView showGridLines="0" zoomScaleNormal="100" workbookViewId="0">
      <pane ySplit="1" topLeftCell="A2" activePane="bottomLeft" state="frozen"/>
      <selection activeCell="K1" sqref="K1"/>
      <selection pane="bottomLeft" activeCell="A2" sqref="A2"/>
    </sheetView>
  </sheetViews>
  <sheetFormatPr baseColWidth="10" defaultColWidth="11.44140625" defaultRowHeight="14.4" x14ac:dyDescent="0.3"/>
  <cols>
    <col min="1" max="1" width="7" style="8" customWidth="1"/>
    <col min="2" max="2" width="3.88671875" style="8" customWidth="1"/>
    <col min="3" max="3" width="31.44140625" style="8" customWidth="1"/>
    <col min="4" max="4" width="39.33203125" style="8" customWidth="1"/>
    <col min="5" max="5" width="12.5546875" style="8" customWidth="1"/>
    <col min="6" max="6" width="7.33203125" style="8" bestFit="1" customWidth="1"/>
    <col min="7" max="7" width="40.6640625" style="8" bestFit="1" customWidth="1"/>
    <col min="8" max="8" width="6.44140625" style="8" bestFit="1" customWidth="1"/>
    <col min="9" max="9" width="4.5546875" style="8" hidden="1" customWidth="1"/>
    <col min="10" max="10" width="3" style="8" customWidth="1"/>
    <col min="11" max="18" width="3.44140625" style="8" customWidth="1"/>
    <col min="19" max="19" width="11.44140625" style="8" customWidth="1"/>
    <col min="20" max="16384" width="11.44140625" style="8"/>
  </cols>
  <sheetData>
    <row r="1" spans="1:19" s="5" customFormat="1" ht="44.4" customHeight="1" x14ac:dyDescent="0.3">
      <c r="A1" s="10"/>
      <c r="B1" s="3" t="str">
        <f ca="1">' '!A51</f>
        <v>T E N D A N C E S   D E   D É V E L O P P E M E N T</v>
      </c>
      <c r="C1" s="3"/>
      <c r="D1" s="3"/>
      <c r="E1" s="3"/>
      <c r="F1" s="3"/>
      <c r="G1" s="882"/>
      <c r="H1" s="260"/>
      <c r="I1" s="3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s="5" customFormat="1" ht="0.9" customHeight="1" x14ac:dyDescent="0.3">
      <c r="A2" s="24"/>
      <c r="B2" s="25"/>
      <c r="C2" s="26"/>
      <c r="D2" s="26"/>
      <c r="E2" s="26"/>
      <c r="F2" s="26"/>
      <c r="G2" s="27"/>
      <c r="H2" s="28"/>
      <c r="I2" s="2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14.25" customHeight="1" x14ac:dyDescent="0.3">
      <c r="A3" s="7"/>
      <c r="B3" s="23"/>
    </row>
    <row r="4" spans="1:19" x14ac:dyDescent="0.3">
      <c r="A4" s="15"/>
      <c r="B4" s="29"/>
    </row>
    <row r="5" spans="1:19" x14ac:dyDescent="0.3">
      <c r="B5" s="30"/>
      <c r="C5" s="31" t="str">
        <f ca="1">' '!A52</f>
        <v>Tendances politiques</v>
      </c>
      <c r="D5" s="32">
        <f>IF(E27&lt;&gt;0,E27,0.1)</f>
        <v>3</v>
      </c>
    </row>
    <row r="6" spans="1:19" x14ac:dyDescent="0.3">
      <c r="B6" s="30"/>
      <c r="C6" s="31" t="str">
        <f ca="1">' '!A60</f>
        <v>Tendances économiques</v>
      </c>
      <c r="D6" s="32">
        <f>IF(E41&lt;&gt;0,E41,0.1)</f>
        <v>0.1</v>
      </c>
    </row>
    <row r="7" spans="1:19" x14ac:dyDescent="0.3">
      <c r="B7" s="30"/>
      <c r="C7" s="31" t="str">
        <f ca="1">' '!A61</f>
        <v>Tendances sociologiques</v>
      </c>
      <c r="D7" s="32">
        <f>IF(E55&lt;&gt;0,E55,0.1)</f>
        <v>1</v>
      </c>
    </row>
    <row r="8" spans="1:19" x14ac:dyDescent="0.3">
      <c r="B8" s="30"/>
      <c r="C8" s="31" t="str">
        <f ca="1">' '!A62</f>
        <v>Tendances technologiques</v>
      </c>
      <c r="D8" s="33">
        <f>IF(E69&lt;&gt;0,E69,0.1)</f>
        <v>3</v>
      </c>
    </row>
    <row r="9" spans="1:19" x14ac:dyDescent="0.3">
      <c r="B9" s="30"/>
      <c r="C9" s="31" t="str">
        <f ca="1">' '!A63</f>
        <v>Tendances écologiques</v>
      </c>
      <c r="D9" s="32">
        <f>IF(E83&lt;&gt;0,E83,0.1)</f>
        <v>0.1</v>
      </c>
    </row>
    <row r="10" spans="1:19" x14ac:dyDescent="0.3">
      <c r="B10" s="30"/>
      <c r="C10" s="31" t="str">
        <f ca="1">' '!A64</f>
        <v>Tendances légales</v>
      </c>
      <c r="D10" s="32">
        <f>E97</f>
        <v>0</v>
      </c>
    </row>
    <row r="11" spans="1:19" x14ac:dyDescent="0.3">
      <c r="B11" s="30"/>
    </row>
    <row r="12" spans="1:19" x14ac:dyDescent="0.3">
      <c r="B12" s="30"/>
    </row>
    <row r="13" spans="1:19" x14ac:dyDescent="0.3">
      <c r="B13" s="30"/>
    </row>
    <row r="14" spans="1:19" ht="288.75" customHeight="1" x14ac:dyDescent="0.3"/>
    <row r="15" spans="1:19" ht="21" x14ac:dyDescent="0.4">
      <c r="B15" s="438"/>
      <c r="C15" s="439" t="str">
        <f ca="1">' '!A52</f>
        <v>Tendances politiques</v>
      </c>
      <c r="D15" s="440"/>
      <c r="E15" s="440"/>
      <c r="F15" s="440"/>
      <c r="G15" s="440"/>
      <c r="H15" s="440"/>
    </row>
    <row r="16" spans="1:19" s="1" customFormat="1" ht="30" customHeight="1" x14ac:dyDescent="0.3">
      <c r="A16" s="8"/>
      <c r="B16" s="441" t="str">
        <f ca="1">' '!A53</f>
        <v>No.</v>
      </c>
      <c r="C16" s="441" t="str">
        <f ca="1">' '!A54</f>
        <v>Facteurs d'influence</v>
      </c>
      <c r="D16" s="441" t="str">
        <f ca="1">' '!A55</f>
        <v>Impact sur l'innovation</v>
      </c>
      <c r="E16" s="441" t="str">
        <f ca="1">' '!A56</f>
        <v>Intensité de l'impact</v>
      </c>
      <c r="F16" s="442" t="str">
        <f ca="1">' '!A57</f>
        <v>Ten-
dance</v>
      </c>
      <c r="G16" s="441" t="str">
        <f ca="1">' '!A58</f>
        <v>Mesures / innovations possibles</v>
      </c>
      <c r="H16" s="442" t="str">
        <f ca="1">' '!A59</f>
        <v>Statut</v>
      </c>
      <c r="I16" s="8">
        <f ca="1">COUNTIF(H16:H26,1)</f>
        <v>1</v>
      </c>
    </row>
    <row r="17" spans="2:12" ht="23.4" x14ac:dyDescent="0.3">
      <c r="B17" s="443">
        <v>1</v>
      </c>
      <c r="C17" s="444"/>
      <c r="D17" s="444"/>
      <c r="E17" s="445">
        <v>4</v>
      </c>
      <c r="F17" s="446">
        <v>2</v>
      </c>
      <c r="G17" s="444"/>
      <c r="H17" s="447">
        <v>1</v>
      </c>
      <c r="I17" s="8">
        <f>COUNTIF(H17:H26,2)</f>
        <v>0</v>
      </c>
    </row>
    <row r="18" spans="2:12" ht="23.4" x14ac:dyDescent="0.3">
      <c r="B18" s="448">
        <f t="shared" ref="B18:B26" si="0">$B17+1</f>
        <v>2</v>
      </c>
      <c r="C18" s="449"/>
      <c r="D18" s="449"/>
      <c r="E18" s="450">
        <v>3</v>
      </c>
      <c r="F18" s="451"/>
      <c r="G18" s="449"/>
      <c r="H18" s="452"/>
      <c r="I18" s="8">
        <f>COUNTIF(H18:H27,3)</f>
        <v>0</v>
      </c>
    </row>
    <row r="19" spans="2:12" ht="23.4" x14ac:dyDescent="0.3">
      <c r="B19" s="453">
        <f t="shared" si="0"/>
        <v>3</v>
      </c>
      <c r="C19" s="444"/>
      <c r="D19" s="444"/>
      <c r="E19" s="445">
        <v>3</v>
      </c>
      <c r="F19" s="446"/>
      <c r="G19" s="444"/>
      <c r="H19" s="447"/>
    </row>
    <row r="20" spans="2:12" ht="23.4" x14ac:dyDescent="0.3">
      <c r="B20" s="448">
        <f t="shared" si="0"/>
        <v>4</v>
      </c>
      <c r="C20" s="449"/>
      <c r="D20" s="449"/>
      <c r="E20" s="450"/>
      <c r="F20" s="451"/>
      <c r="G20" s="449"/>
      <c r="H20" s="452"/>
    </row>
    <row r="21" spans="2:12" ht="23.4" x14ac:dyDescent="0.3">
      <c r="B21" s="453">
        <f t="shared" si="0"/>
        <v>5</v>
      </c>
      <c r="C21" s="444"/>
      <c r="D21" s="444"/>
      <c r="E21" s="445"/>
      <c r="F21" s="446"/>
      <c r="G21" s="444"/>
      <c r="H21" s="447"/>
    </row>
    <row r="22" spans="2:12" ht="23.4" x14ac:dyDescent="0.3">
      <c r="B22" s="448">
        <f t="shared" si="0"/>
        <v>6</v>
      </c>
      <c r="C22" s="449"/>
      <c r="D22" s="449"/>
      <c r="E22" s="450"/>
      <c r="F22" s="451"/>
      <c r="G22" s="449"/>
      <c r="H22" s="452"/>
    </row>
    <row r="23" spans="2:12" ht="23.4" x14ac:dyDescent="0.3">
      <c r="B23" s="453">
        <f t="shared" si="0"/>
        <v>7</v>
      </c>
      <c r="C23" s="444"/>
      <c r="D23" s="444"/>
      <c r="E23" s="445"/>
      <c r="F23" s="446"/>
      <c r="G23" s="444"/>
      <c r="H23" s="447"/>
    </row>
    <row r="24" spans="2:12" ht="23.4" x14ac:dyDescent="0.3">
      <c r="B24" s="448">
        <f t="shared" si="0"/>
        <v>8</v>
      </c>
      <c r="C24" s="449"/>
      <c r="D24" s="449"/>
      <c r="E24" s="450"/>
      <c r="F24" s="451"/>
      <c r="G24" s="449"/>
      <c r="H24" s="452"/>
    </row>
    <row r="25" spans="2:12" ht="23.4" x14ac:dyDescent="0.3">
      <c r="B25" s="453">
        <f t="shared" si="0"/>
        <v>9</v>
      </c>
      <c r="C25" s="444"/>
      <c r="D25" s="444"/>
      <c r="E25" s="445"/>
      <c r="F25" s="446"/>
      <c r="G25" s="444"/>
      <c r="H25" s="447"/>
    </row>
    <row r="26" spans="2:12" ht="23.4" x14ac:dyDescent="0.3">
      <c r="B26" s="448">
        <f t="shared" si="0"/>
        <v>10</v>
      </c>
      <c r="C26" s="449"/>
      <c r="D26" s="449"/>
      <c r="E26" s="450"/>
      <c r="F26" s="451"/>
      <c r="G26" s="449"/>
      <c r="H26" s="452"/>
    </row>
    <row r="27" spans="2:12" x14ac:dyDescent="0.3">
      <c r="B27" s="454"/>
      <c r="C27" s="455"/>
      <c r="D27" s="456" t="str">
        <f ca="1">' '!A522</f>
        <v>Nbr. &gt;= 3</v>
      </c>
      <c r="E27" s="457">
        <f>COUNTIFS(E17:E26,"&lt;=4",E17:E26,"&gt;=3")</f>
        <v>3</v>
      </c>
      <c r="F27" s="455"/>
      <c r="G27" s="458"/>
      <c r="H27" s="455"/>
      <c r="I27" s="1"/>
    </row>
    <row r="28" spans="2:12" x14ac:dyDescent="0.3">
      <c r="B28" s="1"/>
      <c r="C28" s="1"/>
      <c r="D28" s="1"/>
      <c r="E28" s="1"/>
      <c r="F28" s="1"/>
      <c r="G28" s="1"/>
      <c r="H28" s="1"/>
    </row>
    <row r="29" spans="2:12" ht="21" x14ac:dyDescent="0.3">
      <c r="B29" s="459"/>
      <c r="C29" s="460" t="str">
        <f ca="1">' '!A60</f>
        <v>Tendances économiques</v>
      </c>
      <c r="D29" s="461"/>
      <c r="E29" s="461"/>
      <c r="F29" s="461"/>
      <c r="G29" s="461"/>
      <c r="H29" s="461"/>
    </row>
    <row r="30" spans="2:12" ht="27.6" x14ac:dyDescent="0.3">
      <c r="B30" s="462" t="str">
        <f ca="1">B16</f>
        <v>No.</v>
      </c>
      <c r="C30" s="463" t="str">
        <f ca="1">C16</f>
        <v>Facteurs d'influence</v>
      </c>
      <c r="D30" s="463" t="str">
        <f ca="1">D16</f>
        <v>Impact sur l'innovation</v>
      </c>
      <c r="E30" s="464" t="str">
        <f t="shared" ref="E30:H30" ca="1" si="1">E16</f>
        <v>Intensité de l'impact</v>
      </c>
      <c r="F30" s="464" t="str">
        <f t="shared" ca="1" si="1"/>
        <v>Ten-
dance</v>
      </c>
      <c r="G30" s="463" t="str">
        <f t="shared" ca="1" si="1"/>
        <v>Mesures / innovations possibles</v>
      </c>
      <c r="H30" s="465" t="str">
        <f t="shared" ca="1" si="1"/>
        <v>Statut</v>
      </c>
      <c r="I30" s="8">
        <f ca="1">COUNTIF(H30:H40,1)</f>
        <v>0</v>
      </c>
    </row>
    <row r="31" spans="2:12" ht="23.4" x14ac:dyDescent="0.3">
      <c r="B31" s="466">
        <v>1</v>
      </c>
      <c r="C31" s="467"/>
      <c r="D31" s="467"/>
      <c r="E31" s="468">
        <v>2</v>
      </c>
      <c r="F31" s="469">
        <v>1</v>
      </c>
      <c r="G31" s="467"/>
      <c r="H31" s="470">
        <v>3</v>
      </c>
      <c r="I31" s="8">
        <f ca="1">COUNTIF(H30:H40,2)</f>
        <v>1</v>
      </c>
    </row>
    <row r="32" spans="2:12" ht="23.4" x14ac:dyDescent="0.3">
      <c r="B32" s="471">
        <f t="shared" ref="B32:B40" si="2">$B31+1</f>
        <v>2</v>
      </c>
      <c r="C32" s="472"/>
      <c r="D32" s="472"/>
      <c r="E32" s="473"/>
      <c r="F32" s="474"/>
      <c r="G32" s="472"/>
      <c r="H32" s="475">
        <v>2</v>
      </c>
      <c r="I32" s="8">
        <f ca="1">COUNTIF(H30:H41,3)</f>
        <v>1</v>
      </c>
      <c r="K32" s="9"/>
      <c r="L32" s="35"/>
    </row>
    <row r="33" spans="2:9" ht="23.4" x14ac:dyDescent="0.3">
      <c r="B33" s="466">
        <f t="shared" si="2"/>
        <v>3</v>
      </c>
      <c r="C33" s="467"/>
      <c r="D33" s="467"/>
      <c r="E33" s="468"/>
      <c r="F33" s="469"/>
      <c r="G33" s="467"/>
      <c r="H33" s="470"/>
    </row>
    <row r="34" spans="2:9" ht="23.4" x14ac:dyDescent="0.3">
      <c r="B34" s="471">
        <f t="shared" si="2"/>
        <v>4</v>
      </c>
      <c r="C34" s="472"/>
      <c r="D34" s="472"/>
      <c r="E34" s="473"/>
      <c r="F34" s="474"/>
      <c r="G34" s="472"/>
      <c r="H34" s="475"/>
    </row>
    <row r="35" spans="2:9" ht="23.4" x14ac:dyDescent="0.3">
      <c r="B35" s="466">
        <f t="shared" si="2"/>
        <v>5</v>
      </c>
      <c r="C35" s="467"/>
      <c r="D35" s="467"/>
      <c r="E35" s="468"/>
      <c r="F35" s="469"/>
      <c r="G35" s="467"/>
      <c r="H35" s="470"/>
    </row>
    <row r="36" spans="2:9" ht="23.4" x14ac:dyDescent="0.3">
      <c r="B36" s="471">
        <f t="shared" si="2"/>
        <v>6</v>
      </c>
      <c r="C36" s="472"/>
      <c r="D36" s="472"/>
      <c r="E36" s="473"/>
      <c r="F36" s="474"/>
      <c r="G36" s="472"/>
      <c r="H36" s="475"/>
    </row>
    <row r="37" spans="2:9" ht="23.4" x14ac:dyDescent="0.3">
      <c r="B37" s="466">
        <f t="shared" si="2"/>
        <v>7</v>
      </c>
      <c r="C37" s="467"/>
      <c r="D37" s="467"/>
      <c r="E37" s="468"/>
      <c r="F37" s="469"/>
      <c r="G37" s="467"/>
      <c r="H37" s="470"/>
    </row>
    <row r="38" spans="2:9" ht="23.4" x14ac:dyDescent="0.3">
      <c r="B38" s="471">
        <f t="shared" si="2"/>
        <v>8</v>
      </c>
      <c r="C38" s="472"/>
      <c r="D38" s="472"/>
      <c r="E38" s="473"/>
      <c r="F38" s="474"/>
      <c r="G38" s="472"/>
      <c r="H38" s="475"/>
    </row>
    <row r="39" spans="2:9" ht="23.4" x14ac:dyDescent="0.3">
      <c r="B39" s="466">
        <f t="shared" si="2"/>
        <v>9</v>
      </c>
      <c r="C39" s="467"/>
      <c r="D39" s="467"/>
      <c r="E39" s="468"/>
      <c r="F39" s="469"/>
      <c r="G39" s="467"/>
      <c r="H39" s="470"/>
    </row>
    <row r="40" spans="2:9" ht="23.4" x14ac:dyDescent="0.3">
      <c r="B40" s="476">
        <f t="shared" si="2"/>
        <v>10</v>
      </c>
      <c r="C40" s="477"/>
      <c r="D40" s="477"/>
      <c r="E40" s="478"/>
      <c r="F40" s="479"/>
      <c r="G40" s="477"/>
      <c r="H40" s="480"/>
    </row>
    <row r="41" spans="2:9" x14ac:dyDescent="0.3">
      <c r="B41" s="454"/>
      <c r="C41" s="455"/>
      <c r="D41" s="456" t="str">
        <f ca="1">$D$27</f>
        <v>Nbr. &gt;= 3</v>
      </c>
      <c r="E41" s="457">
        <f>COUNTIFS(E31:E40,"&lt;=4",E31:E40,"&gt;=3")</f>
        <v>0</v>
      </c>
      <c r="F41" s="455"/>
      <c r="G41" s="455"/>
      <c r="H41" s="455"/>
      <c r="I41" s="1"/>
    </row>
    <row r="42" spans="2:9" x14ac:dyDescent="0.3">
      <c r="B42" s="1"/>
      <c r="C42" s="1"/>
      <c r="D42" s="1"/>
      <c r="E42" s="1"/>
      <c r="F42" s="1"/>
      <c r="G42" s="1"/>
      <c r="H42" s="1"/>
    </row>
    <row r="43" spans="2:9" ht="21" x14ac:dyDescent="0.3">
      <c r="B43" s="481"/>
      <c r="C43" s="482" t="str">
        <f ca="1">' '!A61</f>
        <v>Tendances sociologiques</v>
      </c>
      <c r="D43" s="483"/>
      <c r="E43" s="483"/>
      <c r="F43" s="483"/>
      <c r="G43" s="483"/>
      <c r="H43" s="483"/>
    </row>
    <row r="44" spans="2:9" ht="28.8" x14ac:dyDescent="0.3">
      <c r="B44" s="484" t="str">
        <f ca="1">B16</f>
        <v>No.</v>
      </c>
      <c r="C44" s="485" t="str">
        <f ca="1">C16</f>
        <v>Facteurs d'influence</v>
      </c>
      <c r="D44" s="485" t="str">
        <f ca="1">D16</f>
        <v>Impact sur l'innovation</v>
      </c>
      <c r="E44" s="486" t="str">
        <f t="shared" ref="E44:H44" ca="1" si="3">E16</f>
        <v>Intensité de l'impact</v>
      </c>
      <c r="F44" s="486" t="str">
        <f t="shared" ca="1" si="3"/>
        <v>Ten-
dance</v>
      </c>
      <c r="G44" s="485" t="str">
        <f t="shared" ca="1" si="3"/>
        <v>Mesures / innovations possibles</v>
      </c>
      <c r="H44" s="487" t="str">
        <f t="shared" ca="1" si="3"/>
        <v>Statut</v>
      </c>
      <c r="I44" s="8">
        <f ca="1">COUNTIF(H44:H54,1)</f>
        <v>1</v>
      </c>
    </row>
    <row r="45" spans="2:9" ht="23.4" x14ac:dyDescent="0.3">
      <c r="B45" s="488">
        <v>1</v>
      </c>
      <c r="C45" s="489"/>
      <c r="D45" s="489"/>
      <c r="E45" s="490">
        <v>3</v>
      </c>
      <c r="F45" s="491">
        <v>1</v>
      </c>
      <c r="G45" s="489"/>
      <c r="H45" s="492">
        <v>1</v>
      </c>
      <c r="I45" s="8">
        <f ca="1">COUNTIF(H44:H54,2)</f>
        <v>0</v>
      </c>
    </row>
    <row r="46" spans="2:9" ht="23.4" x14ac:dyDescent="0.3">
      <c r="B46" s="493">
        <f t="shared" ref="B46:B54" si="4">$B45+1</f>
        <v>2</v>
      </c>
      <c r="C46" s="494"/>
      <c r="D46" s="494"/>
      <c r="E46" s="495"/>
      <c r="F46" s="496"/>
      <c r="G46" s="494"/>
      <c r="H46" s="497"/>
      <c r="I46" s="8">
        <f ca="1">COUNTIF(H44:H55,3)</f>
        <v>0</v>
      </c>
    </row>
    <row r="47" spans="2:9" ht="23.4" x14ac:dyDescent="0.3">
      <c r="B47" s="488">
        <f t="shared" si="4"/>
        <v>3</v>
      </c>
      <c r="C47" s="489"/>
      <c r="D47" s="489"/>
      <c r="E47" s="490"/>
      <c r="F47" s="491"/>
      <c r="G47" s="489"/>
      <c r="H47" s="492"/>
    </row>
    <row r="48" spans="2:9" ht="23.4" x14ac:dyDescent="0.3">
      <c r="B48" s="493">
        <f t="shared" si="4"/>
        <v>4</v>
      </c>
      <c r="C48" s="494"/>
      <c r="D48" s="494"/>
      <c r="E48" s="495"/>
      <c r="F48" s="496"/>
      <c r="G48" s="494"/>
      <c r="H48" s="497"/>
    </row>
    <row r="49" spans="1:9" ht="23.4" x14ac:dyDescent="0.3">
      <c r="B49" s="488">
        <f t="shared" si="4"/>
        <v>5</v>
      </c>
      <c r="C49" s="489"/>
      <c r="D49" s="489"/>
      <c r="E49" s="490"/>
      <c r="F49" s="491"/>
      <c r="G49" s="489"/>
      <c r="H49" s="492"/>
    </row>
    <row r="50" spans="1:9" ht="23.4" x14ac:dyDescent="0.3">
      <c r="B50" s="493">
        <f t="shared" si="4"/>
        <v>6</v>
      </c>
      <c r="C50" s="494"/>
      <c r="D50" s="494"/>
      <c r="E50" s="495"/>
      <c r="F50" s="496"/>
      <c r="G50" s="494"/>
      <c r="H50" s="497"/>
    </row>
    <row r="51" spans="1:9" ht="23.4" x14ac:dyDescent="0.3">
      <c r="B51" s="488">
        <f t="shared" si="4"/>
        <v>7</v>
      </c>
      <c r="C51" s="489"/>
      <c r="D51" s="489"/>
      <c r="E51" s="490"/>
      <c r="F51" s="491"/>
      <c r="G51" s="489"/>
      <c r="H51" s="492"/>
    </row>
    <row r="52" spans="1:9" ht="23.4" x14ac:dyDescent="0.3">
      <c r="B52" s="493">
        <f t="shared" si="4"/>
        <v>8</v>
      </c>
      <c r="C52" s="494"/>
      <c r="D52" s="494"/>
      <c r="E52" s="495"/>
      <c r="F52" s="496"/>
      <c r="G52" s="494"/>
      <c r="H52" s="497"/>
    </row>
    <row r="53" spans="1:9" ht="23.4" x14ac:dyDescent="0.3">
      <c r="B53" s="488">
        <f t="shared" si="4"/>
        <v>9</v>
      </c>
      <c r="C53" s="489"/>
      <c r="D53" s="489"/>
      <c r="E53" s="490"/>
      <c r="F53" s="491"/>
      <c r="G53" s="489"/>
      <c r="H53" s="492"/>
    </row>
    <row r="54" spans="1:9" ht="23.4" x14ac:dyDescent="0.3">
      <c r="B54" s="498">
        <f t="shared" si="4"/>
        <v>10</v>
      </c>
      <c r="C54" s="499"/>
      <c r="D54" s="499"/>
      <c r="E54" s="500"/>
      <c r="F54" s="501"/>
      <c r="G54" s="499"/>
      <c r="H54" s="502"/>
    </row>
    <row r="55" spans="1:9" x14ac:dyDescent="0.3">
      <c r="B55" s="454"/>
      <c r="C55" s="455"/>
      <c r="D55" s="456" t="str">
        <f ca="1">$D$27</f>
        <v>Nbr. &gt;= 3</v>
      </c>
      <c r="E55" s="457">
        <f>COUNTIFS(E45:E54,"&lt;=4",E45:E54,"&gt;=3")</f>
        <v>1</v>
      </c>
      <c r="F55" s="455"/>
      <c r="G55" s="455"/>
      <c r="H55" s="455"/>
      <c r="I55" s="1"/>
    </row>
    <row r="56" spans="1:9" x14ac:dyDescent="0.3">
      <c r="B56" s="1"/>
      <c r="C56" s="1"/>
      <c r="D56" s="1"/>
      <c r="E56" s="1"/>
      <c r="F56" s="1"/>
      <c r="G56" s="1"/>
      <c r="H56" s="1"/>
    </row>
    <row r="57" spans="1:9" ht="21" x14ac:dyDescent="0.3">
      <c r="B57" s="503"/>
      <c r="C57" s="504" t="str">
        <f ca="1">' '!A62</f>
        <v>Tendances technologiques</v>
      </c>
      <c r="D57" s="505"/>
      <c r="E57" s="505"/>
      <c r="F57" s="505"/>
      <c r="G57" s="505"/>
      <c r="H57" s="505"/>
    </row>
    <row r="58" spans="1:9" s="36" customFormat="1" ht="28.8" x14ac:dyDescent="0.3">
      <c r="A58" s="8"/>
      <c r="B58" s="506" t="str">
        <f ca="1">B16</f>
        <v>No.</v>
      </c>
      <c r="C58" s="507" t="str">
        <f ca="1">C16</f>
        <v>Facteurs d'influence</v>
      </c>
      <c r="D58" s="507" t="str">
        <f ca="1">D16</f>
        <v>Impact sur l'innovation</v>
      </c>
      <c r="E58" s="508" t="str">
        <f t="shared" ref="E58:H58" ca="1" si="5">E16</f>
        <v>Intensité de l'impact</v>
      </c>
      <c r="F58" s="508" t="str">
        <f t="shared" ca="1" si="5"/>
        <v>Ten-
dance</v>
      </c>
      <c r="G58" s="507" t="str">
        <f t="shared" ca="1" si="5"/>
        <v>Mesures / innovations possibles</v>
      </c>
      <c r="H58" s="509" t="str">
        <f t="shared" ca="1" si="5"/>
        <v>Statut</v>
      </c>
      <c r="I58" s="8">
        <f ca="1">COUNTIF(H58:H68,1)</f>
        <v>1</v>
      </c>
    </row>
    <row r="59" spans="1:9" ht="23.4" x14ac:dyDescent="0.3">
      <c r="B59" s="510">
        <v>1</v>
      </c>
      <c r="C59" s="511"/>
      <c r="D59" s="511"/>
      <c r="E59" s="512">
        <v>4</v>
      </c>
      <c r="F59" s="513">
        <v>1</v>
      </c>
      <c r="G59" s="511"/>
      <c r="H59" s="514">
        <v>1</v>
      </c>
      <c r="I59" s="8">
        <f ca="1">COUNTIF(H58:H68,2)</f>
        <v>0</v>
      </c>
    </row>
    <row r="60" spans="1:9" ht="23.4" x14ac:dyDescent="0.3">
      <c r="B60" s="515">
        <f t="shared" ref="B60:B68" si="6">$B59+1</f>
        <v>2</v>
      </c>
      <c r="C60" s="516"/>
      <c r="D60" s="516"/>
      <c r="E60" s="517">
        <v>3</v>
      </c>
      <c r="F60" s="518"/>
      <c r="G60" s="516"/>
      <c r="H60" s="519"/>
      <c r="I60" s="8">
        <f ca="1">COUNTIF(H58:H69,3)</f>
        <v>0</v>
      </c>
    </row>
    <row r="61" spans="1:9" ht="23.4" x14ac:dyDescent="0.3">
      <c r="B61" s="510">
        <f t="shared" si="6"/>
        <v>3</v>
      </c>
      <c r="C61" s="511"/>
      <c r="D61" s="511"/>
      <c r="E61" s="512">
        <v>3</v>
      </c>
      <c r="F61" s="513"/>
      <c r="G61" s="511"/>
      <c r="H61" s="514"/>
    </row>
    <row r="62" spans="1:9" ht="23.4" x14ac:dyDescent="0.3">
      <c r="B62" s="515">
        <f t="shared" si="6"/>
        <v>4</v>
      </c>
      <c r="C62" s="516"/>
      <c r="D62" s="516"/>
      <c r="E62" s="517"/>
      <c r="F62" s="518"/>
      <c r="G62" s="516"/>
      <c r="H62" s="519"/>
    </row>
    <row r="63" spans="1:9" ht="23.4" x14ac:dyDescent="0.3">
      <c r="B63" s="510">
        <f t="shared" si="6"/>
        <v>5</v>
      </c>
      <c r="C63" s="511"/>
      <c r="D63" s="511"/>
      <c r="E63" s="512"/>
      <c r="F63" s="513"/>
      <c r="G63" s="511"/>
      <c r="H63" s="514"/>
    </row>
    <row r="64" spans="1:9" ht="23.4" x14ac:dyDescent="0.3">
      <c r="B64" s="515">
        <f t="shared" si="6"/>
        <v>6</v>
      </c>
      <c r="C64" s="516"/>
      <c r="D64" s="516"/>
      <c r="E64" s="517"/>
      <c r="F64" s="518"/>
      <c r="G64" s="516"/>
      <c r="H64" s="519"/>
    </row>
    <row r="65" spans="1:9" ht="23.4" x14ac:dyDescent="0.3">
      <c r="B65" s="510">
        <f t="shared" si="6"/>
        <v>7</v>
      </c>
      <c r="C65" s="511"/>
      <c r="D65" s="511"/>
      <c r="E65" s="512"/>
      <c r="F65" s="513"/>
      <c r="G65" s="511"/>
      <c r="H65" s="514"/>
    </row>
    <row r="66" spans="1:9" ht="23.4" x14ac:dyDescent="0.3">
      <c r="B66" s="515">
        <f t="shared" si="6"/>
        <v>8</v>
      </c>
      <c r="C66" s="516"/>
      <c r="D66" s="516"/>
      <c r="E66" s="517"/>
      <c r="F66" s="518"/>
      <c r="G66" s="516"/>
      <c r="H66" s="519"/>
    </row>
    <row r="67" spans="1:9" ht="23.4" x14ac:dyDescent="0.3">
      <c r="B67" s="510">
        <f t="shared" si="6"/>
        <v>9</v>
      </c>
      <c r="C67" s="511"/>
      <c r="D67" s="511"/>
      <c r="E67" s="512"/>
      <c r="F67" s="513"/>
      <c r="G67" s="511"/>
      <c r="H67" s="514"/>
    </row>
    <row r="68" spans="1:9" ht="23.4" x14ac:dyDescent="0.3">
      <c r="B68" s="520">
        <f t="shared" si="6"/>
        <v>10</v>
      </c>
      <c r="C68" s="521"/>
      <c r="D68" s="521"/>
      <c r="E68" s="522"/>
      <c r="F68" s="523"/>
      <c r="G68" s="521"/>
      <c r="H68" s="524"/>
    </row>
    <row r="69" spans="1:9" x14ac:dyDescent="0.3">
      <c r="B69" s="454"/>
      <c r="C69" s="455"/>
      <c r="D69" s="456" t="str">
        <f ca="1">$D$27</f>
        <v>Nbr. &gt;= 3</v>
      </c>
      <c r="E69" s="457">
        <f>COUNTIFS(E59:E68,"&lt;=4",E59:E68,"&gt;=3")</f>
        <v>3</v>
      </c>
      <c r="F69" s="455"/>
      <c r="G69" s="455"/>
      <c r="H69" s="455"/>
      <c r="I69" s="1"/>
    </row>
    <row r="70" spans="1:9" x14ac:dyDescent="0.3">
      <c r="B70" s="1"/>
      <c r="C70" s="1"/>
      <c r="D70" s="1"/>
      <c r="E70" s="1"/>
      <c r="F70" s="1"/>
      <c r="G70" s="1"/>
      <c r="H70" s="1"/>
    </row>
    <row r="71" spans="1:9" ht="21" x14ac:dyDescent="0.3">
      <c r="B71" s="525"/>
      <c r="C71" s="526" t="str">
        <f ca="1">' '!A63</f>
        <v>Tendances écologiques</v>
      </c>
      <c r="D71" s="527"/>
      <c r="E71" s="527"/>
      <c r="F71" s="527"/>
      <c r="G71" s="527"/>
      <c r="H71" s="527"/>
    </row>
    <row r="72" spans="1:9" s="36" customFormat="1" ht="28.8" x14ac:dyDescent="0.3">
      <c r="A72" s="8"/>
      <c r="B72" s="528" t="str">
        <f ca="1">B16</f>
        <v>No.</v>
      </c>
      <c r="C72" s="529" t="str">
        <f ca="1">C16</f>
        <v>Facteurs d'influence</v>
      </c>
      <c r="D72" s="529" t="str">
        <f ca="1">D16</f>
        <v>Impact sur l'innovation</v>
      </c>
      <c r="E72" s="530" t="str">
        <f t="shared" ref="E72:H72" ca="1" si="7">E16</f>
        <v>Intensité de l'impact</v>
      </c>
      <c r="F72" s="530" t="str">
        <f t="shared" ca="1" si="7"/>
        <v>Ten-
dance</v>
      </c>
      <c r="G72" s="529" t="str">
        <f t="shared" ca="1" si="7"/>
        <v>Mesures / innovations possibles</v>
      </c>
      <c r="H72" s="531" t="str">
        <f t="shared" ca="1" si="7"/>
        <v>Statut</v>
      </c>
      <c r="I72" s="8">
        <f ca="1">COUNTIF(H72:H82,1)</f>
        <v>2</v>
      </c>
    </row>
    <row r="73" spans="1:9" ht="23.4" x14ac:dyDescent="0.3">
      <c r="B73" s="532">
        <v>1</v>
      </c>
      <c r="C73" s="533"/>
      <c r="D73" s="533"/>
      <c r="E73" s="534">
        <v>1</v>
      </c>
      <c r="F73" s="535">
        <v>1</v>
      </c>
      <c r="G73" s="533"/>
      <c r="H73" s="536">
        <v>1</v>
      </c>
      <c r="I73" s="8">
        <f ca="1">COUNTIF(H72:H82,2)</f>
        <v>0</v>
      </c>
    </row>
    <row r="74" spans="1:9" ht="23.4" x14ac:dyDescent="0.3">
      <c r="B74" s="537">
        <f t="shared" ref="B74:B82" si="8">$B73+1</f>
        <v>2</v>
      </c>
      <c r="C74" s="538"/>
      <c r="D74" s="538"/>
      <c r="E74" s="539"/>
      <c r="F74" s="540"/>
      <c r="G74" s="538"/>
      <c r="H74" s="541">
        <v>1</v>
      </c>
      <c r="I74" s="8">
        <f ca="1">COUNTIF(H72:H83,3)</f>
        <v>0</v>
      </c>
    </row>
    <row r="75" spans="1:9" ht="23.4" x14ac:dyDescent="0.3">
      <c r="B75" s="532">
        <f t="shared" si="8"/>
        <v>3</v>
      </c>
      <c r="C75" s="533"/>
      <c r="D75" s="533"/>
      <c r="E75" s="534"/>
      <c r="F75" s="535"/>
      <c r="G75" s="533"/>
      <c r="H75" s="536"/>
    </row>
    <row r="76" spans="1:9" ht="23.4" x14ac:dyDescent="0.3">
      <c r="B76" s="537">
        <f t="shared" si="8"/>
        <v>4</v>
      </c>
      <c r="C76" s="538"/>
      <c r="D76" s="538"/>
      <c r="E76" s="539"/>
      <c r="F76" s="540"/>
      <c r="G76" s="538"/>
      <c r="H76" s="541"/>
    </row>
    <row r="77" spans="1:9" ht="23.4" x14ac:dyDescent="0.3">
      <c r="B77" s="532">
        <f t="shared" si="8"/>
        <v>5</v>
      </c>
      <c r="C77" s="533"/>
      <c r="D77" s="533"/>
      <c r="E77" s="534"/>
      <c r="F77" s="535"/>
      <c r="G77" s="533"/>
      <c r="H77" s="536"/>
    </row>
    <row r="78" spans="1:9" ht="23.4" x14ac:dyDescent="0.3">
      <c r="B78" s="537">
        <f t="shared" si="8"/>
        <v>6</v>
      </c>
      <c r="C78" s="538"/>
      <c r="D78" s="538"/>
      <c r="E78" s="539"/>
      <c r="F78" s="540"/>
      <c r="G78" s="538"/>
      <c r="H78" s="541"/>
    </row>
    <row r="79" spans="1:9" ht="23.4" x14ac:dyDescent="0.3">
      <c r="B79" s="532">
        <f t="shared" si="8"/>
        <v>7</v>
      </c>
      <c r="C79" s="533"/>
      <c r="D79" s="533"/>
      <c r="E79" s="534"/>
      <c r="F79" s="535"/>
      <c r="G79" s="533"/>
      <c r="H79" s="536"/>
    </row>
    <row r="80" spans="1:9" ht="23.4" x14ac:dyDescent="0.3">
      <c r="B80" s="537">
        <f t="shared" si="8"/>
        <v>8</v>
      </c>
      <c r="C80" s="538"/>
      <c r="D80" s="538"/>
      <c r="E80" s="539"/>
      <c r="F80" s="540"/>
      <c r="G80" s="538"/>
      <c r="H80" s="541"/>
    </row>
    <row r="81" spans="1:9" ht="23.4" x14ac:dyDescent="0.3">
      <c r="B81" s="532">
        <f t="shared" si="8"/>
        <v>9</v>
      </c>
      <c r="C81" s="533"/>
      <c r="D81" s="533"/>
      <c r="E81" s="534"/>
      <c r="F81" s="535"/>
      <c r="G81" s="533"/>
      <c r="H81" s="536"/>
    </row>
    <row r="82" spans="1:9" ht="23.4" x14ac:dyDescent="0.3">
      <c r="B82" s="542">
        <f t="shared" si="8"/>
        <v>10</v>
      </c>
      <c r="C82" s="543"/>
      <c r="D82" s="543"/>
      <c r="E82" s="544"/>
      <c r="F82" s="545"/>
      <c r="G82" s="543"/>
      <c r="H82" s="546"/>
    </row>
    <row r="83" spans="1:9" x14ac:dyDescent="0.3">
      <c r="B83" s="454"/>
      <c r="C83" s="455"/>
      <c r="D83" s="456" t="str">
        <f ca="1">$D$27</f>
        <v>Nbr. &gt;= 3</v>
      </c>
      <c r="E83" s="457">
        <f>COUNTIFS(E73:E82,"&lt;=4",E73:E82,"&gt;=3")</f>
        <v>0</v>
      </c>
      <c r="F83" s="455"/>
      <c r="G83" s="455"/>
      <c r="H83" s="455"/>
      <c r="I83" s="1"/>
    </row>
    <row r="84" spans="1:9" x14ac:dyDescent="0.3">
      <c r="B84" s="1"/>
      <c r="C84" s="1"/>
      <c r="D84" s="1"/>
      <c r="E84" s="1"/>
      <c r="F84" s="1"/>
      <c r="G84" s="1"/>
      <c r="H84" s="1"/>
    </row>
    <row r="85" spans="1:9" ht="21" x14ac:dyDescent="0.3">
      <c r="B85" s="547"/>
      <c r="C85" s="548" t="str">
        <f ca="1">' '!A64</f>
        <v>Tendances légales</v>
      </c>
      <c r="D85" s="549"/>
      <c r="E85" s="549"/>
      <c r="F85" s="549"/>
      <c r="G85" s="549"/>
      <c r="H85" s="549"/>
    </row>
    <row r="86" spans="1:9" s="36" customFormat="1" ht="28.8" x14ac:dyDescent="0.3">
      <c r="A86" s="8"/>
      <c r="B86" s="550" t="str">
        <f ca="1">B16</f>
        <v>No.</v>
      </c>
      <c r="C86" s="550" t="str">
        <f ca="1">C16</f>
        <v>Facteurs d'influence</v>
      </c>
      <c r="D86" s="550" t="str">
        <f ca="1">D16</f>
        <v>Impact sur l'innovation</v>
      </c>
      <c r="E86" s="551" t="str">
        <f t="shared" ref="E86:H86" ca="1" si="9">E16</f>
        <v>Intensité de l'impact</v>
      </c>
      <c r="F86" s="551" t="str">
        <f t="shared" ca="1" si="9"/>
        <v>Ten-
dance</v>
      </c>
      <c r="G86" s="550" t="str">
        <f t="shared" ca="1" si="9"/>
        <v>Mesures / innovations possibles</v>
      </c>
      <c r="H86" s="551" t="str">
        <f t="shared" ca="1" si="9"/>
        <v>Statut</v>
      </c>
      <c r="I86" s="8">
        <f ca="1">COUNTIF(H86:H96,1)</f>
        <v>0</v>
      </c>
    </row>
    <row r="87" spans="1:9" ht="23.4" x14ac:dyDescent="0.3">
      <c r="B87" s="552">
        <v>1</v>
      </c>
      <c r="C87" s="553"/>
      <c r="D87" s="553"/>
      <c r="E87" s="554">
        <v>0</v>
      </c>
      <c r="F87" s="555">
        <v>1</v>
      </c>
      <c r="G87" s="553"/>
      <c r="H87" s="556">
        <v>9</v>
      </c>
      <c r="I87" s="8">
        <f ca="1">COUNTIF(H86:H96,2)</f>
        <v>0</v>
      </c>
    </row>
    <row r="88" spans="1:9" ht="23.4" x14ac:dyDescent="0.3">
      <c r="B88" s="557">
        <f t="shared" ref="B88:B96" si="10">$B87+1</f>
        <v>2</v>
      </c>
      <c r="C88" s="558"/>
      <c r="D88" s="558"/>
      <c r="E88" s="559">
        <v>1</v>
      </c>
      <c r="F88" s="560"/>
      <c r="G88" s="558"/>
      <c r="H88" s="561"/>
      <c r="I88" s="8">
        <f ca="1">COUNTIF(H86:H98,3)</f>
        <v>0</v>
      </c>
    </row>
    <row r="89" spans="1:9" ht="23.4" x14ac:dyDescent="0.3">
      <c r="B89" s="562">
        <f t="shared" si="10"/>
        <v>3</v>
      </c>
      <c r="C89" s="563"/>
      <c r="D89" s="563"/>
      <c r="E89" s="564"/>
      <c r="F89" s="565"/>
      <c r="G89" s="563"/>
      <c r="H89" s="566"/>
    </row>
    <row r="90" spans="1:9" ht="23.4" x14ac:dyDescent="0.3">
      <c r="B90" s="557">
        <f t="shared" si="10"/>
        <v>4</v>
      </c>
      <c r="C90" s="558"/>
      <c r="D90" s="558"/>
      <c r="E90" s="559"/>
      <c r="F90" s="560"/>
      <c r="G90" s="558"/>
      <c r="H90" s="561"/>
    </row>
    <row r="91" spans="1:9" ht="23.4" x14ac:dyDescent="0.3">
      <c r="B91" s="562">
        <f t="shared" si="10"/>
        <v>5</v>
      </c>
      <c r="C91" s="563"/>
      <c r="D91" s="563"/>
      <c r="E91" s="564"/>
      <c r="F91" s="565"/>
      <c r="G91" s="563"/>
      <c r="H91" s="566"/>
    </row>
    <row r="92" spans="1:9" ht="23.4" x14ac:dyDescent="0.3">
      <c r="B92" s="557">
        <f t="shared" si="10"/>
        <v>6</v>
      </c>
      <c r="C92" s="558"/>
      <c r="D92" s="558"/>
      <c r="E92" s="559"/>
      <c r="F92" s="560"/>
      <c r="G92" s="558"/>
      <c r="H92" s="561"/>
    </row>
    <row r="93" spans="1:9" ht="23.4" x14ac:dyDescent="0.3">
      <c r="B93" s="562">
        <f t="shared" si="10"/>
        <v>7</v>
      </c>
      <c r="C93" s="563"/>
      <c r="D93" s="563"/>
      <c r="E93" s="564"/>
      <c r="F93" s="565"/>
      <c r="G93" s="563"/>
      <c r="H93" s="566"/>
    </row>
    <row r="94" spans="1:9" ht="23.4" x14ac:dyDescent="0.3">
      <c r="B94" s="557">
        <f t="shared" si="10"/>
        <v>8</v>
      </c>
      <c r="C94" s="558"/>
      <c r="D94" s="558"/>
      <c r="E94" s="559"/>
      <c r="F94" s="560"/>
      <c r="G94" s="558"/>
      <c r="H94" s="561"/>
    </row>
    <row r="95" spans="1:9" ht="23.4" x14ac:dyDescent="0.3">
      <c r="B95" s="562">
        <f t="shared" si="10"/>
        <v>9</v>
      </c>
      <c r="C95" s="563"/>
      <c r="D95" s="563"/>
      <c r="E95" s="564"/>
      <c r="F95" s="565"/>
      <c r="G95" s="563"/>
      <c r="H95" s="566"/>
    </row>
    <row r="96" spans="1:9" ht="23.4" x14ac:dyDescent="0.3">
      <c r="B96" s="567">
        <f t="shared" si="10"/>
        <v>10</v>
      </c>
      <c r="C96" s="568"/>
      <c r="D96" s="568"/>
      <c r="E96" s="569"/>
      <c r="F96" s="570"/>
      <c r="G96" s="568"/>
      <c r="H96" s="571"/>
    </row>
    <row r="97" spans="1:9" x14ac:dyDescent="0.3">
      <c r="B97" s="335" t="s">
        <v>1777</v>
      </c>
      <c r="C97"/>
      <c r="D97" s="456" t="str">
        <f ca="1">$D$27</f>
        <v>Nbr. &gt;= 3</v>
      </c>
      <c r="E97" s="457">
        <f>COUNTIFS(E87:E96,"&lt;=4",E87:E96,"&gt;=3")</f>
        <v>0</v>
      </c>
      <c r="F97" s="455"/>
      <c r="G97" s="455"/>
      <c r="H97" s="455"/>
      <c r="I97" s="1"/>
    </row>
    <row r="98" spans="1:9" x14ac:dyDescent="0.3">
      <c r="C98" s="1"/>
      <c r="D98" s="1"/>
      <c r="E98" s="1"/>
      <c r="F98" s="1"/>
      <c r="G98" s="1"/>
      <c r="H98" s="1"/>
    </row>
    <row r="99" spans="1:9" x14ac:dyDescent="0.3">
      <c r="C99" s="1"/>
      <c r="D99" s="1"/>
      <c r="E99" s="1"/>
      <c r="F99" s="1"/>
      <c r="G99" s="1"/>
      <c r="H99" s="1"/>
    </row>
    <row r="100" spans="1:9" x14ac:dyDescent="0.3">
      <c r="A100" s="37"/>
      <c r="B100" s="31"/>
      <c r="C100" s="31"/>
      <c r="D100" s="31"/>
      <c r="E100" s="1"/>
      <c r="F100" s="1"/>
      <c r="G100" s="1"/>
      <c r="H100" s="1"/>
    </row>
    <row r="101" spans="1:9" x14ac:dyDescent="0.3">
      <c r="A101" s="37"/>
      <c r="B101" s="31"/>
      <c r="E101" s="1"/>
      <c r="F101" s="1"/>
      <c r="G101" s="1"/>
      <c r="H101" s="1"/>
    </row>
    <row r="102" spans="1:9" x14ac:dyDescent="0.3">
      <c r="A102" s="37"/>
      <c r="B102" s="31"/>
      <c r="E102" s="1"/>
      <c r="F102" s="1"/>
      <c r="G102" s="1"/>
      <c r="H102" s="1"/>
    </row>
    <row r="103" spans="1:9" x14ac:dyDescent="0.3">
      <c r="A103" s="37"/>
      <c r="B103" s="31"/>
      <c r="E103" s="1"/>
      <c r="F103" s="1"/>
      <c r="G103" s="1"/>
      <c r="H103" s="1"/>
    </row>
    <row r="104" spans="1:9" x14ac:dyDescent="0.3">
      <c r="A104" s="37"/>
      <c r="B104" s="31"/>
      <c r="E104" s="1"/>
      <c r="F104" s="1"/>
      <c r="G104" s="1"/>
      <c r="H104" s="1"/>
    </row>
    <row r="105" spans="1:9" x14ac:dyDescent="0.3">
      <c r="A105" s="37"/>
      <c r="B105" s="31"/>
      <c r="E105" s="1"/>
      <c r="F105" s="1"/>
      <c r="G105" s="1"/>
      <c r="H105" s="1"/>
    </row>
    <row r="106" spans="1:9" x14ac:dyDescent="0.3">
      <c r="A106" s="37"/>
      <c r="B106" s="31"/>
      <c r="E106" s="1"/>
      <c r="F106" s="1"/>
      <c r="G106" s="1"/>
      <c r="H106" s="1"/>
    </row>
    <row r="107" spans="1:9" x14ac:dyDescent="0.3">
      <c r="B107" s="1"/>
      <c r="C107" s="1"/>
      <c r="D107" s="1"/>
      <c r="E107" s="1"/>
      <c r="F107" s="1"/>
      <c r="G107" s="1"/>
      <c r="H107" s="1"/>
    </row>
    <row r="108" spans="1:9" x14ac:dyDescent="0.3">
      <c r="B108" s="1"/>
      <c r="C108" s="1"/>
      <c r="D108" s="1"/>
      <c r="E108" s="1"/>
      <c r="F108" s="1"/>
      <c r="G108" s="1"/>
      <c r="H108" s="1"/>
    </row>
    <row r="109" spans="1:9" x14ac:dyDescent="0.3">
      <c r="B109" s="1"/>
      <c r="C109" s="1"/>
      <c r="D109" s="1"/>
      <c r="E109" s="1"/>
      <c r="F109" s="1"/>
      <c r="G109" s="1"/>
      <c r="H109" s="1"/>
    </row>
    <row r="110" spans="1:9" x14ac:dyDescent="0.3">
      <c r="B110" s="1"/>
      <c r="C110" s="1"/>
      <c r="D110" s="1"/>
      <c r="E110" s="1"/>
      <c r="F110" s="1"/>
      <c r="G110" s="1"/>
      <c r="H110" s="1"/>
    </row>
    <row r="111" spans="1:9" x14ac:dyDescent="0.3">
      <c r="B111" s="1"/>
      <c r="C111" s="1"/>
      <c r="D111" s="1"/>
      <c r="E111" s="1"/>
      <c r="F111" s="1"/>
      <c r="G111" s="1"/>
      <c r="H111" s="1"/>
    </row>
    <row r="112" spans="1:9" x14ac:dyDescent="0.3">
      <c r="B112" s="1"/>
      <c r="C112" s="1"/>
      <c r="D112" s="1"/>
      <c r="E112" s="1"/>
      <c r="F112" s="1"/>
      <c r="G112" s="1"/>
      <c r="H112" s="1"/>
    </row>
    <row r="113" spans="1:8" x14ac:dyDescent="0.3">
      <c r="B113" s="1"/>
      <c r="C113" s="1"/>
      <c r="D113" s="1"/>
      <c r="E113" s="1"/>
      <c r="F113" s="1"/>
      <c r="G113" s="1"/>
      <c r="H113" s="1"/>
    </row>
    <row r="114" spans="1:8" x14ac:dyDescent="0.3">
      <c r="B114" s="1"/>
      <c r="C114" s="1"/>
      <c r="D114" s="1"/>
      <c r="E114" s="1"/>
      <c r="F114" s="1"/>
      <c r="G114" s="1"/>
      <c r="H114" s="1"/>
    </row>
    <row r="115" spans="1:8" x14ac:dyDescent="0.3">
      <c r="B115" s="1"/>
      <c r="C115" s="1"/>
      <c r="D115" s="1"/>
      <c r="E115" s="1"/>
      <c r="F115" s="1"/>
      <c r="G115" s="1"/>
      <c r="H115" s="1"/>
    </row>
    <row r="116" spans="1:8" x14ac:dyDescent="0.3">
      <c r="B116" s="1"/>
      <c r="C116" s="1"/>
      <c r="D116" s="1"/>
      <c r="E116" s="1"/>
      <c r="F116" s="1"/>
      <c r="G116" s="1"/>
      <c r="H116" s="1"/>
    </row>
    <row r="117" spans="1:8" x14ac:dyDescent="0.3">
      <c r="B117" s="1"/>
      <c r="C117" s="1"/>
      <c r="D117" s="1"/>
      <c r="E117" s="1"/>
      <c r="F117" s="1"/>
      <c r="G117" s="1"/>
      <c r="H117" s="1"/>
    </row>
    <row r="118" spans="1:8" x14ac:dyDescent="0.3">
      <c r="B118" s="1"/>
      <c r="C118" s="1"/>
      <c r="D118" s="1"/>
      <c r="E118" s="1"/>
      <c r="F118" s="1"/>
      <c r="G118" s="1"/>
      <c r="H118" s="1"/>
    </row>
    <row r="119" spans="1:8" x14ac:dyDescent="0.3">
      <c r="B119" s="1"/>
      <c r="C119" s="1"/>
      <c r="D119" s="1"/>
      <c r="E119" s="1"/>
      <c r="F119" s="1"/>
      <c r="G119" s="1"/>
      <c r="H119" s="1"/>
    </row>
    <row r="120" spans="1:8" x14ac:dyDescent="0.3">
      <c r="B120" s="1"/>
      <c r="C120" s="1"/>
      <c r="D120" s="1"/>
      <c r="E120" s="1"/>
      <c r="F120" s="1"/>
      <c r="G120" s="1"/>
      <c r="H120" s="1"/>
    </row>
    <row r="121" spans="1:8" x14ac:dyDescent="0.3">
      <c r="B121" s="1"/>
      <c r="C121" s="1"/>
      <c r="D121" s="1"/>
      <c r="E121" s="1"/>
      <c r="F121" s="1"/>
      <c r="G121" s="1"/>
      <c r="H121" s="1"/>
    </row>
    <row r="122" spans="1:8" x14ac:dyDescent="0.3">
      <c r="B122" s="1"/>
      <c r="C122" s="1"/>
      <c r="D122" s="1"/>
      <c r="E122" s="1"/>
      <c r="F122" s="1"/>
      <c r="G122" s="1"/>
      <c r="H122" s="1"/>
    </row>
    <row r="123" spans="1:8" x14ac:dyDescent="0.3">
      <c r="B123" s="1"/>
      <c r="C123" s="1"/>
      <c r="D123" s="1"/>
      <c r="E123" s="1"/>
      <c r="F123" s="1"/>
      <c r="G123" s="1"/>
      <c r="H123" s="1"/>
    </row>
    <row r="124" spans="1:8" ht="0.9" customHeight="1" x14ac:dyDescent="0.3">
      <c r="A124" s="20"/>
      <c r="B124" s="1"/>
      <c r="C124" s="1"/>
      <c r="D124" s="1"/>
      <c r="E124" s="1"/>
      <c r="F124" s="1"/>
      <c r="G124" s="1"/>
      <c r="H124" s="1"/>
    </row>
    <row r="125" spans="1:8" x14ac:dyDescent="0.3">
      <c r="B125" s="1"/>
      <c r="C125" s="1"/>
      <c r="D125" s="1"/>
      <c r="E125" s="1"/>
      <c r="F125" s="1"/>
      <c r="G125" s="1"/>
      <c r="H125" s="1"/>
    </row>
    <row r="126" spans="1:8" x14ac:dyDescent="0.3">
      <c r="B126" s="1"/>
      <c r="C126" s="1"/>
      <c r="D126" s="1"/>
      <c r="E126" s="1"/>
      <c r="F126" s="1"/>
      <c r="G126" s="1"/>
      <c r="H126" s="1"/>
    </row>
    <row r="127" spans="1:8" x14ac:dyDescent="0.3">
      <c r="B127" s="1"/>
      <c r="C127" s="1"/>
      <c r="D127" s="1"/>
      <c r="E127" s="1"/>
      <c r="F127" s="1"/>
      <c r="G127" s="1"/>
      <c r="H127" s="1"/>
    </row>
    <row r="128" spans="1:8" x14ac:dyDescent="0.3">
      <c r="B128" s="1"/>
      <c r="C128" s="1"/>
      <c r="D128" s="1"/>
      <c r="E128" s="1"/>
      <c r="F128" s="1"/>
      <c r="G128" s="1"/>
      <c r="H128" s="1"/>
    </row>
    <row r="129" spans="2:8" x14ac:dyDescent="0.3">
      <c r="B129" s="1"/>
      <c r="C129" s="1"/>
      <c r="D129" s="1"/>
      <c r="E129" s="1"/>
      <c r="F129" s="1"/>
      <c r="G129" s="1"/>
      <c r="H129" s="1"/>
    </row>
    <row r="130" spans="2:8" x14ac:dyDescent="0.3">
      <c r="B130" s="1"/>
      <c r="C130" s="1"/>
      <c r="D130" s="1"/>
      <c r="E130" s="1"/>
      <c r="F130" s="1"/>
      <c r="G130" s="1"/>
      <c r="H130" s="1"/>
    </row>
    <row r="131" spans="2:8" x14ac:dyDescent="0.3">
      <c r="B131" s="1"/>
      <c r="C131" s="1"/>
      <c r="D131" s="1"/>
      <c r="E131" s="1"/>
      <c r="F131" s="1"/>
      <c r="G131" s="1"/>
      <c r="H131" s="1"/>
    </row>
    <row r="132" spans="2:8" x14ac:dyDescent="0.3">
      <c r="B132" s="1"/>
      <c r="C132" s="1"/>
      <c r="D132" s="1"/>
      <c r="E132" s="1"/>
      <c r="F132" s="1"/>
      <c r="G132" s="1"/>
      <c r="H132" s="1"/>
    </row>
    <row r="133" spans="2:8" x14ac:dyDescent="0.3">
      <c r="B133" s="1"/>
      <c r="C133" s="1"/>
      <c r="D133" s="1"/>
      <c r="E133" s="1"/>
      <c r="F133" s="1"/>
      <c r="G133" s="1"/>
      <c r="H133" s="1"/>
    </row>
    <row r="134" spans="2:8" x14ac:dyDescent="0.3">
      <c r="B134" s="1"/>
      <c r="C134" s="1"/>
      <c r="D134" s="1"/>
      <c r="E134" s="1"/>
      <c r="F134" s="1"/>
      <c r="G134" s="1"/>
      <c r="H134" s="1"/>
    </row>
    <row r="135" spans="2:8" x14ac:dyDescent="0.3">
      <c r="B135" s="1"/>
      <c r="C135" s="1"/>
      <c r="D135" s="1"/>
      <c r="E135" s="1"/>
      <c r="F135" s="1"/>
      <c r="G135" s="1"/>
      <c r="H135" s="1"/>
    </row>
    <row r="136" spans="2:8" x14ac:dyDescent="0.3">
      <c r="B136" s="1"/>
      <c r="C136" s="1"/>
      <c r="D136" s="1"/>
      <c r="E136" s="1"/>
      <c r="F136" s="1"/>
      <c r="G136" s="1"/>
      <c r="H136" s="1"/>
    </row>
    <row r="137" spans="2:8" x14ac:dyDescent="0.3">
      <c r="B137" s="1"/>
      <c r="C137" s="1"/>
      <c r="D137" s="1"/>
      <c r="E137" s="1"/>
      <c r="F137" s="1"/>
      <c r="G137" s="1"/>
      <c r="H137" s="1"/>
    </row>
    <row r="138" spans="2:8" x14ac:dyDescent="0.3">
      <c r="B138" s="1"/>
      <c r="C138" s="1"/>
      <c r="D138" s="1"/>
      <c r="E138" s="1"/>
      <c r="F138" s="1"/>
      <c r="G138" s="1"/>
      <c r="H138" s="1"/>
    </row>
    <row r="139" spans="2:8" x14ac:dyDescent="0.3">
      <c r="B139" s="1"/>
      <c r="C139" s="1"/>
      <c r="D139" s="1"/>
      <c r="E139" s="1"/>
      <c r="F139" s="1"/>
      <c r="G139" s="1"/>
      <c r="H139" s="1"/>
    </row>
    <row r="140" spans="2:8" x14ac:dyDescent="0.3">
      <c r="B140" s="1"/>
      <c r="C140" s="1"/>
      <c r="D140" s="1"/>
      <c r="E140" s="1"/>
      <c r="F140" s="1"/>
      <c r="G140" s="1"/>
      <c r="H140" s="1"/>
    </row>
    <row r="141" spans="2:8" x14ac:dyDescent="0.3">
      <c r="B141" s="1"/>
      <c r="C141" s="1"/>
      <c r="D141" s="1"/>
      <c r="E141" s="1"/>
      <c r="F141" s="1"/>
      <c r="G141" s="1"/>
      <c r="H141" s="1"/>
    </row>
    <row r="142" spans="2:8" x14ac:dyDescent="0.3">
      <c r="B142" s="1"/>
      <c r="C142" s="1"/>
      <c r="D142" s="1"/>
      <c r="E142" s="1"/>
      <c r="F142" s="1"/>
      <c r="G142" s="1"/>
      <c r="H142" s="1"/>
    </row>
    <row r="143" spans="2:8" x14ac:dyDescent="0.3">
      <c r="B143" s="1"/>
      <c r="C143" s="1"/>
      <c r="D143" s="1"/>
      <c r="E143" s="1"/>
      <c r="F143" s="1"/>
      <c r="G143" s="1"/>
      <c r="H143" s="1"/>
    </row>
    <row r="144" spans="2:8" x14ac:dyDescent="0.3">
      <c r="B144" s="1"/>
      <c r="C144" s="1"/>
      <c r="D144" s="1"/>
      <c r="E144" s="1"/>
      <c r="F144" s="1"/>
      <c r="G144" s="1"/>
      <c r="H144" s="1"/>
    </row>
    <row r="145" spans="2:8" x14ac:dyDescent="0.3">
      <c r="B145" s="1"/>
      <c r="C145" s="1"/>
      <c r="D145" s="1"/>
      <c r="E145" s="1"/>
      <c r="F145" s="1"/>
      <c r="G145" s="1"/>
      <c r="H145" s="1"/>
    </row>
    <row r="146" spans="2:8" x14ac:dyDescent="0.3">
      <c r="B146" s="1"/>
      <c r="C146" s="1"/>
      <c r="D146" s="1"/>
      <c r="E146" s="1"/>
      <c r="F146" s="1"/>
      <c r="G146" s="1"/>
      <c r="H146" s="1"/>
    </row>
    <row r="147" spans="2:8" x14ac:dyDescent="0.3">
      <c r="B147" s="1"/>
      <c r="C147" s="1"/>
      <c r="D147" s="1"/>
      <c r="E147" s="1"/>
      <c r="F147" s="1"/>
      <c r="G147" s="1"/>
      <c r="H147" s="1"/>
    </row>
    <row r="148" spans="2:8" x14ac:dyDescent="0.3">
      <c r="B148" s="1"/>
      <c r="C148" s="1"/>
      <c r="D148" s="1"/>
      <c r="E148" s="1"/>
      <c r="F148" s="1"/>
      <c r="G148" s="1"/>
      <c r="H148" s="1"/>
    </row>
    <row r="149" spans="2:8" x14ac:dyDescent="0.3">
      <c r="B149" s="1"/>
      <c r="C149" s="1"/>
      <c r="D149" s="1"/>
      <c r="E149" s="1"/>
      <c r="F149" s="1"/>
      <c r="G149" s="1"/>
      <c r="H149" s="1"/>
    </row>
    <row r="150" spans="2:8" x14ac:dyDescent="0.3">
      <c r="B150" s="1"/>
      <c r="C150" s="1"/>
      <c r="D150" s="1"/>
      <c r="E150" s="1"/>
      <c r="F150" s="1"/>
      <c r="G150" s="1"/>
      <c r="H150" s="1"/>
    </row>
    <row r="151" spans="2:8" x14ac:dyDescent="0.3">
      <c r="B151" s="1"/>
      <c r="C151" s="1"/>
      <c r="D151" s="1"/>
      <c r="E151" s="1"/>
      <c r="F151" s="1"/>
      <c r="G151" s="1"/>
      <c r="H151" s="1"/>
    </row>
    <row r="152" spans="2:8" x14ac:dyDescent="0.3">
      <c r="B152" s="1"/>
      <c r="C152" s="1"/>
      <c r="D152" s="1"/>
      <c r="E152" s="1"/>
      <c r="F152" s="1"/>
      <c r="G152" s="1"/>
      <c r="H152" s="1"/>
    </row>
    <row r="153" spans="2:8" x14ac:dyDescent="0.3">
      <c r="B153" s="1"/>
      <c r="C153" s="1"/>
      <c r="D153" s="1"/>
      <c r="E153" s="1"/>
      <c r="F153" s="1"/>
      <c r="G153" s="1"/>
      <c r="H153" s="1"/>
    </row>
    <row r="154" spans="2:8" x14ac:dyDescent="0.3">
      <c r="B154" s="1"/>
      <c r="C154" s="1"/>
      <c r="D154" s="1"/>
      <c r="E154" s="1"/>
      <c r="F154" s="1"/>
      <c r="G154" s="1"/>
      <c r="H154" s="1"/>
    </row>
    <row r="155" spans="2:8" x14ac:dyDescent="0.3">
      <c r="B155" s="1"/>
      <c r="C155" s="1"/>
      <c r="D155" s="1"/>
      <c r="E155" s="1"/>
      <c r="F155" s="1"/>
      <c r="G155" s="1"/>
      <c r="H155" s="1"/>
    </row>
    <row r="156" spans="2:8" x14ac:dyDescent="0.3">
      <c r="B156" s="1"/>
      <c r="C156" s="1"/>
      <c r="D156" s="1"/>
      <c r="E156" s="1"/>
      <c r="F156" s="1"/>
      <c r="G156" s="1"/>
      <c r="H156" s="1"/>
    </row>
    <row r="157" spans="2:8" x14ac:dyDescent="0.3">
      <c r="B157" s="1"/>
      <c r="C157" s="1"/>
      <c r="D157" s="1"/>
      <c r="E157" s="1"/>
      <c r="F157" s="1"/>
      <c r="G157" s="1"/>
      <c r="H157" s="1"/>
    </row>
    <row r="158" spans="2:8" x14ac:dyDescent="0.3">
      <c r="B158" s="1"/>
      <c r="C158" s="1"/>
      <c r="D158" s="1"/>
      <c r="E158" s="1"/>
      <c r="F158" s="1"/>
      <c r="G158" s="1"/>
      <c r="H158" s="1"/>
    </row>
    <row r="159" spans="2:8" x14ac:dyDescent="0.3">
      <c r="B159" s="1"/>
      <c r="C159" s="1"/>
      <c r="D159" s="1"/>
      <c r="E159" s="1"/>
      <c r="F159" s="1"/>
      <c r="G159" s="1"/>
      <c r="H159" s="1"/>
    </row>
    <row r="160" spans="2:8" x14ac:dyDescent="0.3">
      <c r="B160" s="1"/>
      <c r="C160" s="1"/>
      <c r="D160" s="1"/>
      <c r="E160" s="1"/>
      <c r="F160" s="1"/>
      <c r="G160" s="1"/>
      <c r="H160" s="1"/>
    </row>
    <row r="161" spans="2:8" x14ac:dyDescent="0.3">
      <c r="B161" s="1"/>
      <c r="C161" s="1"/>
      <c r="D161" s="1"/>
      <c r="E161" s="1"/>
      <c r="F161" s="1"/>
      <c r="G161" s="1"/>
      <c r="H161" s="1"/>
    </row>
    <row r="162" spans="2:8" x14ac:dyDescent="0.3">
      <c r="B162" s="1"/>
      <c r="C162" s="1"/>
      <c r="D162" s="1"/>
      <c r="E162" s="1"/>
      <c r="F162" s="1"/>
      <c r="G162" s="1"/>
      <c r="H162" s="1"/>
    </row>
    <row r="163" spans="2:8" x14ac:dyDescent="0.3">
      <c r="B163" s="1"/>
      <c r="C163" s="1"/>
      <c r="D163" s="1"/>
      <c r="E163" s="1"/>
      <c r="F163" s="1"/>
      <c r="G163" s="1"/>
      <c r="H163" s="1"/>
    </row>
    <row r="164" spans="2:8" x14ac:dyDescent="0.3">
      <c r="B164" s="1"/>
      <c r="C164" s="1"/>
      <c r="D164" s="1"/>
      <c r="E164" s="1"/>
      <c r="F164" s="1"/>
      <c r="G164" s="1"/>
      <c r="H164" s="1"/>
    </row>
    <row r="165" spans="2:8" x14ac:dyDescent="0.3">
      <c r="B165" s="1"/>
      <c r="C165" s="1"/>
      <c r="D165" s="1"/>
      <c r="E165" s="1"/>
      <c r="F165" s="1"/>
      <c r="G165" s="1"/>
      <c r="H165" s="1"/>
    </row>
    <row r="166" spans="2:8" x14ac:dyDescent="0.3">
      <c r="B166" s="1"/>
      <c r="C166" s="1"/>
      <c r="D166" s="1"/>
      <c r="E166" s="1"/>
      <c r="F166" s="1"/>
      <c r="G166" s="1"/>
      <c r="H166" s="1"/>
    </row>
    <row r="167" spans="2:8" x14ac:dyDescent="0.3">
      <c r="B167" s="1"/>
      <c r="C167" s="1"/>
      <c r="D167" s="1"/>
      <c r="E167" s="1"/>
      <c r="F167" s="1"/>
      <c r="G167" s="1"/>
      <c r="H167" s="1"/>
    </row>
    <row r="168" spans="2:8" x14ac:dyDescent="0.3">
      <c r="B168" s="1"/>
      <c r="C168" s="1"/>
      <c r="D168" s="1"/>
      <c r="E168" s="1"/>
      <c r="F168" s="1"/>
      <c r="G168" s="1"/>
      <c r="H168" s="1"/>
    </row>
    <row r="169" spans="2:8" x14ac:dyDescent="0.3">
      <c r="B169" s="1"/>
      <c r="C169" s="1"/>
      <c r="D169" s="1"/>
      <c r="E169" s="1"/>
      <c r="F169" s="1"/>
      <c r="G169" s="1"/>
      <c r="H169" s="1"/>
    </row>
    <row r="170" spans="2:8" x14ac:dyDescent="0.3">
      <c r="B170" s="1"/>
      <c r="C170" s="1"/>
      <c r="D170" s="1"/>
      <c r="E170" s="1"/>
      <c r="F170" s="1"/>
      <c r="G170" s="1"/>
      <c r="H170" s="1"/>
    </row>
    <row r="171" spans="2:8" x14ac:dyDescent="0.3">
      <c r="B171" s="1"/>
      <c r="C171" s="1"/>
      <c r="D171" s="1"/>
      <c r="E171" s="1"/>
      <c r="F171" s="1"/>
      <c r="G171" s="1"/>
      <c r="H171" s="1"/>
    </row>
    <row r="172" spans="2:8" x14ac:dyDescent="0.3">
      <c r="B172" s="1"/>
      <c r="C172" s="1"/>
      <c r="D172" s="1"/>
      <c r="E172" s="1"/>
      <c r="F172" s="1"/>
      <c r="G172" s="1"/>
      <c r="H172" s="1"/>
    </row>
    <row r="173" spans="2:8" x14ac:dyDescent="0.3">
      <c r="B173" s="1"/>
      <c r="C173" s="1"/>
      <c r="D173" s="1"/>
      <c r="E173" s="1"/>
      <c r="F173" s="1"/>
      <c r="G173" s="1"/>
      <c r="H173" s="1"/>
    </row>
    <row r="174" spans="2:8" x14ac:dyDescent="0.3">
      <c r="B174" s="1"/>
      <c r="C174" s="1"/>
      <c r="D174" s="1"/>
      <c r="E174" s="1"/>
      <c r="F174" s="1"/>
      <c r="G174" s="1"/>
      <c r="H174" s="1"/>
    </row>
    <row r="175" spans="2:8" x14ac:dyDescent="0.3">
      <c r="B175" s="1"/>
      <c r="C175" s="1"/>
      <c r="D175" s="1"/>
      <c r="E175" s="1"/>
      <c r="F175" s="1"/>
      <c r="G175" s="1"/>
      <c r="H175" s="1"/>
    </row>
    <row r="176" spans="2:8" x14ac:dyDescent="0.3">
      <c r="B176" s="1"/>
      <c r="C176" s="1"/>
      <c r="D176" s="1"/>
      <c r="E176" s="1"/>
      <c r="F176" s="1"/>
      <c r="G176" s="1"/>
      <c r="H176" s="1"/>
    </row>
    <row r="177" spans="2:8" x14ac:dyDescent="0.3">
      <c r="B177" s="1"/>
      <c r="C177" s="1"/>
      <c r="D177" s="1"/>
      <c r="E177" s="1"/>
      <c r="F177" s="1"/>
      <c r="G177" s="1"/>
      <c r="H177" s="1"/>
    </row>
    <row r="178" spans="2:8" x14ac:dyDescent="0.3">
      <c r="B178" s="1"/>
      <c r="C178" s="1"/>
      <c r="D178" s="1"/>
      <c r="E178" s="1"/>
      <c r="F178" s="1"/>
      <c r="G178" s="1"/>
      <c r="H178" s="1"/>
    </row>
    <row r="179" spans="2:8" x14ac:dyDescent="0.3">
      <c r="B179" s="1"/>
      <c r="C179" s="1"/>
      <c r="D179" s="1"/>
      <c r="E179" s="1"/>
      <c r="F179" s="1"/>
      <c r="G179" s="1"/>
      <c r="H179" s="1"/>
    </row>
    <row r="180" spans="2:8" x14ac:dyDescent="0.3">
      <c r="B180" s="1"/>
      <c r="C180" s="1"/>
      <c r="D180" s="1"/>
      <c r="E180" s="1"/>
      <c r="F180" s="1"/>
      <c r="G180" s="1"/>
      <c r="H180" s="1"/>
    </row>
    <row r="181" spans="2:8" x14ac:dyDescent="0.3">
      <c r="B181" s="1"/>
      <c r="C181" s="1"/>
      <c r="D181" s="1"/>
      <c r="E181" s="1"/>
      <c r="F181" s="1"/>
      <c r="G181" s="1"/>
      <c r="H181" s="1"/>
    </row>
    <row r="182" spans="2:8" x14ac:dyDescent="0.3">
      <c r="B182" s="1"/>
    </row>
    <row r="183" spans="2:8" x14ac:dyDescent="0.3">
      <c r="B183" s="1"/>
    </row>
  </sheetData>
  <sheetProtection sheet="1" objects="1" scenarios="1" formatCells="0" formatColumns="0" formatRows="0" insertHyperlinks="0" selectLockedCells="1" sort="0" autoFilter="0"/>
  <conditionalFormatting sqref="E17:E26">
    <cfRule type="iconSet" priority="16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31:E40">
    <cfRule type="iconSet" priority="14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45:E54">
    <cfRule type="iconSet" priority="11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59:E68">
    <cfRule type="iconSet" priority="8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73:E82">
    <cfRule type="iconSet" priority="5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E87:E96">
    <cfRule type="iconSet" priority="2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F17:F26">
    <cfRule type="iconSet" priority="18">
      <iconSet iconSet="3ArrowsGray" showValue="0" reverse="1">
        <cfvo type="percent" val="0"/>
        <cfvo type="num" val="2"/>
        <cfvo type="num" val="3"/>
      </iconSet>
    </cfRule>
  </conditionalFormatting>
  <conditionalFormatting sqref="F31:F40">
    <cfRule type="iconSet" priority="15">
      <iconSet iconSet="3ArrowsGray" showValue="0" reverse="1">
        <cfvo type="percent" val="0"/>
        <cfvo type="num" val="2"/>
        <cfvo type="num" val="3"/>
      </iconSet>
    </cfRule>
  </conditionalFormatting>
  <conditionalFormatting sqref="F45:F54">
    <cfRule type="iconSet" priority="12">
      <iconSet iconSet="3ArrowsGray" showValue="0" reverse="1">
        <cfvo type="percent" val="0"/>
        <cfvo type="num" val="2"/>
        <cfvo type="num" val="3"/>
      </iconSet>
    </cfRule>
  </conditionalFormatting>
  <conditionalFormatting sqref="F59:F68">
    <cfRule type="iconSet" priority="9">
      <iconSet iconSet="3ArrowsGray" showValue="0" reverse="1">
        <cfvo type="percent" val="0"/>
        <cfvo type="num" val="2"/>
        <cfvo type="num" val="3"/>
      </iconSet>
    </cfRule>
  </conditionalFormatting>
  <conditionalFormatting sqref="F73:F82">
    <cfRule type="iconSet" priority="6">
      <iconSet iconSet="3ArrowsGray" showValue="0" reverse="1">
        <cfvo type="percent" val="0"/>
        <cfvo type="num" val="2"/>
        <cfvo type="num" val="3"/>
      </iconSet>
    </cfRule>
  </conditionalFormatting>
  <conditionalFormatting sqref="F87:F96">
    <cfRule type="iconSet" priority="3">
      <iconSet iconSet="3ArrowsGray" showValue="0" reverse="1">
        <cfvo type="percent" val="0"/>
        <cfvo type="num" val="2"/>
        <cfvo type="num" val="3"/>
      </iconSet>
    </cfRule>
  </conditionalFormatting>
  <conditionalFormatting sqref="H17:H26">
    <cfRule type="iconSet" priority="17">
      <iconSet iconSet="3Symbols2" showValue="0" reverse="1">
        <cfvo type="percent" val="0"/>
        <cfvo type="num" val="2"/>
        <cfvo type="num" val="3"/>
      </iconSet>
    </cfRule>
  </conditionalFormatting>
  <conditionalFormatting sqref="H31:H40">
    <cfRule type="iconSet" priority="13">
      <iconSet iconSet="3Symbols2" showValue="0" reverse="1">
        <cfvo type="percent" val="0"/>
        <cfvo type="num" val="2"/>
        <cfvo type="num" val="3"/>
      </iconSet>
    </cfRule>
  </conditionalFormatting>
  <conditionalFormatting sqref="H45:H54">
    <cfRule type="iconSet" priority="10">
      <iconSet iconSet="3Symbols2" showValue="0" reverse="1">
        <cfvo type="percent" val="0"/>
        <cfvo type="num" val="2"/>
        <cfvo type="num" val="3"/>
      </iconSet>
    </cfRule>
  </conditionalFormatting>
  <conditionalFormatting sqref="H59:H68">
    <cfRule type="iconSet" priority="7">
      <iconSet iconSet="3Symbols2" showValue="0" reverse="1">
        <cfvo type="percent" val="0"/>
        <cfvo type="num" val="2"/>
        <cfvo type="num" val="3"/>
      </iconSet>
    </cfRule>
  </conditionalFormatting>
  <conditionalFormatting sqref="H73:H82">
    <cfRule type="iconSet" priority="4">
      <iconSet iconSet="3Symbols2" showValue="0" reverse="1">
        <cfvo type="percent" val="0"/>
        <cfvo type="num" val="2"/>
        <cfvo type="num" val="3"/>
      </iconSet>
    </cfRule>
  </conditionalFormatting>
  <conditionalFormatting sqref="H87:H96">
    <cfRule type="iconSet" priority="1">
      <iconSet iconSet="3Symbols2" showValue="0" reverse="1">
        <cfvo type="percent" val="0"/>
        <cfvo type="num" val="2"/>
        <cfvo type="num" val="3"/>
      </iconSet>
    </cfRule>
  </conditionalFormatting>
  <dataValidations count="2">
    <dataValidation type="list" showInputMessage="1" showErrorMessage="1" sqref="F59:F68 F73:F82 H87:H96 F45:F54 F31:F40 F17:F26 H17:H26 H31:H40 H45:H54 H59:H68 H73:H82 F87:F96" xr:uid="{00000000-0002-0000-0C00-000000000000}">
      <formula1>"1,2,3"</formula1>
    </dataValidation>
    <dataValidation type="list" showInputMessage="1" showErrorMessage="1" sqref="E73:E82 E17:E26 E31:E40 E45:E54 E59:E68 E87:E96" xr:uid="{00000000-0002-0000-0C00-000001000000}">
      <formula1>"0,1,2,3,4"</formula1>
    </dataValidation>
  </dataValidations>
  <printOptions horizontalCentered="1" vertic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Tabelle11">
    <tabColor theme="5" tint="0.59999389629810485"/>
    <pageSetUpPr fitToPage="1"/>
  </sheetPr>
  <dimension ref="A1:K40"/>
  <sheetViews>
    <sheetView showGridLines="0" zoomScaleNormal="100" workbookViewId="0">
      <pane ySplit="1" topLeftCell="A2" activePane="bottomLeft" state="frozen"/>
      <selection activeCell="K1" sqref="K1"/>
      <selection pane="bottomLeft" activeCell="E3" sqref="E3"/>
    </sheetView>
  </sheetViews>
  <sheetFormatPr baseColWidth="10" defaultColWidth="11.44140625" defaultRowHeight="14.4" x14ac:dyDescent="0.3"/>
  <cols>
    <col min="1" max="1" width="7" style="271" customWidth="1"/>
    <col min="2" max="2" width="50.88671875" style="270" customWidth="1"/>
    <col min="3" max="3" width="72.33203125" style="270" customWidth="1"/>
    <col min="4" max="4" width="2.109375" style="270" customWidth="1"/>
    <col min="5" max="5" width="55.5546875" style="270" customWidth="1"/>
    <col min="6" max="6" width="4.109375" style="270" customWidth="1"/>
    <col min="7" max="16" width="3" style="270" customWidth="1"/>
    <col min="17" max="16384" width="11.44140625" style="270"/>
  </cols>
  <sheetData>
    <row r="1" spans="1:11" ht="44.4" customHeight="1" x14ac:dyDescent="0.3">
      <c r="A1" s="266"/>
      <c r="B1" s="267" t="str">
        <f ca="1">' '!A505</f>
        <v>C O N S U M E R   T R E N D   C A N V A S</v>
      </c>
      <c r="C1" s="267"/>
      <c r="D1" s="267"/>
      <c r="E1" s="268"/>
      <c r="F1" s="269"/>
      <c r="G1" s="269"/>
      <c r="H1" s="269"/>
      <c r="I1" s="269"/>
      <c r="J1" s="269"/>
      <c r="K1" s="269"/>
    </row>
    <row r="2" spans="1:11" ht="7.5" customHeight="1" x14ac:dyDescent="0.3">
      <c r="B2" s="269"/>
      <c r="C2" s="269"/>
      <c r="D2" s="269"/>
      <c r="E2" s="269"/>
      <c r="F2" s="273"/>
    </row>
    <row r="3" spans="1:11" s="271" customFormat="1" x14ac:dyDescent="0.3">
      <c r="A3" s="274"/>
      <c r="B3" s="275"/>
      <c r="C3" s="275" t="str">
        <f ca="1">' '!A513</f>
        <v>Trend:</v>
      </c>
      <c r="D3" s="275"/>
      <c r="E3" s="278"/>
    </row>
    <row r="4" spans="1:11" ht="16.5" customHeight="1" x14ac:dyDescent="0.3"/>
    <row r="5" spans="1:11" ht="13.5" customHeight="1" x14ac:dyDescent="0.3"/>
    <row r="6" spans="1:11" ht="21" x14ac:dyDescent="0.4">
      <c r="B6" s="298" t="str">
        <f ca="1">' '!A506</f>
        <v>Basic Needs</v>
      </c>
      <c r="C6" s="298" t="str">
        <f ca="1">' '!A507</f>
        <v>Drivers of Change</v>
      </c>
      <c r="D6" s="290"/>
      <c r="E6" s="298" t="str">
        <f ca="1">' '!A510</f>
        <v>Innovation Potential</v>
      </c>
    </row>
    <row r="7" spans="1:11" x14ac:dyDescent="0.3">
      <c r="B7" s="280"/>
      <c r="C7" s="281"/>
      <c r="D7" s="297"/>
      <c r="E7" s="282"/>
    </row>
    <row r="8" spans="1:11" x14ac:dyDescent="0.3">
      <c r="B8" s="283"/>
      <c r="C8" s="284"/>
      <c r="D8" s="284"/>
      <c r="E8" s="285"/>
    </row>
    <row r="9" spans="1:11" x14ac:dyDescent="0.3">
      <c r="B9" s="283"/>
      <c r="C9" s="284"/>
      <c r="D9" s="284"/>
      <c r="E9" s="285"/>
    </row>
    <row r="10" spans="1:11" x14ac:dyDescent="0.3">
      <c r="B10" s="286"/>
      <c r="C10" s="284"/>
      <c r="D10" s="284"/>
      <c r="E10" s="287"/>
    </row>
    <row r="11" spans="1:11" x14ac:dyDescent="0.3">
      <c r="B11" s="288"/>
      <c r="C11" s="289"/>
      <c r="D11" s="290"/>
      <c r="E11" s="287"/>
    </row>
    <row r="12" spans="1:11" x14ac:dyDescent="0.3">
      <c r="B12" s="288"/>
      <c r="C12" s="289"/>
      <c r="D12" s="290"/>
      <c r="E12" s="287"/>
    </row>
    <row r="13" spans="1:11" x14ac:dyDescent="0.3">
      <c r="B13" s="288"/>
      <c r="C13" s="289"/>
      <c r="D13" s="290"/>
      <c r="E13" s="287"/>
    </row>
    <row r="14" spans="1:11" x14ac:dyDescent="0.3">
      <c r="B14" s="288"/>
      <c r="C14" s="289"/>
      <c r="D14" s="290"/>
      <c r="E14" s="287"/>
    </row>
    <row r="15" spans="1:11" x14ac:dyDescent="0.3">
      <c r="B15" s="288"/>
      <c r="C15" s="289"/>
      <c r="D15" s="290"/>
      <c r="E15" s="287"/>
    </row>
    <row r="16" spans="1:11" x14ac:dyDescent="0.3">
      <c r="B16" s="288"/>
      <c r="C16" s="289"/>
      <c r="D16" s="290"/>
      <c r="E16" s="287"/>
    </row>
    <row r="17" spans="2:5" x14ac:dyDescent="0.3">
      <c r="B17" s="288"/>
      <c r="C17" s="289"/>
      <c r="D17" s="290"/>
      <c r="E17" s="287"/>
    </row>
    <row r="18" spans="2:5" x14ac:dyDescent="0.3">
      <c r="B18" s="288"/>
      <c r="C18" s="289"/>
      <c r="D18" s="290"/>
      <c r="E18" s="287"/>
    </row>
    <row r="19" spans="2:5" x14ac:dyDescent="0.3">
      <c r="B19" s="288"/>
      <c r="C19" s="289"/>
      <c r="D19" s="290"/>
      <c r="E19" s="287"/>
    </row>
    <row r="20" spans="2:5" x14ac:dyDescent="0.3">
      <c r="B20" s="288"/>
      <c r="C20" s="289"/>
      <c r="D20" s="290"/>
      <c r="E20" s="287"/>
    </row>
    <row r="21" spans="2:5" x14ac:dyDescent="0.3">
      <c r="B21" s="288"/>
      <c r="C21" s="289"/>
      <c r="D21" s="290"/>
      <c r="E21" s="287"/>
    </row>
    <row r="22" spans="2:5" x14ac:dyDescent="0.3">
      <c r="B22" s="288"/>
      <c r="C22" s="281"/>
      <c r="D22" s="290"/>
      <c r="E22" s="287"/>
    </row>
    <row r="23" spans="2:5" ht="21" x14ac:dyDescent="0.4">
      <c r="B23" s="299" t="str">
        <f ca="1">' '!A508</f>
        <v>Emerging Consumer Expectations</v>
      </c>
      <c r="C23" s="299" t="str">
        <f ca="1">' '!A509</f>
        <v>Inspiration</v>
      </c>
      <c r="D23" s="290"/>
      <c r="E23" s="300" t="str">
        <f ca="1">' '!A511</f>
        <v>Who</v>
      </c>
    </row>
    <row r="24" spans="2:5" x14ac:dyDescent="0.3">
      <c r="B24" s="294"/>
      <c r="C24" s="281"/>
      <c r="D24" s="290"/>
      <c r="E24" s="287"/>
    </row>
    <row r="25" spans="2:5" ht="15" customHeight="1" x14ac:dyDescent="0.3">
      <c r="B25" s="294"/>
      <c r="C25" s="295"/>
      <c r="D25" s="290"/>
      <c r="E25" s="287"/>
    </row>
    <row r="26" spans="2:5" x14ac:dyDescent="0.3">
      <c r="B26" s="294"/>
      <c r="C26" s="295"/>
      <c r="D26" s="290"/>
      <c r="E26" s="287"/>
    </row>
    <row r="27" spans="2:5" x14ac:dyDescent="0.3">
      <c r="B27" s="294"/>
      <c r="C27" s="295"/>
      <c r="D27" s="290"/>
      <c r="E27" s="287"/>
    </row>
    <row r="28" spans="2:5" x14ac:dyDescent="0.3">
      <c r="B28" s="294"/>
      <c r="C28" s="289"/>
      <c r="D28" s="290"/>
      <c r="E28" s="287"/>
    </row>
    <row r="29" spans="2:5" x14ac:dyDescent="0.3">
      <c r="B29" s="294"/>
      <c r="C29" s="289"/>
      <c r="D29" s="290"/>
      <c r="E29" s="287"/>
    </row>
    <row r="30" spans="2:5" x14ac:dyDescent="0.3">
      <c r="B30" s="294"/>
      <c r="C30" s="289"/>
      <c r="D30" s="290"/>
      <c r="E30" s="287"/>
    </row>
    <row r="31" spans="2:5" x14ac:dyDescent="0.3">
      <c r="B31" s="294"/>
      <c r="C31" s="289"/>
      <c r="D31" s="290"/>
      <c r="E31" s="287"/>
    </row>
    <row r="32" spans="2:5" x14ac:dyDescent="0.3">
      <c r="B32" s="294"/>
      <c r="C32" s="289"/>
      <c r="D32" s="290"/>
      <c r="E32" s="287"/>
    </row>
    <row r="33" spans="2:5" x14ac:dyDescent="0.3">
      <c r="B33" s="294"/>
      <c r="C33" s="289"/>
      <c r="D33" s="290"/>
      <c r="E33" s="287"/>
    </row>
    <row r="34" spans="2:5" x14ac:dyDescent="0.3">
      <c r="B34" s="294"/>
      <c r="C34" s="289"/>
      <c r="D34" s="290"/>
      <c r="E34" s="287"/>
    </row>
    <row r="35" spans="2:5" x14ac:dyDescent="0.3">
      <c r="B35" s="294"/>
      <c r="C35" s="289"/>
      <c r="D35" s="290"/>
      <c r="E35" s="287"/>
    </row>
    <row r="36" spans="2:5" x14ac:dyDescent="0.3">
      <c r="B36" s="294"/>
      <c r="C36" s="289"/>
      <c r="D36" s="290"/>
      <c r="E36" s="287"/>
    </row>
    <row r="37" spans="2:5" x14ac:dyDescent="0.3">
      <c r="B37" s="294"/>
      <c r="C37" s="289"/>
      <c r="D37" s="290"/>
      <c r="E37" s="282"/>
    </row>
    <row r="38" spans="2:5" x14ac:dyDescent="0.3">
      <c r="B38" s="294"/>
      <c r="C38" s="289"/>
      <c r="D38" s="297"/>
      <c r="E38" s="282"/>
    </row>
    <row r="39" spans="2:5" x14ac:dyDescent="0.3">
      <c r="B39" s="1025"/>
      <c r="C39" s="1026"/>
      <c r="D39" s="1027"/>
      <c r="E39" s="296"/>
    </row>
    <row r="40" spans="2:5" x14ac:dyDescent="0.3">
      <c r="B40" s="335" t="s">
        <v>1776</v>
      </c>
      <c r="C40"/>
    </row>
  </sheetData>
  <sheetProtection sheet="1" objects="1" scenarios="1" formatCells="0" formatColumns="0" formatRows="0" insertHyperlinks="0" selectLockedCells="1" sort="0" autoFilter="0"/>
  <mergeCells count="1">
    <mergeCell ref="B39:D39"/>
  </mergeCells>
  <printOptions horizontalCentered="1" verticalCentered="1"/>
  <pageMargins left="0.23622047244094491" right="0.23622047244094491" top="0.19685039370078741" bottom="0.19685039370078741" header="0.19685039370078741" footer="0.19685039370078741"/>
  <pageSetup paperSize="8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Tabelle21">
    <tabColor theme="5" tint="0.59999389629810485"/>
    <pageSetUpPr fitToPage="1"/>
  </sheetPr>
  <dimension ref="A1:Q88"/>
  <sheetViews>
    <sheetView showGridLines="0" zoomScaleNormal="100" workbookViewId="0">
      <pane ySplit="1" topLeftCell="A2" activePane="bottomLeft" state="frozen"/>
      <selection activeCell="K1" sqref="K1"/>
      <selection pane="bottomLeft" activeCell="E6" sqref="E6"/>
    </sheetView>
  </sheetViews>
  <sheetFormatPr baseColWidth="10" defaultColWidth="12.5546875" defaultRowHeight="14.4" x14ac:dyDescent="0.3"/>
  <cols>
    <col min="1" max="1" width="7" style="7" customWidth="1"/>
    <col min="2" max="2" width="4.109375" style="21" customWidth="1"/>
    <col min="3" max="3" width="4.44140625" style="21" customWidth="1"/>
    <col min="4" max="4" width="41.5546875" style="21" customWidth="1"/>
    <col min="5" max="5" width="4.44140625" style="21" customWidth="1"/>
    <col min="6" max="6" width="11.88671875" style="21" bestFit="1" customWidth="1"/>
    <col min="7" max="7" width="27.33203125" style="21" customWidth="1"/>
    <col min="8" max="8" width="32.109375" style="21" customWidth="1"/>
    <col min="9" max="9" width="24" style="21" customWidth="1"/>
    <col min="10" max="10" width="9.33203125" style="21" customWidth="1"/>
    <col min="11" max="11" width="7" style="21" customWidth="1"/>
    <col min="12" max="20" width="4" style="21" customWidth="1"/>
    <col min="21" max="16384" width="12.5546875" style="21"/>
  </cols>
  <sheetData>
    <row r="1" spans="1:17" s="5" customFormat="1" ht="44.4" customHeight="1" x14ac:dyDescent="0.3">
      <c r="A1" s="2"/>
      <c r="B1" s="3" t="str">
        <f ca="1">' '!A65</f>
        <v>P O T E N T I E L   D ' I N N O V A T I O N</v>
      </c>
      <c r="C1" s="3"/>
      <c r="D1" s="3"/>
      <c r="E1" s="3"/>
      <c r="F1" s="3"/>
      <c r="G1" s="3"/>
      <c r="H1" s="3"/>
      <c r="I1" s="260"/>
      <c r="J1" s="26"/>
      <c r="K1" s="26"/>
      <c r="L1" s="26"/>
    </row>
    <row r="2" spans="1:17" s="5" customFormat="1" ht="16.5" customHeight="1" x14ac:dyDescent="0.3">
      <c r="A2" s="7"/>
      <c r="B2" s="14"/>
      <c r="C2" s="26"/>
      <c r="D2" s="25"/>
      <c r="E2" s="26"/>
      <c r="F2" s="26"/>
      <c r="G2" s="26"/>
      <c r="H2" s="26"/>
      <c r="I2" s="26"/>
      <c r="J2" s="26"/>
      <c r="K2" s="26"/>
      <c r="L2" s="26"/>
    </row>
    <row r="3" spans="1:17" s="7" customFormat="1" ht="23.25" customHeight="1" x14ac:dyDescent="0.4">
      <c r="A3" s="15"/>
      <c r="B3" s="39" t="s">
        <v>479</v>
      </c>
      <c r="C3" s="40"/>
      <c r="D3" s="41"/>
      <c r="E3" s="34"/>
      <c r="F3" s="1028" t="str">
        <f ca="1">' '!A68</f>
        <v>Potentiel</v>
      </c>
      <c r="G3" s="1028"/>
      <c r="H3" s="42"/>
    </row>
    <row r="5" spans="1:17" ht="18" customHeight="1" x14ac:dyDescent="0.4">
      <c r="B5" s="43"/>
      <c r="C5" s="43" t="str">
        <f ca="1">' '!A69</f>
        <v>No.</v>
      </c>
      <c r="D5" s="44" t="str">
        <f ca="1">' '!A70</f>
        <v>Facteur clé</v>
      </c>
      <c r="E5" s="45"/>
      <c r="F5" s="43"/>
      <c r="G5" s="44"/>
      <c r="H5" s="44" t="str">
        <f ca="1">' '!A71</f>
        <v>Innovations possibles</v>
      </c>
      <c r="I5" s="44"/>
    </row>
    <row r="6" spans="1:17" ht="18" customHeight="1" x14ac:dyDescent="0.35">
      <c r="B6" s="1029" t="str">
        <f ca="1">' '!A102</f>
        <v>Distribution</v>
      </c>
      <c r="C6" s="572">
        <v>1</v>
      </c>
      <c r="D6" s="573" t="str">
        <f ca="1">' '!A72</f>
        <v>Produit, assortiment</v>
      </c>
      <c r="E6" s="580">
        <v>1</v>
      </c>
      <c r="F6" s="46"/>
      <c r="G6" s="240"/>
      <c r="H6" s="1030"/>
      <c r="I6" s="1031"/>
    </row>
    <row r="7" spans="1:17" ht="17.25" customHeight="1" x14ac:dyDescent="0.35">
      <c r="B7" s="1029"/>
      <c r="C7" s="574">
        <v>2</v>
      </c>
      <c r="D7" s="575" t="str">
        <f ca="1">' '!A73</f>
        <v>Prix, conditions</v>
      </c>
      <c r="E7" s="581">
        <v>3</v>
      </c>
      <c r="F7" s="48"/>
      <c r="G7" s="49"/>
      <c r="H7" s="1032"/>
      <c r="I7" s="1033"/>
      <c r="Q7" s="7"/>
    </row>
    <row r="8" spans="1:17" ht="18" customHeight="1" x14ac:dyDescent="0.35">
      <c r="B8" s="1029"/>
      <c r="C8" s="576">
        <v>3</v>
      </c>
      <c r="D8" s="577" t="str">
        <f ca="1">' '!A74</f>
        <v>Part du marché, croissance, structure</v>
      </c>
      <c r="E8" s="582">
        <v>2</v>
      </c>
      <c r="F8" s="46"/>
      <c r="G8" s="47"/>
      <c r="H8" s="1034"/>
      <c r="I8" s="1035"/>
      <c r="Q8" s="7"/>
    </row>
    <row r="9" spans="1:17" ht="18" customHeight="1" x14ac:dyDescent="0.35">
      <c r="B9" s="1029"/>
      <c r="C9" s="574">
        <v>4</v>
      </c>
      <c r="D9" s="575" t="str">
        <f ca="1">' '!A75</f>
        <v>Nom de marque, image de marque</v>
      </c>
      <c r="E9" s="582">
        <v>0</v>
      </c>
      <c r="F9" s="48"/>
      <c r="G9" s="49"/>
      <c r="H9" s="1032"/>
      <c r="I9" s="1033"/>
      <c r="Q9" s="7"/>
    </row>
    <row r="10" spans="1:17" ht="18" customHeight="1" x14ac:dyDescent="0.35">
      <c r="B10" s="1029"/>
      <c r="C10" s="576">
        <v>5</v>
      </c>
      <c r="D10" s="577" t="str">
        <f ca="1">' '!A76</f>
        <v>Organisation de la distribution</v>
      </c>
      <c r="E10" s="582">
        <v>0</v>
      </c>
      <c r="F10" s="46"/>
      <c r="G10" s="47"/>
      <c r="H10" s="1034"/>
      <c r="I10" s="1035"/>
      <c r="Q10" s="7"/>
    </row>
    <row r="11" spans="1:17" ht="19.5" customHeight="1" x14ac:dyDescent="0.35">
      <c r="B11" s="1029"/>
      <c r="C11" s="574">
        <v>6</v>
      </c>
      <c r="D11" s="575" t="str">
        <f ca="1">' '!A77</f>
        <v>Service clients</v>
      </c>
      <c r="E11" s="582">
        <v>0</v>
      </c>
      <c r="F11" s="48"/>
      <c r="G11" s="49"/>
      <c r="H11" s="1032"/>
      <c r="I11" s="1033"/>
      <c r="Q11" s="7"/>
    </row>
    <row r="12" spans="1:17" ht="18" customHeight="1" x14ac:dyDescent="0.35">
      <c r="B12" s="1029"/>
      <c r="C12" s="576">
        <v>7</v>
      </c>
      <c r="D12" s="577" t="str">
        <f ca="1">' '!A78</f>
        <v>Délais de livraison, respect des délais, fiabilité</v>
      </c>
      <c r="E12" s="582">
        <v>0</v>
      </c>
      <c r="F12" s="46"/>
      <c r="G12" s="47"/>
      <c r="H12" s="1034"/>
      <c r="I12" s="1035"/>
      <c r="Q12" s="7"/>
    </row>
    <row r="13" spans="1:17" ht="18" customHeight="1" x14ac:dyDescent="0.35">
      <c r="B13" s="1036" t="str">
        <f ca="1">' '!A103</f>
        <v>Production</v>
      </c>
      <c r="C13" s="574">
        <v>8</v>
      </c>
      <c r="D13" s="575" t="str">
        <f ca="1">' '!A79</f>
        <v>Qualité</v>
      </c>
      <c r="E13" s="582">
        <v>0</v>
      </c>
      <c r="F13" s="48"/>
      <c r="G13" s="49"/>
      <c r="H13" s="1032"/>
      <c r="I13" s="1033"/>
      <c r="Q13" s="7"/>
    </row>
    <row r="14" spans="1:17" ht="18" customHeight="1" x14ac:dyDescent="0.35">
      <c r="B14" s="1036"/>
      <c r="C14" s="576">
        <v>9</v>
      </c>
      <c r="D14" s="577" t="str">
        <f ca="1">' '!A80</f>
        <v>Niveau de coût</v>
      </c>
      <c r="E14" s="582">
        <v>0</v>
      </c>
      <c r="F14" s="46"/>
      <c r="G14" s="47"/>
      <c r="H14" s="1034"/>
      <c r="I14" s="1035"/>
      <c r="Q14" s="7"/>
    </row>
    <row r="15" spans="1:17" ht="18" customHeight="1" x14ac:dyDescent="0.35">
      <c r="B15" s="1036"/>
      <c r="C15" s="574">
        <v>10</v>
      </c>
      <c r="D15" s="575" t="str">
        <f ca="1">' '!A81</f>
        <v>Modernité de l'équipement</v>
      </c>
      <c r="E15" s="582">
        <v>0</v>
      </c>
      <c r="F15" s="48"/>
      <c r="G15" s="49"/>
      <c r="H15" s="1032"/>
      <c r="I15" s="1033"/>
      <c r="Q15" s="7"/>
    </row>
    <row r="16" spans="1:17" ht="18" customHeight="1" x14ac:dyDescent="0.35">
      <c r="B16" s="1036"/>
      <c r="C16" s="576">
        <v>11</v>
      </c>
      <c r="D16" s="577" t="str">
        <f ca="1">' '!A82</f>
        <v>Productivité</v>
      </c>
      <c r="E16" s="582">
        <v>0</v>
      </c>
      <c r="F16" s="46"/>
      <c r="G16" s="47"/>
      <c r="H16" s="1034"/>
      <c r="I16" s="1035"/>
      <c r="Q16" s="7"/>
    </row>
    <row r="17" spans="2:17" ht="18" customHeight="1" x14ac:dyDescent="0.35">
      <c r="B17" s="1036"/>
      <c r="C17" s="574">
        <v>12</v>
      </c>
      <c r="D17" s="575" t="str">
        <f ca="1">' '!A83</f>
        <v>Pollution, consommation d'énergie</v>
      </c>
      <c r="E17" s="582">
        <v>0</v>
      </c>
      <c r="F17" s="48"/>
      <c r="G17" s="49"/>
      <c r="H17" s="1032"/>
      <c r="I17" s="1033"/>
      <c r="Q17" s="7"/>
    </row>
    <row r="18" spans="2:17" ht="20.25" customHeight="1" x14ac:dyDescent="0.35">
      <c r="B18" s="1036"/>
      <c r="C18" s="576">
        <v>13</v>
      </c>
      <c r="D18" s="577" t="str">
        <f ca="1">' '!A84</f>
        <v>Emplacement, logistique</v>
      </c>
      <c r="E18" s="582">
        <v>0</v>
      </c>
      <c r="F18" s="46"/>
      <c r="G18" s="47"/>
      <c r="H18" s="1034"/>
      <c r="I18" s="1035"/>
      <c r="Q18" s="7"/>
    </row>
    <row r="19" spans="2:17" ht="18" customHeight="1" x14ac:dyDescent="0.35">
      <c r="B19" s="1037" t="str">
        <f ca="1">' '!A104</f>
        <v>Approvisionne.</v>
      </c>
      <c r="C19" s="574">
        <v>14</v>
      </c>
      <c r="D19" s="575" t="str">
        <f ca="1">' '!A85</f>
        <v>Pénuries d'approvisionnement</v>
      </c>
      <c r="E19" s="582">
        <v>0</v>
      </c>
      <c r="F19" s="48"/>
      <c r="G19" s="49"/>
      <c r="H19" s="1034"/>
      <c r="I19" s="1035"/>
      <c r="Q19" s="7"/>
    </row>
    <row r="20" spans="2:17" ht="18" customHeight="1" x14ac:dyDescent="0.35">
      <c r="B20" s="1037"/>
      <c r="C20" s="576">
        <v>15</v>
      </c>
      <c r="D20" s="577" t="str">
        <f ca="1">' '!A86</f>
        <v>Dépendance des prix</v>
      </c>
      <c r="E20" s="582">
        <v>0</v>
      </c>
      <c r="F20" s="46"/>
      <c r="G20" s="47"/>
      <c r="H20" s="1034"/>
      <c r="I20" s="1035"/>
      <c r="Q20" s="7"/>
    </row>
    <row r="21" spans="2:17" ht="18" customHeight="1" x14ac:dyDescent="0.35">
      <c r="B21" s="1037"/>
      <c r="C21" s="574">
        <v>16</v>
      </c>
      <c r="D21" s="575" t="str">
        <f ca="1">' '!A87</f>
        <v>Dépendance du taux de change</v>
      </c>
      <c r="E21" s="582">
        <v>0</v>
      </c>
      <c r="F21" s="48"/>
      <c r="G21" s="49"/>
      <c r="H21" s="1034"/>
      <c r="I21" s="1035"/>
      <c r="Q21" s="7"/>
    </row>
    <row r="22" spans="2:17" ht="18" customHeight="1" x14ac:dyDescent="0.35">
      <c r="B22" s="1037"/>
      <c r="C22" s="576">
        <v>17</v>
      </c>
      <c r="D22" s="577" t="str">
        <f ca="1">' '!A88</f>
        <v>Qualité des fournisseurs</v>
      </c>
      <c r="E22" s="582">
        <v>0</v>
      </c>
      <c r="F22" s="46"/>
      <c r="G22" s="47"/>
      <c r="H22" s="1034"/>
      <c r="I22" s="1035"/>
      <c r="Q22" s="7"/>
    </row>
    <row r="23" spans="2:17" ht="18" customHeight="1" x14ac:dyDescent="0.35">
      <c r="B23" s="1036" t="str">
        <f ca="1">' '!A105</f>
        <v>R &amp; D</v>
      </c>
      <c r="C23" s="574">
        <v>18</v>
      </c>
      <c r="D23" s="575" t="str">
        <f ca="1">' '!A89</f>
        <v>Innovation, brevets</v>
      </c>
      <c r="E23" s="582">
        <v>0</v>
      </c>
      <c r="F23" s="48"/>
      <c r="G23" s="49"/>
      <c r="H23" s="1032"/>
      <c r="I23" s="1033"/>
      <c r="Q23" s="7"/>
    </row>
    <row r="24" spans="2:17" ht="18" customHeight="1" x14ac:dyDescent="0.35">
      <c r="B24" s="1036"/>
      <c r="C24" s="576">
        <v>19</v>
      </c>
      <c r="D24" s="577" t="str">
        <f ca="1">' '!A90</f>
        <v>Savoir-faire</v>
      </c>
      <c r="E24" s="582">
        <v>0</v>
      </c>
      <c r="F24" s="46"/>
      <c r="G24" s="47"/>
      <c r="H24" s="1034"/>
      <c r="I24" s="1035"/>
      <c r="Q24" s="7"/>
    </row>
    <row r="25" spans="2:17" ht="19.5" customHeight="1" x14ac:dyDescent="0.35">
      <c r="B25" s="1036"/>
      <c r="C25" s="574">
        <v>20</v>
      </c>
      <c r="D25" s="575" t="str">
        <f ca="1">' '!A91</f>
        <v>Équipement</v>
      </c>
      <c r="E25" s="582">
        <v>0</v>
      </c>
      <c r="F25" s="48"/>
      <c r="G25" s="49"/>
      <c r="H25" s="1032"/>
      <c r="I25" s="1033"/>
      <c r="Q25" s="7"/>
    </row>
    <row r="26" spans="2:17" ht="18" customHeight="1" x14ac:dyDescent="0.35">
      <c r="B26" s="1029" t="str">
        <f ca="1">' '!A106</f>
        <v>Personnel</v>
      </c>
      <c r="C26" s="576">
        <v>21</v>
      </c>
      <c r="D26" s="577" t="str">
        <f ca="1">' '!A92</f>
        <v>Motivation et engagement des collab.</v>
      </c>
      <c r="E26" s="582">
        <v>0</v>
      </c>
      <c r="F26" s="46"/>
      <c r="G26" s="47"/>
      <c r="H26" s="1034"/>
      <c r="I26" s="1035"/>
      <c r="Q26" s="7"/>
    </row>
    <row r="27" spans="2:17" ht="18" customHeight="1" x14ac:dyDescent="0.35">
      <c r="B27" s="1029"/>
      <c r="C27" s="574">
        <v>22</v>
      </c>
      <c r="D27" s="575" t="str">
        <f ca="1">' '!A93</f>
        <v>Outils de gestion, management</v>
      </c>
      <c r="E27" s="582">
        <v>0</v>
      </c>
      <c r="F27" s="48"/>
      <c r="G27" s="49"/>
      <c r="H27" s="1032"/>
      <c r="I27" s="1033"/>
      <c r="Q27" s="7"/>
    </row>
    <row r="28" spans="2:17" ht="18.75" customHeight="1" x14ac:dyDescent="0.35">
      <c r="B28" s="1029"/>
      <c r="C28" s="576">
        <v>23</v>
      </c>
      <c r="D28" s="577" t="str">
        <f ca="1">' '!A94</f>
        <v>Organisation "lean" et flexible</v>
      </c>
      <c r="E28" s="582">
        <v>0</v>
      </c>
      <c r="F28" s="46"/>
      <c r="G28" s="47"/>
      <c r="H28" s="1034"/>
      <c r="I28" s="1035"/>
    </row>
    <row r="29" spans="2:17" ht="18" customHeight="1" x14ac:dyDescent="0.35">
      <c r="B29" s="1029"/>
      <c r="C29" s="574">
        <v>24</v>
      </c>
      <c r="D29" s="575" t="str">
        <f ca="1">' '!A95</f>
        <v>Formation, qualification des collab.</v>
      </c>
      <c r="E29" s="582">
        <v>0</v>
      </c>
      <c r="F29" s="48"/>
      <c r="G29" s="49"/>
      <c r="H29" s="1032"/>
      <c r="I29" s="1033"/>
    </row>
    <row r="30" spans="2:17" ht="18" customHeight="1" x14ac:dyDescent="0.35">
      <c r="B30" s="1029"/>
      <c r="C30" s="576">
        <v>25</v>
      </c>
      <c r="D30" s="577" t="str">
        <f ca="1">' '!A96</f>
        <v>Pyramide des âges</v>
      </c>
      <c r="E30" s="582">
        <v>0</v>
      </c>
      <c r="F30" s="46"/>
      <c r="G30" s="47"/>
      <c r="H30" s="1034"/>
      <c r="I30" s="1035"/>
    </row>
    <row r="31" spans="2:17" ht="18" customHeight="1" x14ac:dyDescent="0.35">
      <c r="B31" s="1029"/>
      <c r="C31" s="574">
        <v>26</v>
      </c>
      <c r="D31" s="575" t="str">
        <f ca="1">' '!A97</f>
        <v>Taux de fluctuation, absentéisme</v>
      </c>
      <c r="E31" s="582">
        <v>0</v>
      </c>
      <c r="F31" s="48"/>
      <c r="G31" s="49"/>
      <c r="H31" s="1032"/>
      <c r="I31" s="1033"/>
    </row>
    <row r="32" spans="2:17" ht="18" customHeight="1" x14ac:dyDescent="0.35">
      <c r="B32" s="1038" t="str">
        <f ca="1">' '!A107</f>
        <v>Administration</v>
      </c>
      <c r="C32" s="576">
        <v>27</v>
      </c>
      <c r="D32" s="577" t="str">
        <f ca="1">' '!A98</f>
        <v>Solidité financière, liquidité</v>
      </c>
      <c r="E32" s="582">
        <v>0</v>
      </c>
      <c r="F32" s="46"/>
      <c r="G32" s="47"/>
      <c r="H32" s="1034"/>
      <c r="I32" s="1035"/>
      <c r="J32" s="50"/>
      <c r="K32" s="50"/>
    </row>
    <row r="33" spans="2:11" ht="18" customHeight="1" x14ac:dyDescent="0.35">
      <c r="B33" s="1038"/>
      <c r="C33" s="574">
        <v>28</v>
      </c>
      <c r="D33" s="575" t="str">
        <f ca="1">' '!A99</f>
        <v>Emplacement, espaces à disposition</v>
      </c>
      <c r="E33" s="582">
        <v>0</v>
      </c>
      <c r="F33" s="48"/>
      <c r="G33" s="49"/>
      <c r="H33" s="1032"/>
      <c r="I33" s="1033"/>
      <c r="J33" s="51"/>
      <c r="K33" s="52"/>
    </row>
    <row r="34" spans="2:11" ht="21" customHeight="1" x14ac:dyDescent="0.35">
      <c r="B34" s="1038"/>
      <c r="C34" s="576">
        <v>29</v>
      </c>
      <c r="D34" s="577" t="str">
        <f ca="1">' '!A100</f>
        <v>Controlling</v>
      </c>
      <c r="E34" s="582">
        <v>0</v>
      </c>
      <c r="F34" s="46"/>
      <c r="G34" s="47"/>
      <c r="H34" s="1034"/>
      <c r="I34" s="1035"/>
      <c r="J34" s="51"/>
      <c r="K34" s="52"/>
    </row>
    <row r="35" spans="2:11" ht="18" customHeight="1" x14ac:dyDescent="0.35">
      <c r="B35" s="1038"/>
      <c r="C35" s="578">
        <v>30</v>
      </c>
      <c r="D35" s="579" t="str">
        <f ca="1">' '!A101</f>
        <v>Processus de décision</v>
      </c>
      <c r="E35" s="583">
        <v>0</v>
      </c>
      <c r="F35" s="48"/>
      <c r="G35" s="49"/>
      <c r="H35" s="1039"/>
      <c r="I35" s="1040"/>
      <c r="J35" s="51"/>
      <c r="K35" s="52"/>
    </row>
    <row r="36" spans="2:11" ht="18" x14ac:dyDescent="0.3">
      <c r="B36" s="335" t="s">
        <v>1776</v>
      </c>
      <c r="C36"/>
      <c r="D36" s="51"/>
      <c r="E36" s="53"/>
      <c r="F36" s="54"/>
      <c r="G36" s="51"/>
      <c r="H36" s="55"/>
      <c r="I36" s="51"/>
      <c r="J36" s="51"/>
      <c r="K36" s="52"/>
    </row>
    <row r="37" spans="2:11" ht="19.5" customHeight="1" x14ac:dyDescent="0.3">
      <c r="C37" s="56"/>
      <c r="D37" s="51"/>
      <c r="E37" s="53"/>
      <c r="F37" s="54"/>
      <c r="G37" s="51"/>
      <c r="H37" s="55"/>
      <c r="I37" s="51"/>
      <c r="J37" s="51"/>
      <c r="K37" s="52"/>
    </row>
    <row r="38" spans="2:11" ht="18" x14ac:dyDescent="0.3">
      <c r="C38" s="56"/>
      <c r="D38" s="51"/>
      <c r="E38" s="53"/>
      <c r="F38" s="54"/>
      <c r="G38" s="51"/>
      <c r="H38" s="55"/>
      <c r="I38" s="51"/>
      <c r="J38" s="51"/>
      <c r="K38" s="52"/>
    </row>
    <row r="39" spans="2:11" ht="18" x14ac:dyDescent="0.3">
      <c r="C39" s="56"/>
      <c r="D39" s="51"/>
      <c r="E39" s="53"/>
      <c r="F39" s="54"/>
      <c r="G39" s="51"/>
      <c r="H39" s="55"/>
      <c r="I39" s="51"/>
      <c r="J39" s="51"/>
      <c r="K39" s="52"/>
    </row>
    <row r="40" spans="2:11" ht="18" x14ac:dyDescent="0.3">
      <c r="C40" s="56"/>
      <c r="D40" s="51"/>
      <c r="E40" s="53"/>
      <c r="F40" s="54"/>
      <c r="G40" s="51"/>
      <c r="H40" s="55"/>
      <c r="I40" s="51"/>
      <c r="J40" s="51"/>
      <c r="K40" s="52"/>
    </row>
    <row r="41" spans="2:11" ht="18" x14ac:dyDescent="0.3">
      <c r="C41" s="56"/>
      <c r="D41" s="51"/>
      <c r="E41" s="53"/>
      <c r="F41" s="54"/>
      <c r="G41" s="51"/>
      <c r="H41" s="55"/>
      <c r="I41" s="51"/>
      <c r="J41" s="51"/>
      <c r="K41" s="52"/>
    </row>
    <row r="42" spans="2:11" ht="18" x14ac:dyDescent="0.3">
      <c r="C42" s="56"/>
      <c r="D42" s="51"/>
      <c r="E42" s="53"/>
      <c r="F42" s="54"/>
      <c r="G42" s="51"/>
      <c r="H42" s="55"/>
      <c r="I42" s="51"/>
      <c r="J42" s="51"/>
      <c r="K42" s="52"/>
    </row>
    <row r="43" spans="2:11" ht="18" x14ac:dyDescent="0.3">
      <c r="C43" s="56"/>
      <c r="D43" s="51"/>
      <c r="E43" s="53"/>
      <c r="F43" s="54"/>
      <c r="G43" s="51"/>
      <c r="H43" s="55"/>
      <c r="I43" s="51"/>
      <c r="J43" s="51"/>
      <c r="K43" s="52"/>
    </row>
    <row r="44" spans="2:11" ht="18" x14ac:dyDescent="0.3">
      <c r="C44" s="56"/>
      <c r="D44" s="51"/>
      <c r="E44" s="53"/>
      <c r="F44" s="54"/>
      <c r="G44" s="51"/>
      <c r="H44" s="55"/>
      <c r="I44" s="51"/>
      <c r="J44" s="51"/>
      <c r="K44" s="52"/>
    </row>
    <row r="45" spans="2:11" ht="18" x14ac:dyDescent="0.3">
      <c r="C45" s="56"/>
      <c r="D45" s="51"/>
      <c r="E45" s="53"/>
      <c r="F45" s="54"/>
      <c r="G45" s="51"/>
      <c r="H45" s="55"/>
      <c r="I45" s="51"/>
      <c r="J45" s="51"/>
      <c r="K45" s="52"/>
    </row>
    <row r="46" spans="2:11" ht="18" x14ac:dyDescent="0.3">
      <c r="C46" s="56"/>
      <c r="D46" s="51"/>
      <c r="E46" s="57"/>
      <c r="F46" s="54"/>
      <c r="G46" s="51"/>
      <c r="H46" s="55"/>
      <c r="I46" s="51"/>
      <c r="J46" s="51"/>
      <c r="K46" s="52"/>
    </row>
    <row r="47" spans="2:11" ht="191.25" customHeight="1" x14ac:dyDescent="0.3">
      <c r="C47" s="56"/>
      <c r="D47" s="51"/>
      <c r="E47" s="53"/>
      <c r="F47" s="54"/>
      <c r="G47" s="51"/>
      <c r="H47" s="55"/>
      <c r="I47" s="51"/>
      <c r="J47" s="51"/>
      <c r="K47" s="52"/>
    </row>
    <row r="48" spans="2:11" ht="18" x14ac:dyDescent="0.3">
      <c r="C48" s="56"/>
      <c r="D48" s="51"/>
      <c r="E48" s="53"/>
      <c r="F48" s="54"/>
      <c r="G48" s="51"/>
      <c r="H48" s="55"/>
      <c r="I48" s="51"/>
      <c r="J48" s="51"/>
      <c r="K48" s="52"/>
    </row>
    <row r="49" spans="1:11" ht="18" x14ac:dyDescent="0.3">
      <c r="C49" s="56"/>
      <c r="E49" s="53"/>
      <c r="F49" s="54"/>
      <c r="G49" s="51"/>
      <c r="H49" s="55"/>
      <c r="I49" s="51"/>
      <c r="J49" s="51"/>
      <c r="K49" s="52"/>
    </row>
    <row r="50" spans="1:11" ht="18" x14ac:dyDescent="0.3">
      <c r="C50" s="56"/>
      <c r="D50" s="51"/>
      <c r="E50" s="53"/>
      <c r="F50" s="54"/>
      <c r="G50" s="51"/>
      <c r="H50" s="55"/>
      <c r="I50" s="51"/>
      <c r="J50" s="51"/>
      <c r="K50" s="52"/>
    </row>
    <row r="51" spans="1:11" ht="18" x14ac:dyDescent="0.3">
      <c r="C51" s="56"/>
      <c r="D51" s="51"/>
      <c r="E51" s="53"/>
      <c r="F51" s="54"/>
      <c r="G51" s="51"/>
      <c r="H51" s="55"/>
      <c r="I51" s="51"/>
      <c r="J51" s="51"/>
      <c r="K51" s="52"/>
    </row>
    <row r="52" spans="1:11" ht="18" x14ac:dyDescent="0.3">
      <c r="C52" s="56"/>
      <c r="D52" s="51"/>
      <c r="E52" s="53"/>
      <c r="F52" s="54"/>
      <c r="G52" s="51"/>
      <c r="H52" s="55"/>
      <c r="I52" s="51"/>
      <c r="J52" s="51"/>
      <c r="K52" s="52"/>
    </row>
    <row r="53" spans="1:11" ht="18" x14ac:dyDescent="0.3">
      <c r="C53" s="56"/>
      <c r="D53" s="51"/>
      <c r="E53" s="53"/>
      <c r="F53" s="54"/>
      <c r="G53" s="51"/>
      <c r="H53" s="55"/>
      <c r="I53" s="51"/>
      <c r="J53" s="51"/>
      <c r="K53" s="52"/>
    </row>
    <row r="63" spans="1:11" ht="15.6" x14ac:dyDescent="0.3">
      <c r="A63" s="20"/>
      <c r="G63" s="58"/>
      <c r="H63" s="58"/>
    </row>
    <row r="69" spans="5:5" x14ac:dyDescent="0.3">
      <c r="E69" s="59"/>
    </row>
    <row r="70" spans="5:5" x14ac:dyDescent="0.3">
      <c r="E70" s="7"/>
    </row>
    <row r="71" spans="5:5" x14ac:dyDescent="0.3">
      <c r="E71" s="7"/>
    </row>
    <row r="72" spans="5:5" x14ac:dyDescent="0.3">
      <c r="E72" s="7"/>
    </row>
    <row r="73" spans="5:5" x14ac:dyDescent="0.3">
      <c r="E73" s="7"/>
    </row>
    <row r="74" spans="5:5" x14ac:dyDescent="0.3">
      <c r="E74" s="7"/>
    </row>
    <row r="75" spans="5:5" x14ac:dyDescent="0.3">
      <c r="E75" s="7"/>
    </row>
    <row r="76" spans="5:5" x14ac:dyDescent="0.3">
      <c r="E76" s="7"/>
    </row>
    <row r="77" spans="5:5" x14ac:dyDescent="0.3">
      <c r="E77" s="7"/>
    </row>
    <row r="78" spans="5:5" x14ac:dyDescent="0.3">
      <c r="E78" s="7"/>
    </row>
    <row r="79" spans="5:5" x14ac:dyDescent="0.3">
      <c r="E79" s="7"/>
    </row>
    <row r="80" spans="5:5" x14ac:dyDescent="0.3">
      <c r="E80" s="7"/>
    </row>
    <row r="81" spans="5:5" x14ac:dyDescent="0.3">
      <c r="E81" s="7"/>
    </row>
    <row r="82" spans="5:5" x14ac:dyDescent="0.3">
      <c r="E82" s="7"/>
    </row>
    <row r="83" spans="5:5" x14ac:dyDescent="0.3">
      <c r="E83" s="7"/>
    </row>
    <row r="84" spans="5:5" x14ac:dyDescent="0.3">
      <c r="E84" s="7"/>
    </row>
    <row r="85" spans="5:5" x14ac:dyDescent="0.3">
      <c r="E85" s="7"/>
    </row>
    <row r="86" spans="5:5" x14ac:dyDescent="0.3">
      <c r="E86" s="7"/>
    </row>
    <row r="87" spans="5:5" x14ac:dyDescent="0.3">
      <c r="E87" s="7"/>
    </row>
    <row r="88" spans="5:5" x14ac:dyDescent="0.3">
      <c r="E88" s="7"/>
    </row>
  </sheetData>
  <sheetProtection sheet="1" objects="1" scenarios="1" formatCells="0" formatColumns="0" formatRows="0" insertHyperlinks="0" selectLockedCells="1" sort="0" autoFilter="0"/>
  <mergeCells count="37">
    <mergeCell ref="B32:B35"/>
    <mergeCell ref="H32:I32"/>
    <mergeCell ref="H33:I33"/>
    <mergeCell ref="H34:I34"/>
    <mergeCell ref="H35:I35"/>
    <mergeCell ref="B26:B31"/>
    <mergeCell ref="H26:I26"/>
    <mergeCell ref="H27:I27"/>
    <mergeCell ref="H28:I28"/>
    <mergeCell ref="H29:I29"/>
    <mergeCell ref="H30:I30"/>
    <mergeCell ref="H31:I31"/>
    <mergeCell ref="B23:B25"/>
    <mergeCell ref="H23:I23"/>
    <mergeCell ref="H24:I24"/>
    <mergeCell ref="H25:I25"/>
    <mergeCell ref="B13:B18"/>
    <mergeCell ref="H13:I13"/>
    <mergeCell ref="H14:I14"/>
    <mergeCell ref="H15:I15"/>
    <mergeCell ref="H16:I16"/>
    <mergeCell ref="H17:I17"/>
    <mergeCell ref="H18:I18"/>
    <mergeCell ref="B19:B22"/>
    <mergeCell ref="H19:I19"/>
    <mergeCell ref="H20:I20"/>
    <mergeCell ref="H21:I21"/>
    <mergeCell ref="H22:I22"/>
    <mergeCell ref="F3:G3"/>
    <mergeCell ref="B6:B12"/>
    <mergeCell ref="H6:I6"/>
    <mergeCell ref="H7:I7"/>
    <mergeCell ref="H8:I8"/>
    <mergeCell ref="H9:I9"/>
    <mergeCell ref="H10:I10"/>
    <mergeCell ref="H11:I11"/>
    <mergeCell ref="H12:I12"/>
  </mergeCells>
  <conditionalFormatting sqref="C6:I35">
    <cfRule type="expression" dxfId="110" priority="1">
      <formula>MOD(ROW(A2),2)=0</formula>
    </cfRule>
    <cfRule type="expression" dxfId="109" priority="2">
      <formula>MOD(ROW(A1),2)=0</formula>
    </cfRule>
  </conditionalFormatting>
  <conditionalFormatting sqref="F36:F53">
    <cfRule type="iconSet" priority="9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H36:H53">
    <cfRule type="iconSet" priority="8">
      <iconSet iconSet="3Signs" showValue="0" reverse="1">
        <cfvo type="percent" val="0"/>
        <cfvo type="num" val="2"/>
        <cfvo type="num" val="3"/>
      </iconSet>
    </cfRule>
  </conditionalFormatting>
  <conditionalFormatting sqref="K33 K35 K37 K45 K47:K53">
    <cfRule type="cellIs" dxfId="108" priority="11" operator="equal">
      <formula>3</formula>
    </cfRule>
    <cfRule type="cellIs" dxfId="107" priority="12" operator="equal">
      <formula>2</formula>
    </cfRule>
    <cfRule type="cellIs" dxfId="106" priority="13" operator="equal">
      <formula>1</formula>
    </cfRule>
  </conditionalFormatting>
  <conditionalFormatting sqref="K33:K53">
    <cfRule type="iconSet" priority="15">
      <iconSet iconSet="3Symbols2" showValue="0" reverse="1">
        <cfvo type="percent" val="0"/>
        <cfvo type="num" val="2"/>
        <cfvo type="num" val="3"/>
      </iconSet>
    </cfRule>
    <cfRule type="cellIs" dxfId="105" priority="16" operator="equal">
      <formula>3</formula>
    </cfRule>
    <cfRule type="cellIs" dxfId="104" priority="17" operator="equal">
      <formula>2</formula>
    </cfRule>
    <cfRule type="cellIs" dxfId="103" priority="18" operator="equal">
      <formula>1</formula>
    </cfRule>
  </conditionalFormatting>
  <dataValidations count="4">
    <dataValidation type="list" allowBlank="1" showInputMessage="1" showErrorMessage="1" sqref="E6:E35" xr:uid="{00000000-0002-0000-0E00-000000000000}">
      <formula1>"3,2,1,0"</formula1>
    </dataValidation>
    <dataValidation type="list" allowBlank="1" showInputMessage="1" showErrorMessage="1" sqref="K33:K53 H36:H53" xr:uid="{00000000-0002-0000-0E00-000001000000}">
      <formula1>"1,2,3"</formula1>
    </dataValidation>
    <dataValidation type="list" allowBlank="1" showInputMessage="1" showErrorMessage="1" sqref="E36:E53" xr:uid="{00000000-0002-0000-0E00-000002000000}">
      <formula1>"1,2,3,4,5,6,7,8,9,10,11"</formula1>
    </dataValidation>
    <dataValidation type="list" allowBlank="1" showInputMessage="1" showErrorMessage="1" sqref="F33:F53" xr:uid="{00000000-0002-0000-0E00-000003000000}">
      <formula1>"1,2,3,4,5"</formula1>
    </dataValidation>
  </dataValidations>
  <hyperlinks>
    <hyperlink ref="B3" location="x!A236" display="x!A236" xr:uid="{00000000-0004-0000-0E00-000000000000}"/>
  </hyperlinks>
  <printOptions horizontalCentered="1"/>
  <pageMargins left="0.23622047244094491" right="0.23622047244094491" top="0.19685039370078741" bottom="0.19685039370078741" header="0.19685039370078741" footer="0.19685039370078741"/>
  <pageSetup paperSize="9" scale="84" orientation="landscape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C00EB126-6CCD-4D0B-9C88-5511C78EF972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E36:E53</xm:sqref>
        </x14:conditionalFormatting>
        <x14:conditionalFormatting xmlns:xm="http://schemas.microsoft.com/office/excel/2006/main">
          <x14:cfRule type="iconSet" priority="14" id="{FF8EBBEA-6A06-41B3-905B-8DED6DC17D67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K33 K35 K37 K45 K47:K53</xm:sqref>
        </x14:conditionalFormatting>
        <x14:conditionalFormatting xmlns:xm="http://schemas.microsoft.com/office/excel/2006/main">
          <x14:cfRule type="iconSet" priority="10" id="{8AD1E9C2-CFD1-4E93-9C58-E4A8F3F5C98F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K34 K36 K38:K44 K46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Tabelle22">
    <tabColor theme="5" tint="0.59999389629810485"/>
  </sheetPr>
  <dimension ref="A1:O91"/>
  <sheetViews>
    <sheetView showGridLines="0" zoomScaleNormal="100" workbookViewId="0">
      <pane ySplit="1" topLeftCell="A2" activePane="bottomLeft" state="frozen"/>
      <selection activeCell="K1" sqref="K1"/>
      <selection pane="bottomLeft" activeCell="A2" sqref="A2"/>
    </sheetView>
  </sheetViews>
  <sheetFormatPr baseColWidth="10" defaultColWidth="11.44140625" defaultRowHeight="13.2" x14ac:dyDescent="0.25"/>
  <cols>
    <col min="1" max="1" width="7" style="320" customWidth="1"/>
    <col min="2" max="2" width="4" customWidth="1"/>
    <col min="3" max="3" width="51.109375" customWidth="1"/>
    <col min="4" max="4" width="4.44140625" customWidth="1"/>
    <col min="5" max="5" width="31" customWidth="1"/>
    <col min="6" max="6" width="4.33203125" customWidth="1"/>
    <col min="7" max="7" width="51.109375" customWidth="1"/>
    <col min="8" max="8" width="4.44140625" customWidth="1"/>
    <col min="9" max="9" width="2.6640625" customWidth="1"/>
    <col min="10" max="10" width="5.44140625" customWidth="1"/>
    <col min="11" max="11" width="1.33203125" customWidth="1"/>
    <col min="12" max="16" width="5.44140625" customWidth="1"/>
    <col min="17" max="17" width="31.88671875" customWidth="1"/>
    <col min="18" max="26" width="5.44140625" customWidth="1"/>
    <col min="27" max="27" width="4.109375" customWidth="1"/>
    <col min="28" max="39" width="5.44140625" customWidth="1"/>
  </cols>
  <sheetData>
    <row r="1" spans="1:15" s="316" customFormat="1" ht="44.4" customHeight="1" x14ac:dyDescent="0.3">
      <c r="A1" s="400"/>
      <c r="B1" s="198" t="str">
        <f ca="1">' '!A133</f>
        <v>A N A L Y S E   S W O T</v>
      </c>
      <c r="C1" s="400"/>
      <c r="D1" s="584"/>
      <c r="E1" s="198"/>
      <c r="F1" s="400"/>
      <c r="G1" s="400"/>
      <c r="H1" s="317"/>
      <c r="I1" s="198"/>
      <c r="J1" s="198"/>
      <c r="K1" s="198"/>
      <c r="L1" s="198"/>
      <c r="M1" s="198"/>
      <c r="N1" s="198"/>
      <c r="O1" s="198"/>
    </row>
    <row r="2" spans="1:15" s="316" customFormat="1" ht="0.9" customHeight="1" x14ac:dyDescent="0.3">
      <c r="A2" s="585"/>
      <c r="B2" s="401"/>
      <c r="C2" s="401"/>
      <c r="D2" s="586"/>
      <c r="E2" s="199"/>
      <c r="F2" s="401"/>
      <c r="G2" s="401"/>
      <c r="H2" s="586"/>
      <c r="I2" s="199"/>
      <c r="J2" s="199"/>
      <c r="K2" s="199"/>
      <c r="L2" s="199"/>
      <c r="M2" s="199"/>
      <c r="N2" s="199"/>
      <c r="O2" s="199"/>
    </row>
    <row r="3" spans="1:15" ht="21" customHeight="1" x14ac:dyDescent="0.25">
      <c r="B3" s="322"/>
    </row>
    <row r="4" spans="1:15" ht="19.5" customHeight="1" x14ac:dyDescent="0.25">
      <c r="B4" s="587"/>
      <c r="D4" s="588"/>
      <c r="F4" s="589"/>
      <c r="H4" s="588"/>
    </row>
    <row r="5" spans="1:15" ht="19.5" customHeight="1" x14ac:dyDescent="0.35">
      <c r="B5" s="587"/>
      <c r="C5" s="590" t="str">
        <f ca="1">' '!A139</f>
        <v>Forces</v>
      </c>
      <c r="D5" s="591"/>
      <c r="E5" s="592"/>
      <c r="F5" s="589"/>
      <c r="G5" s="593" t="str">
        <f ca="1">' '!A140</f>
        <v>Faiblesses</v>
      </c>
      <c r="H5" s="588"/>
      <c r="J5" s="594"/>
    </row>
    <row r="6" spans="1:15" ht="28.8" x14ac:dyDescent="0.25">
      <c r="B6" s="595" t="s">
        <v>448</v>
      </c>
      <c r="C6" s="596" t="s">
        <v>1778</v>
      </c>
      <c r="D6" s="597">
        <v>5</v>
      </c>
      <c r="E6" s="598"/>
      <c r="F6" s="595" t="s">
        <v>480</v>
      </c>
      <c r="G6" s="599" t="s">
        <v>1778</v>
      </c>
      <c r="H6" s="600">
        <v>-5</v>
      </c>
      <c r="J6" s="601"/>
      <c r="K6" s="601"/>
      <c r="M6" s="601"/>
    </row>
    <row r="7" spans="1:15" ht="28.8" x14ac:dyDescent="0.25">
      <c r="B7" s="602" t="s">
        <v>449</v>
      </c>
      <c r="C7" s="603" t="s">
        <v>1778</v>
      </c>
      <c r="D7" s="604">
        <v>3</v>
      </c>
      <c r="E7" s="598"/>
      <c r="F7" s="602" t="s">
        <v>481</v>
      </c>
      <c r="G7" s="605" t="s">
        <v>1778</v>
      </c>
      <c r="H7" s="606">
        <v>-4</v>
      </c>
      <c r="J7" s="601"/>
      <c r="K7" s="601"/>
      <c r="M7" s="601"/>
    </row>
    <row r="8" spans="1:15" ht="28.8" x14ac:dyDescent="0.25">
      <c r="B8" s="602" t="s">
        <v>450</v>
      </c>
      <c r="C8" s="603" t="s">
        <v>1778</v>
      </c>
      <c r="D8" s="604">
        <v>4</v>
      </c>
      <c r="E8" s="598"/>
      <c r="F8" s="602" t="s">
        <v>482</v>
      </c>
      <c r="G8" s="605" t="s">
        <v>1778</v>
      </c>
      <c r="H8" s="606">
        <v>-2</v>
      </c>
      <c r="J8" s="601"/>
      <c r="K8" s="601"/>
      <c r="M8" s="601"/>
    </row>
    <row r="9" spans="1:15" ht="28.8" x14ac:dyDescent="0.25">
      <c r="B9" s="602" t="s">
        <v>451</v>
      </c>
      <c r="C9" s="603" t="s">
        <v>1778</v>
      </c>
      <c r="D9" s="604"/>
      <c r="E9" s="598"/>
      <c r="F9" s="602" t="s">
        <v>483</v>
      </c>
      <c r="G9" s="605" t="s">
        <v>1778</v>
      </c>
      <c r="H9" s="606"/>
      <c r="J9" s="601"/>
      <c r="K9" s="601"/>
      <c r="M9" s="601"/>
    </row>
    <row r="10" spans="1:15" ht="28.8" x14ac:dyDescent="0.25">
      <c r="B10" s="602" t="s">
        <v>452</v>
      </c>
      <c r="C10" s="603" t="s">
        <v>1778</v>
      </c>
      <c r="D10" s="604"/>
      <c r="E10" s="598"/>
      <c r="F10" s="602" t="s">
        <v>484</v>
      </c>
      <c r="G10" s="605" t="s">
        <v>1778</v>
      </c>
      <c r="H10" s="606"/>
      <c r="J10" s="601"/>
      <c r="K10" s="601"/>
      <c r="M10" s="601"/>
    </row>
    <row r="11" spans="1:15" ht="26.4" x14ac:dyDescent="0.25">
      <c r="B11" s="602" t="s">
        <v>453</v>
      </c>
      <c r="C11" s="603" t="s">
        <v>1778</v>
      </c>
      <c r="D11" s="604"/>
      <c r="E11" s="598"/>
      <c r="F11" s="602" t="s">
        <v>485</v>
      </c>
      <c r="G11" s="603" t="s">
        <v>1778</v>
      </c>
      <c r="H11" s="606"/>
      <c r="J11" s="601"/>
      <c r="K11" s="601"/>
      <c r="M11" s="601"/>
    </row>
    <row r="12" spans="1:15" ht="28.8" x14ac:dyDescent="0.25">
      <c r="B12" s="602" t="s">
        <v>454</v>
      </c>
      <c r="C12" s="603" t="s">
        <v>1778</v>
      </c>
      <c r="D12" s="604"/>
      <c r="E12" s="598"/>
      <c r="F12" s="602" t="s">
        <v>486</v>
      </c>
      <c r="G12" s="605" t="s">
        <v>1778</v>
      </c>
      <c r="H12" s="606"/>
      <c r="J12" s="601"/>
      <c r="K12" s="601"/>
      <c r="M12" s="601"/>
    </row>
    <row r="13" spans="1:15" ht="28.8" x14ac:dyDescent="0.25">
      <c r="B13" s="602" t="s">
        <v>455</v>
      </c>
      <c r="C13" s="603" t="s">
        <v>1778</v>
      </c>
      <c r="D13" s="604"/>
      <c r="E13" s="598"/>
      <c r="F13" s="602" t="s">
        <v>487</v>
      </c>
      <c r="G13" s="605" t="s">
        <v>1778</v>
      </c>
      <c r="H13" s="606"/>
      <c r="J13" s="601"/>
      <c r="K13" s="601"/>
      <c r="M13" s="601"/>
    </row>
    <row r="14" spans="1:15" ht="28.8" x14ac:dyDescent="0.25">
      <c r="B14" s="602" t="s">
        <v>456</v>
      </c>
      <c r="C14" s="603" t="s">
        <v>1778</v>
      </c>
      <c r="D14" s="604"/>
      <c r="E14" s="598"/>
      <c r="F14" s="602" t="s">
        <v>488</v>
      </c>
      <c r="G14" s="605" t="s">
        <v>1778</v>
      </c>
      <c r="H14" s="606"/>
      <c r="J14" s="601"/>
      <c r="K14" s="601"/>
      <c r="M14" s="601"/>
    </row>
    <row r="15" spans="1:15" ht="28.8" x14ac:dyDescent="0.25">
      <c r="B15" s="602" t="s">
        <v>457</v>
      </c>
      <c r="C15" s="603" t="s">
        <v>1778</v>
      </c>
      <c r="D15" s="604"/>
      <c r="E15" s="598"/>
      <c r="F15" s="602" t="s">
        <v>489</v>
      </c>
      <c r="G15" s="605" t="s">
        <v>1778</v>
      </c>
      <c r="H15" s="606"/>
      <c r="J15" s="601"/>
      <c r="K15" s="601"/>
      <c r="M15" s="601"/>
    </row>
    <row r="16" spans="1:15" ht="28.8" x14ac:dyDescent="0.25">
      <c r="B16" s="602" t="s">
        <v>458</v>
      </c>
      <c r="C16" s="603" t="s">
        <v>1778</v>
      </c>
      <c r="D16" s="604"/>
      <c r="E16" s="598"/>
      <c r="F16" s="602" t="s">
        <v>490</v>
      </c>
      <c r="G16" s="605" t="s">
        <v>1778</v>
      </c>
      <c r="H16" s="606"/>
      <c r="J16" s="601"/>
      <c r="K16" s="601"/>
      <c r="M16" s="601"/>
    </row>
    <row r="17" spans="2:13" ht="26.1" customHeight="1" x14ac:dyDescent="0.25">
      <c r="B17" s="602" t="s">
        <v>459</v>
      </c>
      <c r="C17" s="603" t="s">
        <v>1778</v>
      </c>
      <c r="D17" s="604"/>
      <c r="E17" s="598"/>
      <c r="F17" s="602" t="s">
        <v>491</v>
      </c>
      <c r="G17" s="605" t="s">
        <v>1778</v>
      </c>
      <c r="H17" s="606"/>
      <c r="J17" s="601"/>
      <c r="K17" s="601"/>
      <c r="M17" s="601"/>
    </row>
    <row r="18" spans="2:13" ht="26.1" customHeight="1" x14ac:dyDescent="0.25">
      <c r="B18" s="602" t="s">
        <v>460</v>
      </c>
      <c r="C18" s="603" t="s">
        <v>1778</v>
      </c>
      <c r="D18" s="604"/>
      <c r="E18" s="598"/>
      <c r="F18" s="602" t="s">
        <v>492</v>
      </c>
      <c r="G18" s="605" t="s">
        <v>1778</v>
      </c>
      <c r="H18" s="606"/>
      <c r="J18" s="601"/>
      <c r="K18" s="601"/>
      <c r="M18" s="601"/>
    </row>
    <row r="19" spans="2:13" ht="26.1" customHeight="1" x14ac:dyDescent="0.25">
      <c r="B19" s="602" t="s">
        <v>461</v>
      </c>
      <c r="C19" s="603" t="s">
        <v>1778</v>
      </c>
      <c r="D19" s="604"/>
      <c r="E19" s="598"/>
      <c r="F19" s="602" t="s">
        <v>493</v>
      </c>
      <c r="G19" s="605" t="s">
        <v>1778</v>
      </c>
      <c r="H19" s="606"/>
      <c r="J19" s="601"/>
      <c r="K19" s="601"/>
      <c r="M19" s="601"/>
    </row>
    <row r="20" spans="2:13" ht="26.1" customHeight="1" x14ac:dyDescent="0.25">
      <c r="B20" s="602" t="s">
        <v>462</v>
      </c>
      <c r="C20" s="603" t="s">
        <v>1778</v>
      </c>
      <c r="D20" s="604"/>
      <c r="E20" s="598"/>
      <c r="F20" s="602" t="s">
        <v>494</v>
      </c>
      <c r="G20" s="605" t="s">
        <v>1778</v>
      </c>
      <c r="H20" s="606"/>
      <c r="J20" s="601"/>
      <c r="K20" s="601"/>
      <c r="M20" s="601"/>
    </row>
    <row r="21" spans="2:13" ht="26.1" customHeight="1" x14ac:dyDescent="0.25">
      <c r="B21" s="602" t="s">
        <v>463</v>
      </c>
      <c r="C21" s="603" t="s">
        <v>1778</v>
      </c>
      <c r="D21" s="604"/>
      <c r="E21" s="598"/>
      <c r="F21" s="602" t="s">
        <v>495</v>
      </c>
      <c r="G21" s="605" t="s">
        <v>1778</v>
      </c>
      <c r="H21" s="606"/>
      <c r="J21" s="601"/>
      <c r="K21" s="601"/>
      <c r="M21" s="601"/>
    </row>
    <row r="22" spans="2:13" ht="26.1" customHeight="1" x14ac:dyDescent="0.25">
      <c r="B22" s="602" t="s">
        <v>464</v>
      </c>
      <c r="C22" s="603" t="s">
        <v>1778</v>
      </c>
      <c r="D22" s="604"/>
      <c r="E22" s="598"/>
      <c r="F22" s="602" t="s">
        <v>496</v>
      </c>
      <c r="G22" s="605" t="s">
        <v>1778</v>
      </c>
      <c r="H22" s="606"/>
      <c r="J22" s="601"/>
      <c r="K22" s="601"/>
      <c r="M22" s="601"/>
    </row>
    <row r="23" spans="2:13" ht="26.1" customHeight="1" x14ac:dyDescent="0.25">
      <c r="B23" s="607" t="s">
        <v>465</v>
      </c>
      <c r="C23" s="608" t="s">
        <v>1778</v>
      </c>
      <c r="D23" s="609"/>
      <c r="E23" s="598"/>
      <c r="F23" s="607" t="s">
        <v>497</v>
      </c>
      <c r="G23" s="610" t="s">
        <v>1778</v>
      </c>
      <c r="H23" s="611"/>
      <c r="J23" s="601"/>
      <c r="K23" s="601"/>
      <c r="M23" s="601"/>
    </row>
    <row r="24" spans="2:13" ht="58.5" customHeight="1" x14ac:dyDescent="0.4">
      <c r="B24" s="612"/>
      <c r="C24" s="613" t="str">
        <f ca="1">' '!A141</f>
        <v>Opportunités</v>
      </c>
      <c r="D24" s="614"/>
      <c r="F24" s="615"/>
      <c r="G24" s="616" t="str">
        <f ca="1">' '!A142</f>
        <v>Menaces</v>
      </c>
      <c r="H24" s="614"/>
    </row>
    <row r="25" spans="2:13" ht="26.1" customHeight="1" x14ac:dyDescent="0.35">
      <c r="B25" s="595" t="s">
        <v>498</v>
      </c>
      <c r="C25" s="596" t="s">
        <v>1778</v>
      </c>
      <c r="D25" s="600">
        <v>3</v>
      </c>
      <c r="E25" s="598"/>
      <c r="F25" s="595" t="s">
        <v>499</v>
      </c>
      <c r="G25" s="599" t="s">
        <v>1778</v>
      </c>
      <c r="H25" s="617">
        <v>-2</v>
      </c>
      <c r="J25" s="594"/>
    </row>
    <row r="26" spans="2:13" ht="26.1" customHeight="1" x14ac:dyDescent="0.25">
      <c r="B26" s="602" t="s">
        <v>500</v>
      </c>
      <c r="C26" s="603" t="s">
        <v>1778</v>
      </c>
      <c r="D26" s="606">
        <v>3</v>
      </c>
      <c r="E26" s="598"/>
      <c r="F26" s="602" t="s">
        <v>501</v>
      </c>
      <c r="G26" s="605" t="s">
        <v>1778</v>
      </c>
      <c r="H26" s="618">
        <v>-2</v>
      </c>
    </row>
    <row r="27" spans="2:13" ht="26.1" customHeight="1" x14ac:dyDescent="0.25">
      <c r="B27" s="602" t="s">
        <v>502</v>
      </c>
      <c r="C27" s="603" t="s">
        <v>1778</v>
      </c>
      <c r="D27" s="606">
        <v>2</v>
      </c>
      <c r="E27" s="598"/>
      <c r="F27" s="602" t="s">
        <v>503</v>
      </c>
      <c r="G27" s="605" t="s">
        <v>1778</v>
      </c>
      <c r="H27" s="618"/>
    </row>
    <row r="28" spans="2:13" ht="26.1" customHeight="1" x14ac:dyDescent="0.25">
      <c r="B28" s="602" t="s">
        <v>504</v>
      </c>
      <c r="C28" s="603" t="s">
        <v>1778</v>
      </c>
      <c r="D28" s="606"/>
      <c r="E28" s="598"/>
      <c r="F28" s="602" t="s">
        <v>505</v>
      </c>
      <c r="G28" s="603" t="s">
        <v>1778</v>
      </c>
      <c r="H28" s="618"/>
    </row>
    <row r="29" spans="2:13" ht="26.1" customHeight="1" x14ac:dyDescent="0.25">
      <c r="B29" s="602" t="s">
        <v>506</v>
      </c>
      <c r="C29" s="603" t="s">
        <v>1778</v>
      </c>
      <c r="D29" s="606"/>
      <c r="E29" s="598"/>
      <c r="F29" s="602" t="s">
        <v>507</v>
      </c>
      <c r="G29" s="605" t="s">
        <v>1778</v>
      </c>
      <c r="H29" s="618"/>
    </row>
    <row r="30" spans="2:13" ht="26.1" customHeight="1" x14ac:dyDescent="0.25">
      <c r="B30" s="602" t="s">
        <v>508</v>
      </c>
      <c r="C30" s="603" t="s">
        <v>1778</v>
      </c>
      <c r="D30" s="606"/>
      <c r="E30" s="598"/>
      <c r="F30" s="602" t="s">
        <v>509</v>
      </c>
      <c r="G30" s="605" t="s">
        <v>1778</v>
      </c>
      <c r="H30" s="618"/>
    </row>
    <row r="31" spans="2:13" ht="26.1" customHeight="1" x14ac:dyDescent="0.25">
      <c r="B31" s="602" t="s">
        <v>510</v>
      </c>
      <c r="C31" s="603" t="s">
        <v>1778</v>
      </c>
      <c r="D31" s="606"/>
      <c r="E31" s="598"/>
      <c r="F31" s="602" t="s">
        <v>511</v>
      </c>
      <c r="G31" s="605" t="s">
        <v>1778</v>
      </c>
      <c r="H31" s="618"/>
    </row>
    <row r="32" spans="2:13" ht="26.1" customHeight="1" x14ac:dyDescent="0.25">
      <c r="B32" s="602" t="s">
        <v>512</v>
      </c>
      <c r="C32" s="603" t="s">
        <v>1778</v>
      </c>
      <c r="D32" s="606"/>
      <c r="E32" s="598"/>
      <c r="F32" s="602" t="s">
        <v>513</v>
      </c>
      <c r="G32" s="605" t="s">
        <v>1778</v>
      </c>
      <c r="H32" s="618"/>
    </row>
    <row r="33" spans="2:8" ht="26.1" customHeight="1" x14ac:dyDescent="0.25">
      <c r="B33" s="602" t="s">
        <v>514</v>
      </c>
      <c r="C33" s="603" t="s">
        <v>1778</v>
      </c>
      <c r="D33" s="606"/>
      <c r="E33" s="598"/>
      <c r="F33" s="602" t="s">
        <v>515</v>
      </c>
      <c r="G33" s="605" t="s">
        <v>1778</v>
      </c>
      <c r="H33" s="618"/>
    </row>
    <row r="34" spans="2:8" ht="26.1" customHeight="1" x14ac:dyDescent="0.25">
      <c r="B34" s="602" t="s">
        <v>516</v>
      </c>
      <c r="C34" s="603" t="s">
        <v>1778</v>
      </c>
      <c r="D34" s="606"/>
      <c r="E34" s="598"/>
      <c r="F34" s="602" t="s">
        <v>517</v>
      </c>
      <c r="G34" s="605" t="s">
        <v>1778</v>
      </c>
      <c r="H34" s="618"/>
    </row>
    <row r="35" spans="2:8" ht="26.1" customHeight="1" x14ac:dyDescent="0.25">
      <c r="B35" s="602" t="s">
        <v>518</v>
      </c>
      <c r="C35" s="603" t="s">
        <v>1778</v>
      </c>
      <c r="D35" s="606"/>
      <c r="E35" s="598"/>
      <c r="F35" s="602" t="s">
        <v>519</v>
      </c>
      <c r="G35" s="605" t="s">
        <v>1778</v>
      </c>
      <c r="H35" s="618"/>
    </row>
    <row r="36" spans="2:8" ht="26.1" customHeight="1" x14ac:dyDescent="0.25">
      <c r="B36" s="602" t="s">
        <v>520</v>
      </c>
      <c r="C36" s="603" t="s">
        <v>1778</v>
      </c>
      <c r="D36" s="606"/>
      <c r="E36" s="598"/>
      <c r="F36" s="602" t="s">
        <v>521</v>
      </c>
      <c r="G36" s="605" t="s">
        <v>1778</v>
      </c>
      <c r="H36" s="618"/>
    </row>
    <row r="37" spans="2:8" ht="26.1" customHeight="1" x14ac:dyDescent="0.25">
      <c r="B37" s="602" t="s">
        <v>522</v>
      </c>
      <c r="C37" s="603" t="s">
        <v>1778</v>
      </c>
      <c r="D37" s="606"/>
      <c r="E37" s="598"/>
      <c r="F37" s="602" t="s">
        <v>523</v>
      </c>
      <c r="G37" s="605" t="s">
        <v>1778</v>
      </c>
      <c r="H37" s="618"/>
    </row>
    <row r="38" spans="2:8" ht="26.1" customHeight="1" x14ac:dyDescent="0.25">
      <c r="B38" s="602" t="s">
        <v>524</v>
      </c>
      <c r="C38" s="603" t="s">
        <v>1778</v>
      </c>
      <c r="D38" s="606"/>
      <c r="E38" s="598"/>
      <c r="F38" s="602" t="s">
        <v>525</v>
      </c>
      <c r="G38" s="605" t="s">
        <v>1778</v>
      </c>
      <c r="H38" s="618"/>
    </row>
    <row r="39" spans="2:8" ht="26.1" customHeight="1" x14ac:dyDescent="0.25">
      <c r="B39" s="602" t="s">
        <v>526</v>
      </c>
      <c r="C39" s="603" t="s">
        <v>1778</v>
      </c>
      <c r="D39" s="606"/>
      <c r="E39" s="598"/>
      <c r="F39" s="602" t="s">
        <v>527</v>
      </c>
      <c r="G39" s="605" t="s">
        <v>1778</v>
      </c>
      <c r="H39" s="618"/>
    </row>
    <row r="40" spans="2:8" ht="26.1" customHeight="1" x14ac:dyDescent="0.25">
      <c r="B40" s="602" t="s">
        <v>528</v>
      </c>
      <c r="C40" s="603" t="s">
        <v>1778</v>
      </c>
      <c r="D40" s="606"/>
      <c r="E40" s="598"/>
      <c r="F40" s="602" t="s">
        <v>529</v>
      </c>
      <c r="G40" s="605" t="s">
        <v>1778</v>
      </c>
      <c r="H40" s="618"/>
    </row>
    <row r="41" spans="2:8" ht="26.1" customHeight="1" x14ac:dyDescent="0.25">
      <c r="B41" s="602" t="s">
        <v>530</v>
      </c>
      <c r="C41" s="603" t="s">
        <v>1778</v>
      </c>
      <c r="D41" s="606"/>
      <c r="E41" s="598"/>
      <c r="F41" s="602" t="s">
        <v>531</v>
      </c>
      <c r="G41" s="605" t="s">
        <v>1778</v>
      </c>
      <c r="H41" s="618"/>
    </row>
    <row r="42" spans="2:8" ht="26.1" customHeight="1" x14ac:dyDescent="0.25">
      <c r="B42" s="607" t="s">
        <v>532</v>
      </c>
      <c r="C42" s="608" t="s">
        <v>1778</v>
      </c>
      <c r="D42" s="611"/>
      <c r="E42" s="598"/>
      <c r="F42" s="607" t="s">
        <v>533</v>
      </c>
      <c r="G42" s="610" t="s">
        <v>1778</v>
      </c>
      <c r="H42" s="619"/>
    </row>
    <row r="43" spans="2:8" x14ac:dyDescent="0.25">
      <c r="B43" s="335" t="s">
        <v>1776</v>
      </c>
      <c r="F43" s="396"/>
    </row>
    <row r="49" spans="1:1" x14ac:dyDescent="0.25">
      <c r="A49" s="319"/>
    </row>
    <row r="61" spans="1:1" ht="309" customHeight="1" x14ac:dyDescent="0.25"/>
    <row r="65" spans="1:1" ht="6.75" customHeight="1" x14ac:dyDescent="0.25"/>
    <row r="66" spans="1:1" ht="7.5" hidden="1" customHeight="1" x14ac:dyDescent="0.25"/>
    <row r="71" spans="1:1" x14ac:dyDescent="0.25">
      <c r="A71" s="319"/>
    </row>
    <row r="77" spans="1:1" ht="4.5" customHeight="1" x14ac:dyDescent="0.25"/>
    <row r="79" spans="1:1" ht="6.75" customHeight="1" x14ac:dyDescent="0.25"/>
    <row r="80" spans="1:1" ht="7.5" hidden="1" customHeight="1" x14ac:dyDescent="0.25"/>
    <row r="85" spans="1:1" x14ac:dyDescent="0.25">
      <c r="A85" s="319"/>
    </row>
    <row r="88" spans="1:1" ht="18.75" customHeight="1" x14ac:dyDescent="0.25"/>
    <row r="91" spans="1:1" ht="4.5" customHeight="1" x14ac:dyDescent="0.25"/>
  </sheetData>
  <sheetProtection sheet="1" objects="1" scenarios="1" formatCells="0" formatColumns="0" formatRows="0" insertHyperlinks="0" selectLockedCells="1" sort="0" autoFilter="0"/>
  <conditionalFormatting sqref="B6:D23">
    <cfRule type="expression" dxfId="102" priority="1">
      <formula>MOD(ROW(A2),2)=0</formula>
    </cfRule>
    <cfRule type="expression" dxfId="101" priority="2">
      <formula>MOD(ROW(A1),2)=0</formula>
    </cfRule>
  </conditionalFormatting>
  <conditionalFormatting sqref="B25:D42">
    <cfRule type="expression" dxfId="100" priority="5">
      <formula>MOD(ROW(XFD1048573),2)=0</formula>
    </cfRule>
    <cfRule type="expression" dxfId="99" priority="6">
      <formula>MOD(ROW(XFD1048572),2)=0</formula>
    </cfRule>
  </conditionalFormatting>
  <conditionalFormatting sqref="F6:H23">
    <cfRule type="expression" dxfId="98" priority="3">
      <formula>MOD(ROW(A2),2)=0</formula>
    </cfRule>
    <cfRule type="expression" dxfId="97" priority="4">
      <formula>MOD(ROW(A1),2)=0</formula>
    </cfRule>
  </conditionalFormatting>
  <conditionalFormatting sqref="F25:H42">
    <cfRule type="expression" dxfId="96" priority="7">
      <formula>MOD(ROW(XFD1048573),2)=0</formula>
    </cfRule>
    <cfRule type="expression" dxfId="95" priority="8">
      <formula>MOD(ROW(XFD1048572),2)=0</formula>
    </cfRule>
  </conditionalFormatting>
  <dataValidations count="3">
    <dataValidation type="list" allowBlank="1" showInputMessage="1" showErrorMessage="1" sqref="H6:H23 H25:H42" xr:uid="{00000000-0002-0000-0F00-000000000000}">
      <formula1>"-1,-2,-3,-4,-5"</formula1>
    </dataValidation>
    <dataValidation type="list" showInputMessage="1" showErrorMessage="1" sqref="D6:D23 D25:D42" xr:uid="{00000000-0002-0000-0F00-000001000000}">
      <formula1>"1,2,3,4,5"</formula1>
    </dataValidation>
    <dataValidation type="list" allowBlank="1" showInputMessage="1" showErrorMessage="1" sqref="D24" xr:uid="{00000000-0002-0000-0F00-000002000000}">
      <formula1>"-5,-4,-3,-2,-1,0,1,2,3,4,5"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90" orientation="portrait" r:id="rId1"/>
  <headerFooter>
    <oddFooter>&amp;L&amp;8&amp;K00-048(c) S.Imboden&amp;R&amp;8&amp;K00-048Seite &amp;P von &amp;N</oddFooter>
  </headerFooter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Tabelle12">
    <tabColor theme="5" tint="0.59999389629810485"/>
    <pageSetUpPr fitToPage="1"/>
  </sheetPr>
  <dimension ref="A1:N52"/>
  <sheetViews>
    <sheetView showGridLines="0" zoomScaleNormal="100" workbookViewId="0">
      <pane ySplit="1" topLeftCell="A2" activePane="bottomLeft" state="frozen"/>
      <selection activeCell="K1" sqref="K1"/>
      <selection pane="bottomLeft" activeCell="F3" sqref="F3"/>
    </sheetView>
  </sheetViews>
  <sheetFormatPr baseColWidth="10" defaultColWidth="11.44140625" defaultRowHeight="14.4" x14ac:dyDescent="0.3"/>
  <cols>
    <col min="1" max="1" width="7" style="271" customWidth="1"/>
    <col min="2" max="2" width="3" style="270" customWidth="1"/>
    <col min="3" max="4" width="40.6640625" style="270" customWidth="1"/>
    <col min="5" max="6" width="20.6640625" style="270" customWidth="1"/>
    <col min="7" max="8" width="40.6640625" style="270" customWidth="1"/>
    <col min="9" max="9" width="4.109375" style="270" customWidth="1"/>
    <col min="10" max="19" width="3" style="270" customWidth="1"/>
    <col min="20" max="16384" width="11.44140625" style="270"/>
  </cols>
  <sheetData>
    <row r="1" spans="1:14" ht="44.4" customHeight="1" x14ac:dyDescent="0.3">
      <c r="A1" s="266"/>
      <c r="B1" s="266"/>
      <c r="C1" s="267" t="str">
        <f ca="1">' '!A478</f>
        <v>T H E   B U S I N E S S   M O D E L   C A N V A S</v>
      </c>
      <c r="D1" s="267"/>
      <c r="E1" s="267"/>
      <c r="F1" s="267"/>
      <c r="G1" s="267"/>
      <c r="H1" s="268"/>
      <c r="I1" s="269"/>
      <c r="J1" s="269"/>
      <c r="K1" s="269"/>
      <c r="L1" s="269"/>
      <c r="M1" s="269"/>
      <c r="N1" s="269"/>
    </row>
    <row r="2" spans="1:14" ht="25.5" customHeight="1" x14ac:dyDescent="0.3">
      <c r="B2" s="272"/>
      <c r="C2" s="269"/>
      <c r="D2" s="269"/>
      <c r="E2" s="269"/>
      <c r="F2" s="269"/>
      <c r="G2" s="269"/>
      <c r="H2" s="269"/>
      <c r="I2" s="273"/>
    </row>
    <row r="3" spans="1:14" s="271" customFormat="1" x14ac:dyDescent="0.3">
      <c r="A3" s="274"/>
      <c r="C3" s="275" t="str">
        <f ca="1">' '!A479</f>
        <v>Conçu pour:</v>
      </c>
      <c r="D3" s="276">
        <f>H1</f>
        <v>0</v>
      </c>
      <c r="E3" s="275" t="str">
        <f ca="1">' '!A480</f>
        <v>Conçu par:</v>
      </c>
      <c r="F3" s="277"/>
      <c r="G3" s="275" t="str">
        <f ca="1">' '!A481</f>
        <v>Mis à jour le :</v>
      </c>
      <c r="H3" s="278">
        <f ca="1">TODAY()</f>
        <v>46049</v>
      </c>
    </row>
    <row r="6" spans="1:14" ht="21" x14ac:dyDescent="0.4">
      <c r="C6" s="279" t="s">
        <v>1081</v>
      </c>
      <c r="D6" s="279" t="s">
        <v>1082</v>
      </c>
      <c r="E6" s="1056" t="s">
        <v>1083</v>
      </c>
      <c r="F6" s="1057"/>
      <c r="G6" s="279" t="s">
        <v>1084</v>
      </c>
      <c r="H6" s="279" t="s">
        <v>1085</v>
      </c>
    </row>
    <row r="7" spans="1:14" x14ac:dyDescent="0.3">
      <c r="C7" s="280"/>
      <c r="D7" s="281"/>
      <c r="E7" s="1051"/>
      <c r="F7" s="1052"/>
      <c r="G7" s="281"/>
      <c r="H7" s="282"/>
    </row>
    <row r="8" spans="1:14" x14ac:dyDescent="0.3">
      <c r="C8" s="283"/>
      <c r="D8" s="284"/>
      <c r="E8" s="1048"/>
      <c r="F8" s="1058"/>
      <c r="G8" s="284"/>
      <c r="H8" s="285"/>
    </row>
    <row r="9" spans="1:14" x14ac:dyDescent="0.3">
      <c r="C9" s="283"/>
      <c r="D9" s="284"/>
      <c r="E9" s="1048"/>
      <c r="F9" s="1058"/>
      <c r="G9" s="284"/>
      <c r="H9" s="285"/>
    </row>
    <row r="10" spans="1:14" x14ac:dyDescent="0.3">
      <c r="C10" s="286"/>
      <c r="D10" s="284"/>
      <c r="E10" s="1048"/>
      <c r="F10" s="1058"/>
      <c r="G10" s="284"/>
      <c r="H10" s="287"/>
    </row>
    <row r="11" spans="1:14" x14ac:dyDescent="0.3">
      <c r="C11" s="288"/>
      <c r="D11" s="289"/>
      <c r="E11" s="1044"/>
      <c r="F11" s="1043"/>
      <c r="G11" s="284"/>
      <c r="H11" s="287"/>
    </row>
    <row r="12" spans="1:14" x14ac:dyDescent="0.3">
      <c r="C12" s="288"/>
      <c r="D12" s="289"/>
      <c r="E12" s="1044"/>
      <c r="F12" s="1043"/>
      <c r="G12" s="289"/>
      <c r="H12" s="287"/>
    </row>
    <row r="13" spans="1:14" x14ac:dyDescent="0.3">
      <c r="C13" s="288"/>
      <c r="D13" s="289"/>
      <c r="E13" s="1044"/>
      <c r="F13" s="1043"/>
      <c r="G13" s="289"/>
      <c r="H13" s="287"/>
    </row>
    <row r="14" spans="1:14" x14ac:dyDescent="0.3">
      <c r="C14" s="288"/>
      <c r="D14" s="289"/>
      <c r="E14" s="1044"/>
      <c r="F14" s="1043"/>
      <c r="G14" s="289"/>
      <c r="H14" s="287"/>
    </row>
    <row r="15" spans="1:14" x14ac:dyDescent="0.3">
      <c r="C15" s="288"/>
      <c r="D15" s="289"/>
      <c r="E15" s="1044"/>
      <c r="F15" s="1043"/>
      <c r="G15" s="289"/>
      <c r="H15" s="287"/>
    </row>
    <row r="16" spans="1:14" x14ac:dyDescent="0.3">
      <c r="C16" s="288"/>
      <c r="D16" s="289"/>
      <c r="E16" s="290"/>
      <c r="F16" s="291"/>
      <c r="G16" s="289"/>
      <c r="H16" s="287"/>
    </row>
    <row r="17" spans="3:8" x14ac:dyDescent="0.3">
      <c r="C17" s="288"/>
      <c r="D17" s="289"/>
      <c r="E17" s="290"/>
      <c r="F17" s="291"/>
      <c r="G17" s="289"/>
      <c r="H17" s="287"/>
    </row>
    <row r="18" spans="3:8" x14ac:dyDescent="0.3">
      <c r="C18" s="288"/>
      <c r="D18" s="289"/>
      <c r="E18" s="290"/>
      <c r="F18" s="291"/>
      <c r="G18" s="289"/>
      <c r="H18" s="287"/>
    </row>
    <row r="19" spans="3:8" x14ac:dyDescent="0.3">
      <c r="C19" s="288"/>
      <c r="D19" s="289"/>
      <c r="E19" s="1044"/>
      <c r="F19" s="1043"/>
      <c r="G19" s="289"/>
      <c r="H19" s="287"/>
    </row>
    <row r="20" spans="3:8" x14ac:dyDescent="0.3">
      <c r="C20" s="288"/>
      <c r="D20" s="289"/>
      <c r="E20" s="1044"/>
      <c r="F20" s="1043"/>
      <c r="G20" s="289"/>
      <c r="H20" s="287"/>
    </row>
    <row r="21" spans="3:8" x14ac:dyDescent="0.3">
      <c r="C21" s="288"/>
      <c r="D21" s="289"/>
      <c r="E21" s="1044"/>
      <c r="F21" s="1043"/>
      <c r="G21" s="289"/>
      <c r="H21" s="287"/>
    </row>
    <row r="22" spans="3:8" x14ac:dyDescent="0.3">
      <c r="C22" s="288"/>
      <c r="D22" s="281"/>
      <c r="E22" s="1044"/>
      <c r="F22" s="1043"/>
      <c r="G22" s="289"/>
      <c r="H22" s="287"/>
    </row>
    <row r="23" spans="3:8" ht="21" x14ac:dyDescent="0.4">
      <c r="C23" s="288"/>
      <c r="D23" s="292" t="s">
        <v>1086</v>
      </c>
      <c r="E23" s="1044"/>
      <c r="F23" s="1043"/>
      <c r="G23" s="293" t="s">
        <v>1087</v>
      </c>
      <c r="H23" s="287"/>
    </row>
    <row r="24" spans="3:8" x14ac:dyDescent="0.3">
      <c r="C24" s="294"/>
      <c r="D24" s="281"/>
      <c r="E24" s="1044"/>
      <c r="F24" s="1043"/>
      <c r="G24" s="281"/>
      <c r="H24" s="287"/>
    </row>
    <row r="25" spans="3:8" ht="15" customHeight="1" x14ac:dyDescent="0.3">
      <c r="C25" s="294"/>
      <c r="D25" s="295"/>
      <c r="E25" s="1044"/>
      <c r="F25" s="1043"/>
      <c r="G25" s="295"/>
      <c r="H25" s="287"/>
    </row>
    <row r="26" spans="3:8" x14ac:dyDescent="0.3">
      <c r="C26" s="294"/>
      <c r="D26" s="295"/>
      <c r="E26" s="1044"/>
      <c r="F26" s="1043"/>
      <c r="G26" s="295"/>
      <c r="H26" s="287"/>
    </row>
    <row r="27" spans="3:8" x14ac:dyDescent="0.3">
      <c r="C27" s="294"/>
      <c r="D27" s="295"/>
      <c r="E27" s="1044"/>
      <c r="F27" s="1043"/>
      <c r="G27" s="295"/>
      <c r="H27" s="287"/>
    </row>
    <row r="28" spans="3:8" x14ac:dyDescent="0.3">
      <c r="C28" s="294"/>
      <c r="D28" s="289"/>
      <c r="E28" s="1044"/>
      <c r="F28" s="1043"/>
      <c r="G28" s="289"/>
      <c r="H28" s="287"/>
    </row>
    <row r="29" spans="3:8" x14ac:dyDescent="0.3">
      <c r="C29" s="294"/>
      <c r="D29" s="289"/>
      <c r="E29" s="1044"/>
      <c r="F29" s="1043"/>
      <c r="G29" s="289"/>
      <c r="H29" s="287"/>
    </row>
    <row r="30" spans="3:8" x14ac:dyDescent="0.3">
      <c r="C30" s="294"/>
      <c r="D30" s="289"/>
      <c r="E30" s="1044"/>
      <c r="F30" s="1043"/>
      <c r="G30" s="289"/>
      <c r="H30" s="287"/>
    </row>
    <row r="31" spans="3:8" x14ac:dyDescent="0.3">
      <c r="C31" s="294"/>
      <c r="D31" s="289"/>
      <c r="E31" s="1044"/>
      <c r="F31" s="1043"/>
      <c r="G31" s="289"/>
      <c r="H31" s="287"/>
    </row>
    <row r="32" spans="3:8" x14ac:dyDescent="0.3">
      <c r="C32" s="294"/>
      <c r="D32" s="289"/>
      <c r="E32" s="290"/>
      <c r="F32" s="291"/>
      <c r="G32" s="289"/>
      <c r="H32" s="287"/>
    </row>
    <row r="33" spans="3:8" x14ac:dyDescent="0.3">
      <c r="C33" s="294"/>
      <c r="D33" s="289"/>
      <c r="E33" s="1044"/>
      <c r="F33" s="1043"/>
      <c r="G33" s="289"/>
      <c r="H33" s="287"/>
    </row>
    <row r="34" spans="3:8" x14ac:dyDescent="0.3">
      <c r="C34" s="294"/>
      <c r="D34" s="289"/>
      <c r="E34" s="290"/>
      <c r="F34" s="291"/>
      <c r="G34" s="289"/>
      <c r="H34" s="287"/>
    </row>
    <row r="35" spans="3:8" x14ac:dyDescent="0.3">
      <c r="C35" s="294"/>
      <c r="D35" s="289"/>
      <c r="E35" s="290"/>
      <c r="F35" s="291"/>
      <c r="G35" s="289"/>
      <c r="H35" s="287"/>
    </row>
    <row r="36" spans="3:8" x14ac:dyDescent="0.3">
      <c r="C36" s="294"/>
      <c r="D36" s="289"/>
      <c r="E36" s="1044"/>
      <c r="F36" s="1043"/>
      <c r="G36" s="289"/>
      <c r="H36" s="287"/>
    </row>
    <row r="37" spans="3:8" x14ac:dyDescent="0.3">
      <c r="C37" s="294"/>
      <c r="D37" s="289"/>
      <c r="E37" s="1044"/>
      <c r="F37" s="1043"/>
      <c r="G37" s="289"/>
      <c r="H37" s="282"/>
    </row>
    <row r="38" spans="3:8" x14ac:dyDescent="0.3">
      <c r="C38" s="294"/>
      <c r="D38" s="289"/>
      <c r="E38" s="1051"/>
      <c r="F38" s="1052"/>
      <c r="G38" s="289"/>
      <c r="H38" s="282"/>
    </row>
    <row r="39" spans="3:8" ht="21" x14ac:dyDescent="0.4">
      <c r="C39" s="1053" t="s">
        <v>1088</v>
      </c>
      <c r="D39" s="1054"/>
      <c r="E39" s="1055"/>
      <c r="F39" s="1053" t="s">
        <v>1089</v>
      </c>
      <c r="G39" s="1054"/>
      <c r="H39" s="1055"/>
    </row>
    <row r="40" spans="3:8" x14ac:dyDescent="0.3">
      <c r="C40" s="1041"/>
      <c r="D40" s="1042"/>
      <c r="E40" s="1043"/>
      <c r="F40" s="1044"/>
      <c r="G40" s="1042"/>
      <c r="H40" s="1045"/>
    </row>
    <row r="41" spans="3:8" x14ac:dyDescent="0.3">
      <c r="C41" s="1041"/>
      <c r="D41" s="1042"/>
      <c r="E41" s="1043"/>
      <c r="F41" s="1048"/>
      <c r="G41" s="1049"/>
      <c r="H41" s="1050"/>
    </row>
    <row r="42" spans="3:8" x14ac:dyDescent="0.3">
      <c r="C42" s="1041"/>
      <c r="D42" s="1042"/>
      <c r="E42" s="1043"/>
      <c r="F42" s="1044"/>
      <c r="G42" s="1042"/>
      <c r="H42" s="1045"/>
    </row>
    <row r="43" spans="3:8" x14ac:dyDescent="0.3">
      <c r="C43" s="1041"/>
      <c r="D43" s="1042"/>
      <c r="E43" s="1043"/>
      <c r="F43" s="1044"/>
      <c r="G43" s="1042"/>
      <c r="H43" s="1045"/>
    </row>
    <row r="44" spans="3:8" x14ac:dyDescent="0.3">
      <c r="C44" s="1041"/>
      <c r="D44" s="1042"/>
      <c r="E44" s="1043"/>
      <c r="F44" s="1044"/>
      <c r="G44" s="1042"/>
      <c r="H44" s="1045"/>
    </row>
    <row r="45" spans="3:8" x14ac:dyDescent="0.3">
      <c r="C45" s="1041"/>
      <c r="D45" s="1042"/>
      <c r="E45" s="1043"/>
      <c r="F45" s="1044"/>
      <c r="G45" s="1042"/>
      <c r="H45" s="1045"/>
    </row>
    <row r="46" spans="3:8" x14ac:dyDescent="0.3">
      <c r="C46" s="1041"/>
      <c r="D46" s="1042"/>
      <c r="E46" s="1043"/>
      <c r="F46" s="1044"/>
      <c r="G46" s="1042"/>
      <c r="H46" s="1045"/>
    </row>
    <row r="47" spans="3:8" x14ac:dyDescent="0.3">
      <c r="C47" s="1041"/>
      <c r="D47" s="1042"/>
      <c r="E47" s="1043"/>
      <c r="F47" s="1044"/>
      <c r="G47" s="1042"/>
      <c r="H47" s="1045"/>
    </row>
    <row r="48" spans="3:8" x14ac:dyDescent="0.3">
      <c r="C48" s="1041"/>
      <c r="D48" s="1042"/>
      <c r="E48" s="1043"/>
      <c r="F48" s="1044"/>
      <c r="G48" s="1042"/>
      <c r="H48" s="1045"/>
    </row>
    <row r="49" spans="3:8" x14ac:dyDescent="0.3">
      <c r="C49" s="1041"/>
      <c r="D49" s="1042"/>
      <c r="E49" s="1043"/>
      <c r="F49" s="1044"/>
      <c r="G49" s="1042"/>
      <c r="H49" s="1045"/>
    </row>
    <row r="50" spans="3:8" x14ac:dyDescent="0.3">
      <c r="C50" s="1041"/>
      <c r="D50" s="1042"/>
      <c r="E50" s="1043"/>
      <c r="F50" s="1044"/>
      <c r="G50" s="1042"/>
      <c r="H50" s="1045"/>
    </row>
    <row r="51" spans="3:8" x14ac:dyDescent="0.3">
      <c r="C51" s="1025"/>
      <c r="D51" s="1026"/>
      <c r="E51" s="1027"/>
      <c r="F51" s="1046"/>
      <c r="G51" s="1026"/>
      <c r="H51" s="1047"/>
    </row>
    <row r="52" spans="3:8" x14ac:dyDescent="0.3">
      <c r="C52" s="335" t="s">
        <v>1776</v>
      </c>
      <c r="D52"/>
    </row>
  </sheetData>
  <sheetProtection sheet="1" objects="1" scenarios="1" formatCells="0" formatColumns="0" formatRows="0" insertHyperlinks="0" selectLockedCells="1" sort="0" autoFilter="0"/>
  <mergeCells count="53">
    <mergeCell ref="E11:F11"/>
    <mergeCell ref="E6:F6"/>
    <mergeCell ref="E7:F7"/>
    <mergeCell ref="E8:F8"/>
    <mergeCell ref="E9:F9"/>
    <mergeCell ref="E10:F10"/>
    <mergeCell ref="E26:F26"/>
    <mergeCell ref="E12:F12"/>
    <mergeCell ref="E13:F13"/>
    <mergeCell ref="E14:F14"/>
    <mergeCell ref="E15:F15"/>
    <mergeCell ref="E19:F19"/>
    <mergeCell ref="E20:F20"/>
    <mergeCell ref="E21:F21"/>
    <mergeCell ref="E22:F22"/>
    <mergeCell ref="E23:F23"/>
    <mergeCell ref="E24:F24"/>
    <mergeCell ref="E25:F25"/>
    <mergeCell ref="C40:E40"/>
    <mergeCell ref="F40:H40"/>
    <mergeCell ref="E27:F27"/>
    <mergeCell ref="E28:F28"/>
    <mergeCell ref="E29:F29"/>
    <mergeCell ref="E30:F30"/>
    <mergeCell ref="E31:F31"/>
    <mergeCell ref="E33:F33"/>
    <mergeCell ref="E36:F36"/>
    <mergeCell ref="E37:F37"/>
    <mergeCell ref="E38:F38"/>
    <mergeCell ref="C39:E39"/>
    <mergeCell ref="F39:H39"/>
    <mergeCell ref="C41:E41"/>
    <mergeCell ref="F41:H41"/>
    <mergeCell ref="C42:E42"/>
    <mergeCell ref="F42:H42"/>
    <mergeCell ref="C43:E43"/>
    <mergeCell ref="F43:H43"/>
    <mergeCell ref="C44:E44"/>
    <mergeCell ref="F44:H44"/>
    <mergeCell ref="C45:E45"/>
    <mergeCell ref="F45:H45"/>
    <mergeCell ref="C46:E46"/>
    <mergeCell ref="F46:H46"/>
    <mergeCell ref="C50:E50"/>
    <mergeCell ref="F50:H50"/>
    <mergeCell ref="C51:E51"/>
    <mergeCell ref="F51:H51"/>
    <mergeCell ref="C47:E47"/>
    <mergeCell ref="F47:H47"/>
    <mergeCell ref="C48:E48"/>
    <mergeCell ref="F48:H48"/>
    <mergeCell ref="C49:E49"/>
    <mergeCell ref="F49:H49"/>
  </mergeCells>
  <printOptions horizontalCentered="1" verticalCentered="1"/>
  <pageMargins left="0.23622047244094491" right="0.23622047244094491" top="0.19685039370078741" bottom="0.19685039370078741" header="0.19685039370078741" footer="0.19685039370078741"/>
  <pageSetup paperSize="8" scale="95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Tabelle40">
    <tabColor theme="5" tint="0.59999389629810485"/>
  </sheetPr>
  <dimension ref="A1:AB165"/>
  <sheetViews>
    <sheetView showGridLines="0" zoomScaleNormal="100" workbookViewId="0">
      <pane ySplit="7" topLeftCell="A8" activePane="bottomLeft" state="frozen"/>
      <selection activeCell="K1" sqref="K1"/>
      <selection pane="bottomLeft" activeCell="A8" sqref="A8"/>
    </sheetView>
  </sheetViews>
  <sheetFormatPr baseColWidth="10" defaultColWidth="12.5546875" defaultRowHeight="14.4" x14ac:dyDescent="0.3"/>
  <cols>
    <col min="1" max="1" width="7" style="21" customWidth="1"/>
    <col min="2" max="2" width="3.33203125" style="21" customWidth="1"/>
    <col min="3" max="3" width="0.5546875" style="7" customWidth="1"/>
    <col min="4" max="4" width="15.33203125" style="21" customWidth="1"/>
    <col min="5" max="5" width="36.6640625" style="21" customWidth="1"/>
    <col min="6" max="6" width="0.5546875" style="7" customWidth="1"/>
    <col min="7" max="7" width="1.6640625" style="21" customWidth="1"/>
    <col min="8" max="8" width="5" style="21" customWidth="1"/>
    <col min="9" max="9" width="1.6640625" style="21" customWidth="1"/>
    <col min="10" max="10" width="5" style="21" customWidth="1"/>
    <col min="11" max="11" width="1.6640625" style="21" customWidth="1"/>
    <col min="12" max="12" width="5" style="21" customWidth="1"/>
    <col min="13" max="13" width="1.6640625" style="21" customWidth="1"/>
    <col min="14" max="14" width="5" style="21" customWidth="1"/>
    <col min="15" max="15" width="1.6640625" style="21" customWidth="1"/>
    <col min="16" max="16" width="5" style="21" customWidth="1"/>
    <col min="17" max="17" width="3.88671875" style="21" customWidth="1"/>
    <col min="18" max="18" width="0.109375" style="21" customWidth="1"/>
    <col min="19" max="19" width="5.44140625" style="7" customWidth="1"/>
    <col min="20" max="20" width="0.5546875" style="7" customWidth="1"/>
    <col min="21" max="21" width="39" style="7" customWidth="1"/>
    <col min="22" max="22" width="4.5546875" style="60" customWidth="1"/>
    <col min="23" max="23" width="6.44140625" style="100" customWidth="1"/>
    <col min="24" max="24" width="3" style="100" customWidth="1"/>
    <col min="25" max="25" width="5" style="60" customWidth="1"/>
    <col min="26" max="26" width="3" style="7" customWidth="1"/>
    <col min="27" max="27" width="12.5546875" style="81"/>
    <col min="28" max="16384" width="12.5546875" style="21"/>
  </cols>
  <sheetData>
    <row r="1" spans="1:28" s="5" customFormat="1" ht="44.4" customHeight="1" x14ac:dyDescent="0.3">
      <c r="B1" s="3" t="str">
        <f ca="1">' '!A182</f>
        <v>C A N V A S :   F O R C E S   &amp;   F A I B L E S S E S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5"/>
      <c r="S1" s="2"/>
      <c r="T1" s="2"/>
      <c r="U1" s="260"/>
      <c r="V1" s="66"/>
      <c r="W1" s="67"/>
      <c r="X1" s="67"/>
      <c r="Y1" s="68"/>
      <c r="AA1" s="69"/>
    </row>
    <row r="2" spans="1:28" s="5" customFormat="1" ht="22.5" customHeight="1" x14ac:dyDescent="0.3">
      <c r="B2" s="14"/>
      <c r="C2" s="26"/>
      <c r="D2" s="25"/>
      <c r="E2" s="25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70"/>
      <c r="V2" s="71"/>
      <c r="W2" s="67"/>
      <c r="X2" s="67"/>
      <c r="Y2" s="68"/>
      <c r="AA2" s="69"/>
    </row>
    <row r="3" spans="1:28" ht="17.25" customHeight="1" x14ac:dyDescent="0.3">
      <c r="B3" s="72"/>
      <c r="C3" s="47"/>
      <c r="D3" s="73"/>
      <c r="E3" s="74">
        <f>(P10+P15+P24+P29+P33+P41+P46+P50+P55)</f>
        <v>195</v>
      </c>
      <c r="G3" s="1060"/>
      <c r="H3" s="1061" t="str">
        <f ca="1">' '!A187</f>
        <v xml:space="preserve">ne correspond pas du tout </v>
      </c>
      <c r="I3" s="75"/>
      <c r="J3" s="1061" t="str">
        <f ca="1">' '!A186</f>
        <v>correspond peu</v>
      </c>
      <c r="K3" s="75"/>
      <c r="L3" s="1061" t="str">
        <f ca="1">' '!A185</f>
        <v xml:space="preserve">correspond partiellement </v>
      </c>
      <c r="M3" s="75"/>
      <c r="N3" s="1061" t="str">
        <f ca="1">' '!A184</f>
        <v xml:space="preserve">correspond plutôt </v>
      </c>
      <c r="O3" s="75"/>
      <c r="P3" s="1061" t="str">
        <f ca="1">' '!A183</f>
        <v xml:space="preserve">correspond tout à fait </v>
      </c>
      <c r="Q3" s="75"/>
      <c r="R3" s="75"/>
      <c r="S3" s="1062" t="str">
        <f ca="1">' '!A235</f>
        <v>Impact (1 - 10)</v>
      </c>
      <c r="T3" s="76"/>
      <c r="U3" s="77"/>
      <c r="V3" s="78"/>
      <c r="W3" s="79"/>
      <c r="X3" s="79"/>
      <c r="Y3" s="1063"/>
      <c r="Z3" s="80"/>
    </row>
    <row r="4" spans="1:28" ht="17.25" customHeight="1" x14ac:dyDescent="0.3">
      <c r="B4" s="72"/>
      <c r="C4" s="47"/>
      <c r="D4" s="82"/>
      <c r="E4" s="74">
        <f>(N10+N15+N24+N29+N33+N41+N50+N55)</f>
        <v>80</v>
      </c>
      <c r="G4" s="1060"/>
      <c r="H4" s="1061"/>
      <c r="I4" s="75"/>
      <c r="J4" s="1061"/>
      <c r="K4" s="75"/>
      <c r="L4" s="1061"/>
      <c r="M4" s="75"/>
      <c r="N4" s="1061"/>
      <c r="O4" s="75"/>
      <c r="P4" s="1061"/>
      <c r="Q4" s="75"/>
      <c r="R4" s="75"/>
      <c r="S4" s="1062"/>
      <c r="T4" s="76"/>
      <c r="U4" s="77"/>
      <c r="V4" s="83"/>
      <c r="W4" s="79"/>
      <c r="X4" s="79"/>
      <c r="Y4" s="1063"/>
      <c r="Z4" s="84"/>
    </row>
    <row r="5" spans="1:28" ht="17.25" customHeight="1" x14ac:dyDescent="0.3">
      <c r="B5" s="72"/>
      <c r="C5" s="47"/>
      <c r="D5" s="82"/>
      <c r="E5" s="85"/>
      <c r="G5" s="1060"/>
      <c r="H5" s="1061"/>
      <c r="I5" s="75"/>
      <c r="J5" s="1061"/>
      <c r="K5" s="75"/>
      <c r="L5" s="1061"/>
      <c r="M5" s="75"/>
      <c r="N5" s="1061"/>
      <c r="O5" s="75"/>
      <c r="P5" s="1061"/>
      <c r="Q5" s="75"/>
      <c r="R5" s="75"/>
      <c r="S5" s="1062"/>
      <c r="T5" s="76"/>
      <c r="U5" s="77"/>
      <c r="V5" s="83"/>
      <c r="W5" s="79"/>
      <c r="X5" s="79"/>
      <c r="Y5" s="1063"/>
      <c r="Z5" s="86"/>
    </row>
    <row r="6" spans="1:28" ht="24.75" customHeight="1" x14ac:dyDescent="0.3">
      <c r="B6" s="72"/>
      <c r="C6" s="73"/>
      <c r="D6" s="87"/>
      <c r="E6" s="88"/>
      <c r="G6" s="1060"/>
      <c r="H6" s="1061"/>
      <c r="I6" s="75"/>
      <c r="J6" s="1061"/>
      <c r="K6" s="75"/>
      <c r="L6" s="1061"/>
      <c r="M6" s="75"/>
      <c r="N6" s="1061"/>
      <c r="O6" s="75"/>
      <c r="P6" s="1061"/>
      <c r="Q6" s="75"/>
      <c r="R6" s="75"/>
      <c r="S6" s="1062"/>
      <c r="T6" s="76"/>
      <c r="U6" s="89" t="str">
        <f ca="1">CONCATENATE(' '!A239,"  ",E4," / ",E3)</f>
        <v>Total points :  80 / 195</v>
      </c>
      <c r="V6" s="90"/>
      <c r="W6" s="91"/>
      <c r="X6" s="91"/>
      <c r="Y6" s="91"/>
      <c r="Z6" s="91"/>
      <c r="AA6" s="92"/>
      <c r="AB6" s="65"/>
    </row>
    <row r="7" spans="1:28" s="7" customFormat="1" ht="13.5" customHeight="1" x14ac:dyDescent="0.4">
      <c r="D7" s="93"/>
      <c r="E7" s="93"/>
      <c r="G7" s="91"/>
      <c r="H7" s="94">
        <f>(COUNTIF(B118:B164,1)/39)</f>
        <v>5.128205128205128E-2</v>
      </c>
      <c r="I7" s="95"/>
      <c r="J7" s="94">
        <f>(COUNTIF(B118:B164,2)/39)</f>
        <v>0.20512820512820512</v>
      </c>
      <c r="K7" s="95"/>
      <c r="L7" s="94">
        <f>(COUNTIF(B118:B164,3)/39)</f>
        <v>0.23076923076923078</v>
      </c>
      <c r="M7" s="95"/>
      <c r="N7" s="94">
        <f>(COUNTIF(B118:B164,4)/39)</f>
        <v>0.15384615384615385</v>
      </c>
      <c r="O7" s="95"/>
      <c r="P7" s="94">
        <f>(COUNTIF(B118:B164,5)/39)</f>
        <v>7.6923076923076927E-2</v>
      </c>
      <c r="Q7" s="91"/>
      <c r="R7" s="21"/>
      <c r="AA7" s="34"/>
    </row>
    <row r="8" spans="1:28" ht="0.9" customHeight="1" x14ac:dyDescent="0.4">
      <c r="A8" s="96"/>
      <c r="D8" s="97"/>
      <c r="E8" s="97"/>
      <c r="G8" s="98"/>
      <c r="H8" s="98"/>
      <c r="I8" s="99"/>
      <c r="J8" s="98"/>
      <c r="K8" s="99"/>
      <c r="L8" s="98"/>
      <c r="M8" s="99"/>
      <c r="N8" s="98"/>
      <c r="O8" s="99"/>
      <c r="P8" s="98"/>
    </row>
    <row r="9" spans="1:28" ht="5.25" customHeight="1" x14ac:dyDescent="0.4">
      <c r="A9" s="96"/>
      <c r="D9" s="97"/>
      <c r="E9" s="97"/>
      <c r="G9" s="98"/>
      <c r="H9" s="98"/>
      <c r="I9" s="99"/>
      <c r="J9" s="98"/>
      <c r="K9" s="99"/>
      <c r="L9" s="98"/>
      <c r="M9" s="99"/>
      <c r="N9" s="98"/>
      <c r="O9" s="99"/>
      <c r="P9" s="98"/>
    </row>
    <row r="10" spans="1:28" ht="15.75" customHeight="1" x14ac:dyDescent="0.3">
      <c r="B10" s="101">
        <v>1</v>
      </c>
      <c r="C10" s="102"/>
      <c r="D10" s="1064" t="s">
        <v>546</v>
      </c>
      <c r="E10" s="1064"/>
      <c r="G10" s="103">
        <f>SUM(B118:B121)</f>
        <v>13</v>
      </c>
      <c r="H10" s="1064"/>
      <c r="I10" s="1064"/>
      <c r="J10" s="104"/>
      <c r="K10" s="104"/>
      <c r="L10" s="1065"/>
      <c r="M10" s="1065"/>
      <c r="N10" s="105">
        <f>SUM(B118:B121)</f>
        <v>13</v>
      </c>
      <c r="O10" s="106" t="s">
        <v>547</v>
      </c>
      <c r="P10" s="105">
        <v>20</v>
      </c>
      <c r="Q10" s="107"/>
      <c r="R10" s="108"/>
      <c r="S10" s="109"/>
      <c r="T10" s="110"/>
      <c r="U10" s="111"/>
      <c r="V10" s="21"/>
      <c r="W10" s="21"/>
      <c r="X10" s="21"/>
      <c r="Y10" s="21"/>
      <c r="Z10" s="112"/>
      <c r="AA10" s="113"/>
    </row>
    <row r="11" spans="1:28" ht="31.5" customHeight="1" x14ac:dyDescent="0.3">
      <c r="B11" s="114">
        <v>1.1000000000000001</v>
      </c>
      <c r="C11" s="34"/>
      <c r="D11" s="1059" t="str">
        <f ca="1">' '!A188</f>
        <v>Nos propositions de valeur correspondent aux besoins de nos clients</v>
      </c>
      <c r="E11" s="1059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15">
        <v>9</v>
      </c>
      <c r="T11" s="116"/>
      <c r="U11" s="117"/>
      <c r="V11" s="21"/>
      <c r="W11" s="21"/>
      <c r="X11" s="21"/>
      <c r="Y11" s="21"/>
      <c r="Z11" s="116"/>
      <c r="AA11" s="21"/>
    </row>
    <row r="12" spans="1:28" ht="31.5" customHeight="1" x14ac:dyDescent="0.3">
      <c r="B12" s="114">
        <v>1.2</v>
      </c>
      <c r="C12" s="102"/>
      <c r="D12" s="1059" t="str">
        <f ca="1">' '!A189</f>
        <v>Nos propositions de valeur ont de forts effets sur le réseau (Networking)</v>
      </c>
      <c r="E12" s="1059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15">
        <v>7</v>
      </c>
      <c r="T12" s="116"/>
      <c r="U12" s="117"/>
      <c r="V12" s="21"/>
      <c r="W12" s="21"/>
      <c r="X12" s="21"/>
      <c r="Y12" s="21"/>
      <c r="Z12" s="116"/>
      <c r="AA12" s="21"/>
    </row>
    <row r="13" spans="1:28" ht="31.5" customHeight="1" x14ac:dyDescent="0.3">
      <c r="B13" s="114">
        <v>1.3</v>
      </c>
      <c r="C13" s="118"/>
      <c r="D13" s="1059" t="str">
        <f ca="1">' '!A190</f>
        <v>Il existe des synergies fortes entre nos produits et nos services</v>
      </c>
      <c r="E13" s="1059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15">
        <v>5</v>
      </c>
      <c r="T13" s="116"/>
      <c r="U13" s="117"/>
      <c r="V13" s="21"/>
      <c r="W13" s="21"/>
      <c r="X13" s="21"/>
      <c r="Y13" s="21"/>
      <c r="Z13" s="116"/>
      <c r="AA13" s="21"/>
    </row>
    <row r="14" spans="1:28" ht="18" customHeight="1" x14ac:dyDescent="0.3">
      <c r="B14" s="114">
        <v>1.4</v>
      </c>
      <c r="C14" s="102"/>
      <c r="D14" s="1059" t="str">
        <f ca="1">' '!A191</f>
        <v>Nos clients sont satisfaits</v>
      </c>
      <c r="E14" s="1059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15">
        <v>3</v>
      </c>
      <c r="T14" s="116"/>
      <c r="U14" s="117"/>
      <c r="V14" s="21"/>
      <c r="W14" s="21"/>
      <c r="X14" s="21"/>
      <c r="Y14" s="21"/>
      <c r="Z14" s="116"/>
      <c r="AA14" s="21"/>
    </row>
    <row r="15" spans="1:28" ht="15.75" customHeight="1" x14ac:dyDescent="0.3">
      <c r="B15" s="101">
        <v>2</v>
      </c>
      <c r="C15" s="102"/>
      <c r="D15" s="1064" t="s">
        <v>548</v>
      </c>
      <c r="E15" s="1064"/>
      <c r="G15" s="104"/>
      <c r="H15" s="104"/>
      <c r="I15" s="104"/>
      <c r="J15" s="104"/>
      <c r="K15" s="104"/>
      <c r="L15" s="104"/>
      <c r="M15" s="104"/>
      <c r="N15" s="105">
        <f>SUM(B123:B130)</f>
        <v>25</v>
      </c>
      <c r="O15" s="106" t="s">
        <v>547</v>
      </c>
      <c r="P15" s="105">
        <v>40</v>
      </c>
      <c r="Q15" s="107"/>
      <c r="R15" s="108"/>
      <c r="S15" s="109"/>
      <c r="T15" s="112"/>
      <c r="U15" s="111"/>
      <c r="V15" s="21"/>
      <c r="W15" s="21"/>
      <c r="X15" s="21"/>
      <c r="Y15" s="21"/>
      <c r="Z15" s="112"/>
      <c r="AA15" s="21"/>
    </row>
    <row r="16" spans="1:28" ht="31.5" customHeight="1" x14ac:dyDescent="0.3">
      <c r="B16" s="119">
        <v>2.1</v>
      </c>
      <c r="C16" s="118"/>
      <c r="D16" s="1066" t="str">
        <f ca="1">' '!A193</f>
        <v>Nos marges sont élevées</v>
      </c>
      <c r="E16" s="1066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08"/>
      <c r="S16" s="121">
        <v>5</v>
      </c>
      <c r="T16" s="122"/>
      <c r="U16" s="117"/>
      <c r="V16" s="21"/>
      <c r="W16" s="21"/>
      <c r="X16" s="21"/>
      <c r="Y16" s="21"/>
      <c r="Z16" s="116"/>
      <c r="AA16" s="21"/>
    </row>
    <row r="17" spans="2:28" ht="31.5" customHeight="1" x14ac:dyDescent="0.3">
      <c r="B17" s="119">
        <v>2.2000000000000002</v>
      </c>
      <c r="C17" s="118"/>
      <c r="D17" s="1066" t="str">
        <f ca="1">' '!A194</f>
        <v>Nos revenus sont prévisibles</v>
      </c>
      <c r="E17" s="1066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08"/>
      <c r="S17" s="121">
        <v>4</v>
      </c>
      <c r="T17" s="122"/>
      <c r="U17" s="117"/>
      <c r="V17" s="21"/>
      <c r="W17" s="21"/>
      <c r="X17" s="21"/>
      <c r="Y17" s="21"/>
      <c r="Z17" s="116"/>
      <c r="AA17" s="123"/>
      <c r="AB17" s="123"/>
    </row>
    <row r="18" spans="2:28" ht="31.5" customHeight="1" x14ac:dyDescent="0.3">
      <c r="B18" s="119">
        <v>2.2999999999999998</v>
      </c>
      <c r="C18" s="34"/>
      <c r="D18" s="1066" t="str">
        <f ca="1">' '!A195</f>
        <v>Nous avons des flux de revenus récurrents et des achats répétés fréquents</v>
      </c>
      <c r="E18" s="1066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08"/>
      <c r="S18" s="121">
        <v>8</v>
      </c>
      <c r="T18" s="122"/>
      <c r="U18" s="117"/>
      <c r="V18" s="21"/>
      <c r="W18" s="21"/>
      <c r="X18" s="21"/>
      <c r="Y18" s="21"/>
      <c r="Z18" s="116"/>
    </row>
    <row r="19" spans="2:28" ht="31.5" customHeight="1" x14ac:dyDescent="0.3">
      <c r="B19" s="119">
        <v>2.4</v>
      </c>
      <c r="C19" s="34"/>
      <c r="D19" s="1066" t="str">
        <f ca="1">' '!A196</f>
        <v>Nos flux de revenus sont diversifiés</v>
      </c>
      <c r="E19" s="1066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08"/>
      <c r="S19" s="121">
        <v>8</v>
      </c>
      <c r="T19" s="122"/>
      <c r="U19" s="117"/>
      <c r="V19" s="21"/>
      <c r="W19" s="21"/>
      <c r="X19" s="21"/>
      <c r="Y19" s="21"/>
      <c r="Z19" s="116"/>
    </row>
    <row r="20" spans="2:28" ht="31.5" customHeight="1" x14ac:dyDescent="0.3">
      <c r="B20" s="119">
        <v>2.5</v>
      </c>
      <c r="C20" s="34"/>
      <c r="D20" s="1066" t="str">
        <f ca="1">' '!A197</f>
        <v>Nos flux de revenus sont durables</v>
      </c>
      <c r="E20" s="1066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08"/>
      <c r="S20" s="121">
        <v>5</v>
      </c>
      <c r="T20" s="122"/>
      <c r="U20" s="117"/>
      <c r="V20" s="21"/>
      <c r="W20" s="21"/>
      <c r="X20" s="21"/>
      <c r="Y20" s="21"/>
      <c r="Z20" s="116"/>
    </row>
    <row r="21" spans="2:28" ht="31.5" customHeight="1" x14ac:dyDescent="0.3">
      <c r="B21" s="119">
        <v>2.6</v>
      </c>
      <c r="C21" s="34"/>
      <c r="D21" s="1066" t="str">
        <f ca="1">' '!A198</f>
        <v>Nous encaissons nos revenus avant d'engager nos dépenses</v>
      </c>
      <c r="E21" s="1066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08"/>
      <c r="S21" s="121">
        <v>9</v>
      </c>
      <c r="T21" s="122"/>
      <c r="U21" s="117"/>
      <c r="V21" s="21"/>
      <c r="W21" s="21"/>
      <c r="X21" s="21"/>
      <c r="Y21" s="21"/>
      <c r="Z21" s="116"/>
    </row>
    <row r="22" spans="2:28" ht="31.5" customHeight="1" x14ac:dyDescent="0.3">
      <c r="B22" s="119">
        <v>2.7</v>
      </c>
      <c r="C22" s="34"/>
      <c r="D22" s="1066" t="str">
        <f ca="1">' '!A199</f>
        <v>Nous facturons ce pour quoi les clients ont réellement envie de payer</v>
      </c>
      <c r="E22" s="1066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08"/>
      <c r="S22" s="121">
        <v>5</v>
      </c>
      <c r="T22" s="122"/>
      <c r="U22" s="117"/>
      <c r="V22" s="21"/>
      <c r="W22" s="21"/>
      <c r="X22" s="21"/>
      <c r="Y22" s="21"/>
      <c r="Z22" s="116"/>
    </row>
    <row r="23" spans="2:28" ht="31.5" customHeight="1" x14ac:dyDescent="0.3">
      <c r="B23" s="119">
        <v>2.8</v>
      </c>
      <c r="C23" s="34"/>
      <c r="D23" s="1066" t="str">
        <f ca="1">' '!A200</f>
        <v>Nos mécanismes de fixation des prix permettent de capter tout ce que le client est prêt à payer</v>
      </c>
      <c r="E23" s="1066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08"/>
      <c r="S23" s="121">
        <v>7</v>
      </c>
      <c r="T23" s="122"/>
      <c r="U23" s="117"/>
      <c r="V23" s="21"/>
      <c r="W23" s="21"/>
      <c r="X23" s="21"/>
      <c r="Y23" s="21"/>
      <c r="Z23" s="116"/>
    </row>
    <row r="24" spans="2:28" ht="15.75" customHeight="1" x14ac:dyDescent="0.3">
      <c r="B24" s="101">
        <v>3</v>
      </c>
      <c r="C24" s="102"/>
      <c r="D24" s="1064" t="s">
        <v>549</v>
      </c>
      <c r="E24" s="1064"/>
      <c r="G24" s="104"/>
      <c r="H24" s="104"/>
      <c r="I24" s="104"/>
      <c r="J24" s="104"/>
      <c r="K24" s="104"/>
      <c r="L24" s="104"/>
      <c r="M24" s="104"/>
      <c r="N24" s="105">
        <f>SUM(B132:B135)</f>
        <v>13</v>
      </c>
      <c r="O24" s="106" t="s">
        <v>547</v>
      </c>
      <c r="P24" s="105">
        <v>20</v>
      </c>
      <c r="Q24" s="105"/>
      <c r="R24" s="108"/>
      <c r="S24" s="109"/>
      <c r="T24" s="112"/>
      <c r="U24" s="111"/>
      <c r="V24" s="21"/>
      <c r="W24" s="21"/>
      <c r="X24" s="21"/>
      <c r="Y24" s="21"/>
      <c r="Z24" s="112"/>
    </row>
    <row r="25" spans="2:28" ht="31.5" customHeight="1" x14ac:dyDescent="0.3">
      <c r="B25" s="114">
        <v>3.1</v>
      </c>
      <c r="C25" s="34"/>
      <c r="D25" s="1059" t="str">
        <f ca="1">' '!A202</f>
        <v>Nos coûts sont prévisibles</v>
      </c>
      <c r="E25" s="1059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08"/>
      <c r="S25" s="125">
        <v>5</v>
      </c>
      <c r="T25" s="116"/>
      <c r="U25" s="117"/>
      <c r="V25" s="21"/>
      <c r="W25" s="21"/>
      <c r="X25" s="21"/>
      <c r="Y25" s="21"/>
      <c r="Z25" s="116"/>
    </row>
    <row r="26" spans="2:28" ht="31.5" customHeight="1" x14ac:dyDescent="0.3">
      <c r="B26" s="114">
        <v>3.2</v>
      </c>
      <c r="C26" s="102"/>
      <c r="D26" s="1059" t="str">
        <f ca="1">' '!A203</f>
        <v>Notre structure de coûts est correctement adaptée à notre modèle d'affaires</v>
      </c>
      <c r="E26" s="1059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6"/>
      <c r="R26" s="127"/>
      <c r="S26" s="125">
        <v>5</v>
      </c>
      <c r="T26" s="116"/>
      <c r="U26" s="117"/>
      <c r="V26" s="21"/>
      <c r="W26" s="21"/>
      <c r="X26" s="21"/>
      <c r="Y26" s="21"/>
      <c r="Z26" s="116"/>
    </row>
    <row r="27" spans="2:28" ht="31.5" customHeight="1" x14ac:dyDescent="0.3">
      <c r="B27" s="114">
        <v>3.3</v>
      </c>
      <c r="C27" s="118"/>
      <c r="D27" s="1059" t="str">
        <f ca="1">' '!A204</f>
        <v>Nos activités sont efficace par rapport aux coûts</v>
      </c>
      <c r="E27" s="1059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8"/>
      <c r="R27" s="129"/>
      <c r="S27" s="125">
        <v>5</v>
      </c>
      <c r="T27" s="116"/>
      <c r="U27" s="117"/>
      <c r="V27" s="21"/>
      <c r="W27" s="21"/>
      <c r="X27" s="21"/>
      <c r="Y27" s="21"/>
      <c r="Z27" s="116"/>
    </row>
    <row r="28" spans="2:28" ht="31.5" customHeight="1" x14ac:dyDescent="0.3">
      <c r="B28" s="114">
        <v>3.4</v>
      </c>
      <c r="C28" s="102"/>
      <c r="D28" s="1059" t="str">
        <f ca="1">' '!A205</f>
        <v>Nous bénéficions d'économies d'échelle</v>
      </c>
      <c r="E28" s="1059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08"/>
      <c r="S28" s="125">
        <v>5</v>
      </c>
      <c r="T28" s="116"/>
      <c r="U28" s="117"/>
      <c r="V28" s="21"/>
      <c r="W28" s="21"/>
      <c r="X28" s="21"/>
      <c r="Y28" s="21"/>
      <c r="Z28" s="116"/>
    </row>
    <row r="29" spans="2:28" ht="15.6" x14ac:dyDescent="0.3">
      <c r="B29" s="101">
        <v>4</v>
      </c>
      <c r="C29" s="102"/>
      <c r="D29" s="1064" t="s">
        <v>550</v>
      </c>
      <c r="E29" s="1064"/>
      <c r="G29" s="104"/>
      <c r="H29" s="104"/>
      <c r="I29" s="104"/>
      <c r="J29" s="104"/>
      <c r="K29" s="104"/>
      <c r="L29" s="104"/>
      <c r="M29" s="104"/>
      <c r="N29" s="105">
        <f>SUM(B137:B139)</f>
        <v>6</v>
      </c>
      <c r="O29" s="106" t="s">
        <v>547</v>
      </c>
      <c r="P29" s="105">
        <v>15</v>
      </c>
      <c r="Q29" s="105"/>
      <c r="R29" s="108"/>
      <c r="S29" s="109"/>
      <c r="T29" s="112"/>
      <c r="U29" s="111"/>
      <c r="V29" s="21"/>
      <c r="W29" s="21"/>
      <c r="X29" s="21"/>
      <c r="Y29" s="21"/>
      <c r="Z29" s="112"/>
    </row>
    <row r="30" spans="2:28" ht="31.5" customHeight="1" x14ac:dyDescent="0.3">
      <c r="B30" s="119">
        <v>4.0999999999999996</v>
      </c>
      <c r="C30" s="118"/>
      <c r="D30" s="1066" t="str">
        <f ca="1">' '!A207</f>
        <v>Le taux de roulement de la clientèle est faible</v>
      </c>
      <c r="E30" s="1066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08"/>
      <c r="S30" s="121">
        <v>5</v>
      </c>
      <c r="T30" s="116"/>
      <c r="U30" s="117"/>
      <c r="V30" s="21"/>
      <c r="W30" s="21"/>
      <c r="X30" s="21"/>
      <c r="Y30" s="21"/>
      <c r="Z30" s="116"/>
    </row>
    <row r="31" spans="2:28" ht="31.5" customHeight="1" x14ac:dyDescent="0.3">
      <c r="B31" s="119">
        <v>4.2</v>
      </c>
      <c r="C31" s="118"/>
      <c r="D31" s="1066" t="str">
        <f ca="1">' '!A208</f>
        <v>La clientèle est bien segmentée</v>
      </c>
      <c r="E31" s="1066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08"/>
      <c r="S31" s="121">
        <v>5</v>
      </c>
      <c r="T31" s="116"/>
      <c r="U31" s="117"/>
      <c r="V31" s="21"/>
      <c r="W31" s="21"/>
      <c r="X31" s="21"/>
      <c r="Y31" s="21"/>
      <c r="Z31" s="116"/>
    </row>
    <row r="32" spans="2:28" ht="43.5" customHeight="1" x14ac:dyDescent="0.3">
      <c r="B32" s="119">
        <v>4.3</v>
      </c>
      <c r="C32" s="118"/>
      <c r="D32" s="1066" t="str">
        <f ca="1">' '!A209</f>
        <v>Nous acquérons régulièrement de nouveaux clients</v>
      </c>
      <c r="E32" s="1066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08"/>
      <c r="S32" s="121">
        <v>5</v>
      </c>
      <c r="T32" s="116"/>
      <c r="U32" s="117"/>
      <c r="V32" s="21"/>
      <c r="W32" s="21"/>
      <c r="X32" s="21"/>
      <c r="Y32" s="21"/>
      <c r="Z32" s="116"/>
    </row>
    <row r="33" spans="2:26" ht="15.6" x14ac:dyDescent="0.3">
      <c r="B33" s="101">
        <v>5</v>
      </c>
      <c r="C33" s="102"/>
      <c r="D33" s="1064" t="s">
        <v>551</v>
      </c>
      <c r="E33" s="1064"/>
      <c r="G33" s="104"/>
      <c r="H33" s="104"/>
      <c r="I33" s="104"/>
      <c r="J33" s="104"/>
      <c r="K33" s="104"/>
      <c r="L33" s="104"/>
      <c r="M33" s="104"/>
      <c r="N33" s="105">
        <f>SUM(B141:B147)</f>
        <v>11</v>
      </c>
      <c r="O33" s="106" t="s">
        <v>547</v>
      </c>
      <c r="P33" s="105">
        <v>35</v>
      </c>
      <c r="Q33" s="107"/>
      <c r="R33" s="108"/>
      <c r="S33" s="109"/>
      <c r="T33" s="116"/>
      <c r="U33" s="117"/>
      <c r="V33" s="21"/>
      <c r="W33" s="21"/>
      <c r="X33" s="21"/>
      <c r="Y33" s="21"/>
      <c r="Z33" s="116"/>
    </row>
    <row r="34" spans="2:26" ht="31.5" customHeight="1" x14ac:dyDescent="0.3">
      <c r="B34" s="114">
        <v>5.0999999999999996</v>
      </c>
      <c r="C34" s="34"/>
      <c r="D34" s="1059" t="str">
        <f ca="1">' '!A211</f>
        <v xml:space="preserve">Nos canaux de distribution sont efficients </v>
      </c>
      <c r="E34" s="1059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08"/>
      <c r="S34" s="125">
        <v>5</v>
      </c>
      <c r="T34" s="116"/>
      <c r="U34" s="117"/>
      <c r="V34" s="21"/>
      <c r="W34" s="21"/>
      <c r="X34" s="21"/>
      <c r="Y34" s="21"/>
      <c r="Z34" s="116"/>
    </row>
    <row r="35" spans="2:26" ht="31.5" customHeight="1" x14ac:dyDescent="0.3">
      <c r="B35" s="114">
        <v>5.2</v>
      </c>
      <c r="C35" s="102"/>
      <c r="D35" s="1059" t="str">
        <f ca="1">' '!A212</f>
        <v>Nos canaux de distribution sont efficaces (effective)</v>
      </c>
      <c r="E35" s="1059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6"/>
      <c r="R35" s="108"/>
      <c r="S35" s="125">
        <v>5</v>
      </c>
      <c r="T35" s="116"/>
      <c r="U35" s="117"/>
      <c r="V35" s="21"/>
      <c r="W35" s="21"/>
      <c r="X35" s="21"/>
      <c r="Y35" s="21"/>
      <c r="Z35" s="116"/>
    </row>
    <row r="36" spans="2:26" ht="31.5" customHeight="1" x14ac:dyDescent="0.3">
      <c r="B36" s="114">
        <v>5.3</v>
      </c>
      <c r="C36" s="118"/>
      <c r="D36" s="1059" t="str">
        <f ca="1">' '!A213</f>
        <v>La pénétration des canaux est bonne</v>
      </c>
      <c r="E36" s="1059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8"/>
      <c r="R36" s="108"/>
      <c r="S36" s="125">
        <v>5</v>
      </c>
      <c r="T36" s="116"/>
      <c r="U36" s="117"/>
      <c r="V36" s="21"/>
      <c r="W36" s="21"/>
      <c r="X36" s="21"/>
      <c r="Y36" s="21"/>
      <c r="Z36" s="116"/>
    </row>
    <row r="37" spans="2:26" ht="31.5" customHeight="1" x14ac:dyDescent="0.3">
      <c r="B37" s="130">
        <v>5.4</v>
      </c>
      <c r="C37" s="102"/>
      <c r="D37" s="1059" t="str">
        <f ca="1">' '!A214</f>
        <v>Les clients repèrent facilement nos canaux de distribution</v>
      </c>
      <c r="E37" s="1059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08"/>
      <c r="S37" s="125">
        <v>5</v>
      </c>
      <c r="T37" s="116"/>
      <c r="U37" s="117"/>
      <c r="V37" s="21"/>
      <c r="W37" s="21"/>
      <c r="X37" s="21"/>
      <c r="Y37" s="21"/>
      <c r="Z37" s="116"/>
    </row>
    <row r="38" spans="2:26" ht="31.5" customHeight="1" x14ac:dyDescent="0.3">
      <c r="B38" s="114">
        <v>5.5</v>
      </c>
      <c r="C38" s="34"/>
      <c r="D38" s="1059" t="str">
        <f ca="1">' '!A215</f>
        <v>Les canaux sont très intégrés</v>
      </c>
      <c r="E38" s="1059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08"/>
      <c r="S38" s="125">
        <v>5</v>
      </c>
      <c r="T38" s="116"/>
      <c r="U38" s="117"/>
      <c r="V38" s="21"/>
      <c r="W38" s="21"/>
      <c r="X38" s="21"/>
      <c r="Y38" s="21"/>
      <c r="Z38" s="116"/>
    </row>
    <row r="39" spans="2:26" ht="31.5" customHeight="1" x14ac:dyDescent="0.3">
      <c r="B39" s="114">
        <v>5.6</v>
      </c>
      <c r="C39" s="102"/>
      <c r="D39" s="1059" t="str">
        <f ca="1">' '!A216</f>
        <v>Les canaux sont sources d'économie d'envergure (economies of scope)</v>
      </c>
      <c r="E39" s="1059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6"/>
      <c r="R39" s="108"/>
      <c r="S39" s="125">
        <v>5</v>
      </c>
      <c r="T39" s="116"/>
      <c r="U39" s="117"/>
      <c r="V39" s="21"/>
      <c r="W39" s="21"/>
      <c r="X39" s="21"/>
      <c r="Y39" s="21"/>
      <c r="Z39" s="116"/>
    </row>
    <row r="40" spans="2:26" ht="31.5" customHeight="1" x14ac:dyDescent="0.3">
      <c r="B40" s="114">
        <v>5.7</v>
      </c>
      <c r="C40" s="118"/>
      <c r="D40" s="1059" t="str">
        <f ca="1">' '!A217</f>
        <v>Les canaux de distribution sont  adaptés aux segments clients</v>
      </c>
      <c r="E40" s="1059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8"/>
      <c r="R40" s="108"/>
      <c r="S40" s="125">
        <v>5</v>
      </c>
      <c r="T40" s="116"/>
      <c r="U40" s="117"/>
      <c r="V40" s="21"/>
      <c r="W40" s="21"/>
      <c r="X40" s="21"/>
      <c r="Y40" s="21"/>
      <c r="Z40" s="116"/>
    </row>
    <row r="41" spans="2:26" ht="15.6" x14ac:dyDescent="0.3">
      <c r="B41" s="101">
        <v>6</v>
      </c>
      <c r="C41" s="102"/>
      <c r="D41" s="1064" t="s">
        <v>546</v>
      </c>
      <c r="E41" s="1064"/>
      <c r="G41" s="104"/>
      <c r="H41" s="104"/>
      <c r="I41" s="104"/>
      <c r="J41" s="104"/>
      <c r="K41" s="104"/>
      <c r="L41" s="104"/>
      <c r="M41" s="104"/>
      <c r="N41" s="105">
        <f>SUM(B149:B152)</f>
        <v>6</v>
      </c>
      <c r="O41" s="106" t="s">
        <v>547</v>
      </c>
      <c r="P41" s="105">
        <v>20</v>
      </c>
      <c r="Q41" s="107"/>
      <c r="R41" s="108"/>
      <c r="S41" s="109"/>
      <c r="T41" s="116"/>
      <c r="U41" s="117"/>
      <c r="V41" s="21"/>
      <c r="W41" s="21"/>
      <c r="X41" s="21"/>
      <c r="Y41" s="21"/>
      <c r="Z41" s="116"/>
    </row>
    <row r="42" spans="2:26" ht="31.5" customHeight="1" x14ac:dyDescent="0.3">
      <c r="B42" s="119">
        <v>6.1</v>
      </c>
      <c r="C42" s="118"/>
      <c r="D42" s="1066" t="str">
        <f ca="1">' '!A219</f>
        <v>Forte relations avec les clients</v>
      </c>
      <c r="E42" s="1066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08"/>
      <c r="S42" s="121">
        <v>5</v>
      </c>
      <c r="T42" s="116"/>
      <c r="U42" s="117"/>
      <c r="V42" s="21"/>
      <c r="W42" s="21"/>
      <c r="X42" s="21"/>
      <c r="Y42" s="21"/>
      <c r="Z42" s="116"/>
    </row>
    <row r="43" spans="2:26" ht="31.5" customHeight="1" x14ac:dyDescent="0.3">
      <c r="B43" s="119">
        <v>6.2</v>
      </c>
      <c r="C43" s="118"/>
      <c r="D43" s="1066" t="str">
        <f ca="1">' '!A220</f>
        <v>La qualité de la relation correspond à la segmentation de la clientèle</v>
      </c>
      <c r="E43" s="1066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08"/>
      <c r="S43" s="121">
        <v>5</v>
      </c>
      <c r="T43" s="116"/>
      <c r="U43" s="117"/>
      <c r="V43" s="21"/>
      <c r="W43" s="21"/>
      <c r="X43" s="21"/>
      <c r="Y43" s="21"/>
      <c r="Z43" s="116"/>
    </row>
    <row r="44" spans="2:26" ht="31.5" customHeight="1" x14ac:dyDescent="0.3">
      <c r="B44" s="119">
        <v>6.3</v>
      </c>
      <c r="C44" s="118"/>
      <c r="D44" s="1066" t="str">
        <f ca="1">' '!A221</f>
        <v>Les relations avec les clients sont forte. Pour le client, un changement a des coûts élevés</v>
      </c>
      <c r="E44" s="1066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08"/>
      <c r="S44" s="121">
        <v>5</v>
      </c>
      <c r="T44" s="116"/>
      <c r="U44" s="117"/>
      <c r="V44" s="21"/>
      <c r="W44" s="21"/>
      <c r="X44" s="21"/>
      <c r="Y44" s="21"/>
      <c r="Z44" s="116"/>
    </row>
    <row r="45" spans="2:26" ht="31.5" customHeight="1" x14ac:dyDescent="0.3">
      <c r="B45" s="119">
        <v>6.4</v>
      </c>
      <c r="C45" s="118"/>
      <c r="D45" s="1066" t="str">
        <f ca="1">' '!A222</f>
        <v>Notre marque est forte</v>
      </c>
      <c r="E45" s="1066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08"/>
      <c r="S45" s="121">
        <v>5</v>
      </c>
      <c r="T45" s="116"/>
      <c r="U45" s="117"/>
      <c r="V45" s="21"/>
      <c r="W45" s="21"/>
      <c r="X45" s="21"/>
      <c r="Y45" s="21"/>
      <c r="Z45" s="116"/>
    </row>
    <row r="46" spans="2:26" ht="15.6" x14ac:dyDescent="0.3">
      <c r="B46" s="101">
        <v>7</v>
      </c>
      <c r="C46" s="102"/>
      <c r="D46" s="1064" t="s">
        <v>552</v>
      </c>
      <c r="E46" s="1064"/>
      <c r="G46" s="104"/>
      <c r="H46" s="104"/>
      <c r="I46" s="104"/>
      <c r="J46" s="104"/>
      <c r="K46" s="104"/>
      <c r="L46" s="104"/>
      <c r="M46" s="104"/>
      <c r="N46" s="105">
        <f>SUM(B154:B156)</f>
        <v>4</v>
      </c>
      <c r="O46" s="106" t="s">
        <v>547</v>
      </c>
      <c r="P46" s="105">
        <v>15</v>
      </c>
      <c r="Q46" s="107"/>
      <c r="R46" s="108"/>
      <c r="S46" s="109"/>
      <c r="T46" s="116"/>
      <c r="U46" s="117"/>
      <c r="V46" s="21"/>
      <c r="W46" s="21"/>
      <c r="X46" s="21"/>
      <c r="Y46" s="21"/>
      <c r="Z46" s="116"/>
    </row>
    <row r="47" spans="2:26" ht="31.5" customHeight="1" x14ac:dyDescent="0.3">
      <c r="B47" s="114">
        <v>7.1</v>
      </c>
      <c r="C47" s="34"/>
      <c r="D47" s="1059" t="str">
        <f ca="1">' '!A224</f>
        <v>Nos ressources clés sont difficiles à reproduire pour nos concurrents</v>
      </c>
      <c r="E47" s="1059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08"/>
      <c r="S47" s="125">
        <v>5</v>
      </c>
      <c r="T47" s="116"/>
      <c r="U47" s="117"/>
      <c r="V47" s="21"/>
      <c r="W47" s="21"/>
      <c r="X47" s="21"/>
      <c r="Y47" s="21"/>
      <c r="Z47" s="116"/>
    </row>
    <row r="48" spans="2:26" ht="31.5" customHeight="1" x14ac:dyDescent="0.3">
      <c r="B48" s="114">
        <v>7.2</v>
      </c>
      <c r="C48" s="34"/>
      <c r="D48" s="1059" t="str">
        <f ca="1">' '!A225</f>
        <v>Les besoins en ressources sont prévisibles</v>
      </c>
      <c r="E48" s="1059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08"/>
      <c r="S48" s="125">
        <v>5</v>
      </c>
      <c r="T48" s="116"/>
      <c r="U48" s="117"/>
      <c r="V48" s="21"/>
      <c r="W48" s="21"/>
      <c r="X48" s="21"/>
      <c r="Y48" s="21"/>
      <c r="Z48" s="116"/>
    </row>
    <row r="49" spans="2:26" ht="52.5" customHeight="1" x14ac:dyDescent="0.3">
      <c r="B49" s="114">
        <v>7.3</v>
      </c>
      <c r="C49" s="34"/>
      <c r="D49" s="1059" t="str">
        <f ca="1">' '!A226</f>
        <v>Nous savons déployer nos ressources clés au bon moment et dans les bonnes quantités</v>
      </c>
      <c r="E49" s="1059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08"/>
      <c r="S49" s="125">
        <v>5</v>
      </c>
      <c r="T49" s="116"/>
      <c r="U49" s="117"/>
      <c r="V49" s="21"/>
      <c r="W49" s="21"/>
      <c r="X49" s="21"/>
      <c r="Y49" s="21"/>
      <c r="Z49" s="116"/>
    </row>
    <row r="50" spans="2:26" ht="15.6" x14ac:dyDescent="0.3">
      <c r="B50" s="101">
        <v>8</v>
      </c>
      <c r="C50" s="102"/>
      <c r="D50" s="1064" t="s">
        <v>553</v>
      </c>
      <c r="E50" s="1064"/>
      <c r="G50" s="104"/>
      <c r="H50" s="104"/>
      <c r="I50" s="104"/>
      <c r="J50" s="104"/>
      <c r="K50" s="104"/>
      <c r="L50" s="104"/>
      <c r="M50" s="104"/>
      <c r="N50" s="105">
        <f>SUM(B158:B161)</f>
        <v>3</v>
      </c>
      <c r="O50" s="106" t="s">
        <v>547</v>
      </c>
      <c r="P50" s="105">
        <v>20</v>
      </c>
      <c r="Q50" s="107"/>
      <c r="R50" s="108"/>
      <c r="S50" s="109"/>
      <c r="T50" s="116"/>
      <c r="U50" s="117"/>
      <c r="V50" s="21"/>
      <c r="W50" s="21"/>
      <c r="X50" s="21"/>
      <c r="Y50" s="21"/>
      <c r="Z50" s="116"/>
    </row>
    <row r="51" spans="2:26" ht="31.5" customHeight="1" x14ac:dyDescent="0.3">
      <c r="B51" s="119">
        <v>8.1</v>
      </c>
      <c r="C51" s="118"/>
      <c r="D51" s="1066" t="str">
        <f ca="1">' '!A228</f>
        <v>Nous exécutons efficacement nos activités clés</v>
      </c>
      <c r="E51" s="1066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08"/>
      <c r="S51" s="121">
        <v>5</v>
      </c>
      <c r="T51" s="116"/>
      <c r="U51" s="117"/>
      <c r="V51" s="21"/>
      <c r="W51" s="21"/>
      <c r="X51" s="21"/>
      <c r="Y51" s="21"/>
      <c r="Z51" s="116"/>
    </row>
    <row r="52" spans="2:26" ht="31.5" customHeight="1" x14ac:dyDescent="0.3">
      <c r="B52" s="119">
        <v>8.1999999999999993</v>
      </c>
      <c r="C52" s="118"/>
      <c r="D52" s="1066" t="str">
        <f ca="1">' '!A229</f>
        <v>Nos activités clés sont difficilement copiables</v>
      </c>
      <c r="E52" s="1066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08"/>
      <c r="S52" s="121">
        <v>5</v>
      </c>
      <c r="T52" s="116"/>
      <c r="U52" s="117"/>
      <c r="V52" s="21"/>
      <c r="W52" s="21"/>
      <c r="X52" s="21"/>
      <c r="Y52" s="21"/>
      <c r="Z52" s="116"/>
    </row>
    <row r="53" spans="2:26" ht="31.5" customHeight="1" x14ac:dyDescent="0.3">
      <c r="B53" s="119">
        <v>8.3000000000000007</v>
      </c>
      <c r="C53" s="118"/>
      <c r="D53" s="1066" t="str">
        <f ca="1">' '!A230</f>
        <v xml:space="preserve">La qualité d'exécution est élevée </v>
      </c>
      <c r="E53" s="1066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08"/>
      <c r="S53" s="121">
        <v>5</v>
      </c>
      <c r="T53" s="116"/>
      <c r="U53" s="117"/>
      <c r="V53" s="21"/>
      <c r="W53" s="21"/>
      <c r="X53" s="21"/>
      <c r="Y53" s="21"/>
      <c r="Z53" s="116"/>
    </row>
    <row r="54" spans="2:26" ht="31.5" customHeight="1" x14ac:dyDescent="0.3">
      <c r="B54" s="119">
        <v>8.4</v>
      </c>
      <c r="C54" s="118"/>
      <c r="D54" s="1066" t="str">
        <f ca="1">' '!A231</f>
        <v>L'équilibre entre les exécutions internes et les activités sous-traitées est idéale</v>
      </c>
      <c r="E54" s="1066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08"/>
      <c r="S54" s="121">
        <v>5</v>
      </c>
      <c r="T54" s="116"/>
      <c r="U54" s="117"/>
      <c r="V54" s="21"/>
      <c r="W54" s="21"/>
      <c r="X54" s="21"/>
      <c r="Y54" s="21"/>
      <c r="Z54" s="116"/>
    </row>
    <row r="55" spans="2:26" ht="15.6" x14ac:dyDescent="0.3">
      <c r="B55" s="101">
        <v>9</v>
      </c>
      <c r="C55" s="102"/>
      <c r="D55" s="1064" t="s">
        <v>554</v>
      </c>
      <c r="E55" s="1064"/>
      <c r="G55" s="104"/>
      <c r="H55" s="104"/>
      <c r="I55" s="104"/>
      <c r="J55" s="104"/>
      <c r="K55" s="104"/>
      <c r="L55" s="104"/>
      <c r="M55" s="104"/>
      <c r="N55" s="105">
        <f>SUM(B163:B164)</f>
        <v>3</v>
      </c>
      <c r="O55" s="106" t="s">
        <v>547</v>
      </c>
      <c r="P55" s="105">
        <v>10</v>
      </c>
      <c r="Q55" s="107"/>
      <c r="R55" s="108"/>
      <c r="S55" s="109"/>
      <c r="T55" s="116"/>
      <c r="U55" s="117"/>
      <c r="V55" s="21"/>
      <c r="W55" s="21"/>
      <c r="X55" s="21"/>
      <c r="Y55" s="21"/>
      <c r="Z55" s="116"/>
    </row>
    <row r="56" spans="2:26" ht="31.5" customHeight="1" x14ac:dyDescent="0.3">
      <c r="B56" s="114">
        <v>9.1</v>
      </c>
      <c r="C56" s="34"/>
      <c r="D56" s="1059" t="str">
        <f ca="1">' '!A233</f>
        <v>Nous sommes orientés partenaires et nous travaillons avec eux lorsque cela est nécessaire</v>
      </c>
      <c r="E56" s="1059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08"/>
      <c r="S56" s="125">
        <v>5</v>
      </c>
      <c r="T56" s="116"/>
      <c r="U56" s="117"/>
      <c r="V56" s="21"/>
      <c r="W56" s="21"/>
      <c r="X56" s="21"/>
      <c r="Y56" s="21"/>
      <c r="Z56" s="116"/>
    </row>
    <row r="57" spans="2:26" ht="91.5" customHeight="1" x14ac:dyDescent="0.3">
      <c r="B57" s="114">
        <v>9.1999999999999993</v>
      </c>
      <c r="C57" s="34"/>
      <c r="D57" s="1059" t="str">
        <f ca="1">' '!A234</f>
        <v>Nous entretenons de bonnes relations de travail avec nos partenaires clés</v>
      </c>
      <c r="E57" s="1059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08"/>
      <c r="S57" s="125">
        <v>5</v>
      </c>
      <c r="T57" s="116"/>
      <c r="U57" s="117"/>
      <c r="V57" s="21"/>
      <c r="W57" s="21"/>
      <c r="X57" s="21"/>
      <c r="Y57" s="21"/>
      <c r="Z57" s="116"/>
    </row>
    <row r="58" spans="2:26" ht="5.25" customHeight="1" x14ac:dyDescent="0.3">
      <c r="B58" s="131"/>
      <c r="D58" s="1067"/>
      <c r="E58" s="1067"/>
      <c r="F58" s="1067"/>
      <c r="G58" s="1067"/>
      <c r="H58" s="1067"/>
      <c r="I58" s="1067"/>
      <c r="J58" s="1067"/>
      <c r="K58" s="1067"/>
      <c r="L58" s="1067"/>
      <c r="M58" s="1067"/>
      <c r="N58" s="1067"/>
      <c r="O58" s="1067"/>
      <c r="P58" s="1067"/>
      <c r="Q58" s="1067"/>
      <c r="R58" s="1067"/>
      <c r="S58" s="1067"/>
      <c r="T58" s="1067"/>
      <c r="U58" s="1067"/>
      <c r="V58" s="132"/>
    </row>
    <row r="59" spans="2:26" ht="13.5" customHeight="1" x14ac:dyDescent="0.3">
      <c r="B59" s="335" t="s">
        <v>1776</v>
      </c>
      <c r="C59"/>
      <c r="D59" s="51"/>
      <c r="E59" s="133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134"/>
      <c r="V59" s="135"/>
      <c r="W59" s="136"/>
      <c r="X59" s="136"/>
    </row>
    <row r="60" spans="2:26" ht="8.25" customHeight="1" x14ac:dyDescent="0.3">
      <c r="B60" s="56"/>
      <c r="C60" s="56"/>
      <c r="D60" s="51"/>
      <c r="E60" s="51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134"/>
      <c r="V60" s="135"/>
      <c r="W60" s="136"/>
      <c r="X60" s="136"/>
    </row>
    <row r="61" spans="2:26" ht="14.25" customHeight="1" x14ac:dyDescent="0.3">
      <c r="B61" s="56"/>
      <c r="C61" s="56"/>
      <c r="D61" s="51"/>
      <c r="E61" s="51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134"/>
      <c r="V61" s="135"/>
      <c r="W61" s="136"/>
      <c r="X61" s="136"/>
    </row>
    <row r="62" spans="2:26" x14ac:dyDescent="0.3">
      <c r="B62" s="137" t="str">
        <f>D10</f>
        <v>CUSTOMER RELATIONSHIP</v>
      </c>
      <c r="C62" s="137">
        <f>5/P10*N10</f>
        <v>3.25</v>
      </c>
      <c r="D62" s="1067"/>
      <c r="E62" s="1067"/>
      <c r="F62" s="1067"/>
      <c r="G62" s="1067"/>
      <c r="H62" s="1067"/>
      <c r="I62" s="1067"/>
      <c r="J62" s="1067"/>
      <c r="K62" s="1067"/>
      <c r="L62" s="1067"/>
      <c r="M62" s="1067"/>
      <c r="N62" s="1067"/>
      <c r="O62" s="1067"/>
      <c r="P62" s="1067"/>
      <c r="Q62" s="1067"/>
      <c r="R62" s="1067"/>
      <c r="S62" s="1067"/>
      <c r="T62" s="1067"/>
      <c r="U62" s="1067"/>
      <c r="V62" s="132"/>
    </row>
    <row r="63" spans="2:26" x14ac:dyDescent="0.3">
      <c r="B63" s="137" t="str">
        <f>D15</f>
        <v>REVENUE STREAMS</v>
      </c>
      <c r="C63" s="137">
        <f>5/P15*N15</f>
        <v>3.125</v>
      </c>
      <c r="D63" s="1067"/>
      <c r="E63" s="1067"/>
      <c r="F63" s="1067"/>
      <c r="G63" s="1067"/>
      <c r="H63" s="1067"/>
      <c r="I63" s="1067"/>
      <c r="J63" s="1067"/>
      <c r="K63" s="1067"/>
      <c r="L63" s="1067"/>
      <c r="M63" s="1067"/>
      <c r="N63" s="1067"/>
      <c r="O63" s="1067"/>
      <c r="P63" s="1067"/>
      <c r="Q63" s="1067"/>
      <c r="R63" s="1067"/>
      <c r="S63" s="1067"/>
      <c r="T63" s="1067"/>
      <c r="U63" s="1067"/>
      <c r="V63" s="132"/>
    </row>
    <row r="64" spans="2:26" x14ac:dyDescent="0.3">
      <c r="B64" s="137" t="str">
        <f>D24</f>
        <v>COST STRUCTURE</v>
      </c>
      <c r="C64" s="137">
        <f>5/P24*N24</f>
        <v>3.25</v>
      </c>
      <c r="D64" s="1067"/>
      <c r="E64" s="1067"/>
      <c r="F64" s="1067"/>
      <c r="G64" s="1067"/>
      <c r="H64" s="1067"/>
      <c r="I64" s="1067"/>
      <c r="J64" s="1067"/>
      <c r="K64" s="1067"/>
      <c r="L64" s="1067"/>
      <c r="M64" s="1067"/>
      <c r="N64" s="1067"/>
      <c r="O64" s="1067"/>
      <c r="P64" s="1067"/>
      <c r="Q64" s="1067"/>
      <c r="R64" s="1067"/>
      <c r="S64" s="1067"/>
      <c r="T64" s="1067"/>
      <c r="U64" s="1067"/>
      <c r="V64" s="132"/>
    </row>
    <row r="65" spans="2:25" x14ac:dyDescent="0.3">
      <c r="B65" s="137" t="str">
        <f>D29</f>
        <v>CUSTOMER SEGMENTS</v>
      </c>
      <c r="C65" s="137">
        <f>5/P29*N29</f>
        <v>2</v>
      </c>
      <c r="D65" s="1067"/>
      <c r="E65" s="1067"/>
      <c r="F65" s="1067"/>
      <c r="G65" s="1067"/>
      <c r="H65" s="1067"/>
      <c r="I65" s="1067"/>
      <c r="J65" s="1067"/>
      <c r="K65" s="1067"/>
      <c r="L65" s="1067"/>
      <c r="M65" s="1067"/>
      <c r="N65" s="1067"/>
      <c r="O65" s="1067"/>
      <c r="P65" s="1067"/>
      <c r="Q65" s="1067"/>
      <c r="R65" s="1067"/>
      <c r="S65" s="1067"/>
      <c r="T65" s="1067"/>
      <c r="U65" s="1067"/>
      <c r="V65" s="132"/>
    </row>
    <row r="66" spans="2:25" x14ac:dyDescent="0.3">
      <c r="B66" s="137" t="str">
        <f>D33</f>
        <v>CHANNELS</v>
      </c>
      <c r="C66" s="137">
        <f>5/P33*N33</f>
        <v>1.5714285714285714</v>
      </c>
      <c r="D66" s="1067"/>
      <c r="E66" s="1067"/>
      <c r="F66" s="1067"/>
      <c r="G66" s="1067"/>
      <c r="H66" s="1067"/>
      <c r="I66" s="1067"/>
      <c r="J66" s="1067"/>
      <c r="K66" s="1067"/>
      <c r="L66" s="1067"/>
      <c r="M66" s="1067"/>
      <c r="N66" s="1067"/>
      <c r="O66" s="1067"/>
      <c r="P66" s="1067"/>
      <c r="Q66" s="1067"/>
      <c r="R66" s="1067"/>
      <c r="S66" s="1067"/>
      <c r="T66" s="1067"/>
      <c r="U66" s="1067"/>
      <c r="V66" s="132"/>
    </row>
    <row r="67" spans="2:25" x14ac:dyDescent="0.3">
      <c r="B67" s="137" t="str">
        <f>D41</f>
        <v>CUSTOMER RELATIONSHIP</v>
      </c>
      <c r="C67" s="137">
        <f>5/40*23</f>
        <v>2.875</v>
      </c>
      <c r="D67" s="1067"/>
      <c r="E67" s="1067"/>
      <c r="F67" s="1067"/>
      <c r="G67" s="1067"/>
      <c r="H67" s="1067"/>
      <c r="I67" s="1067"/>
      <c r="J67" s="1067"/>
      <c r="K67" s="1067"/>
      <c r="L67" s="1067"/>
      <c r="M67" s="1067"/>
      <c r="N67" s="1067"/>
      <c r="O67" s="1067"/>
      <c r="P67" s="1067"/>
      <c r="Q67" s="1067"/>
      <c r="R67" s="1067"/>
      <c r="S67" s="1067"/>
      <c r="T67" s="1067"/>
      <c r="U67" s="1067"/>
      <c r="V67" s="132"/>
    </row>
    <row r="68" spans="2:25" x14ac:dyDescent="0.3">
      <c r="B68" s="137" t="str">
        <f>D46</f>
        <v>KEY RESSOURCES</v>
      </c>
      <c r="C68" s="137">
        <f>5/P46*N46</f>
        <v>1.3333333333333333</v>
      </c>
      <c r="D68" s="1067"/>
      <c r="E68" s="1067"/>
      <c r="F68" s="1067"/>
      <c r="G68" s="1067"/>
      <c r="H68" s="1067"/>
      <c r="I68" s="1067"/>
      <c r="J68" s="1067"/>
      <c r="K68" s="1067"/>
      <c r="L68" s="1067"/>
      <c r="M68" s="1067"/>
      <c r="N68" s="1067"/>
      <c r="O68" s="1067"/>
      <c r="P68" s="1067"/>
      <c r="Q68" s="1067"/>
      <c r="R68" s="1067"/>
      <c r="S68" s="1067"/>
      <c r="T68" s="1067"/>
      <c r="U68" s="1067"/>
      <c r="V68" s="132"/>
    </row>
    <row r="69" spans="2:25" x14ac:dyDescent="0.3">
      <c r="B69" s="137" t="str">
        <f>D50</f>
        <v>KEY ACTIVITIES</v>
      </c>
      <c r="C69" s="137">
        <f>5/P50*N50</f>
        <v>0.75</v>
      </c>
      <c r="D69" s="1067"/>
      <c r="E69" s="1067"/>
      <c r="F69" s="1067"/>
      <c r="G69" s="1067"/>
      <c r="H69" s="1067"/>
      <c r="I69" s="1067"/>
      <c r="J69" s="1067"/>
      <c r="K69" s="1067"/>
      <c r="L69" s="1067"/>
      <c r="M69" s="1067"/>
      <c r="N69" s="1067"/>
      <c r="O69" s="1067"/>
      <c r="P69" s="1067"/>
      <c r="Q69" s="1067"/>
      <c r="R69" s="1067"/>
      <c r="S69" s="1067"/>
      <c r="T69" s="1067"/>
      <c r="U69" s="1067"/>
      <c r="V69" s="21"/>
      <c r="W69" s="21"/>
      <c r="X69" s="21"/>
      <c r="Y69" s="21"/>
    </row>
    <row r="70" spans="2:25" x14ac:dyDescent="0.3">
      <c r="B70" s="137" t="str">
        <f>D55</f>
        <v>KEY PARTNERSHIP</v>
      </c>
      <c r="C70" s="137">
        <f>5/P55*N55</f>
        <v>1.5</v>
      </c>
      <c r="D70" s="1067"/>
      <c r="E70" s="1067"/>
      <c r="F70" s="1067"/>
      <c r="G70" s="1067"/>
      <c r="H70" s="1067"/>
      <c r="I70" s="1067"/>
      <c r="J70" s="1067"/>
      <c r="K70" s="1067"/>
      <c r="L70" s="1067"/>
      <c r="M70" s="1067"/>
      <c r="N70" s="1067"/>
      <c r="O70" s="1067"/>
      <c r="P70" s="1067"/>
      <c r="Q70" s="1067"/>
      <c r="R70" s="1067"/>
      <c r="S70" s="1067"/>
      <c r="T70" s="1067"/>
      <c r="U70" s="1067"/>
      <c r="V70" s="21"/>
      <c r="W70" s="21"/>
      <c r="X70" s="21"/>
      <c r="Y70" s="21"/>
    </row>
    <row r="71" spans="2:25" x14ac:dyDescent="0.3">
      <c r="B71" s="138"/>
      <c r="C71" s="60"/>
      <c r="D71" s="1067"/>
      <c r="E71" s="1067"/>
      <c r="F71" s="1067"/>
      <c r="G71" s="1067"/>
      <c r="H71" s="1067"/>
      <c r="I71" s="1067"/>
      <c r="J71" s="1067"/>
      <c r="K71" s="1067"/>
      <c r="L71" s="1067"/>
      <c r="M71" s="1067"/>
      <c r="N71" s="1067"/>
      <c r="O71" s="1067"/>
      <c r="P71" s="1067"/>
      <c r="Q71" s="1067"/>
      <c r="R71" s="1067"/>
      <c r="S71" s="1067"/>
      <c r="T71" s="1067"/>
      <c r="U71" s="1067"/>
      <c r="V71" s="21"/>
      <c r="W71" s="21"/>
      <c r="X71" s="21"/>
      <c r="Y71" s="21"/>
    </row>
    <row r="72" spans="2:25" x14ac:dyDescent="0.3">
      <c r="B72" s="138"/>
      <c r="C72" s="60"/>
      <c r="D72" s="1067"/>
      <c r="E72" s="1067"/>
      <c r="F72" s="1067"/>
      <c r="G72" s="1067"/>
      <c r="H72" s="1067"/>
      <c r="I72" s="1067"/>
      <c r="J72" s="1067"/>
      <c r="K72" s="1067"/>
      <c r="L72" s="1067"/>
      <c r="M72" s="1067"/>
      <c r="N72" s="1067"/>
      <c r="O72" s="1067"/>
      <c r="P72" s="1067"/>
      <c r="Q72" s="1067"/>
      <c r="R72" s="1067"/>
      <c r="S72" s="1067"/>
      <c r="T72" s="1067"/>
      <c r="U72" s="1067"/>
      <c r="V72" s="21"/>
      <c r="W72" s="21"/>
      <c r="X72" s="21"/>
      <c r="Y72" s="21"/>
    </row>
    <row r="73" spans="2:25" x14ac:dyDescent="0.3">
      <c r="B73" s="138"/>
      <c r="C73" s="60"/>
      <c r="D73" s="1067"/>
      <c r="E73" s="1067"/>
      <c r="F73" s="1067"/>
      <c r="G73" s="1067"/>
      <c r="H73" s="1067"/>
      <c r="I73" s="1067"/>
      <c r="J73" s="1067"/>
      <c r="K73" s="1067"/>
      <c r="L73" s="1067"/>
      <c r="M73" s="1067"/>
      <c r="N73" s="1067"/>
      <c r="O73" s="1067"/>
      <c r="P73" s="1067"/>
      <c r="Q73" s="1067"/>
      <c r="R73" s="1067"/>
      <c r="S73" s="1067"/>
      <c r="T73" s="1067"/>
      <c r="U73" s="1067"/>
      <c r="V73" s="21"/>
      <c r="W73" s="21"/>
      <c r="X73" s="21"/>
      <c r="Y73" s="21"/>
    </row>
    <row r="74" spans="2:25" x14ac:dyDescent="0.3">
      <c r="B74" s="138"/>
      <c r="C74" s="60"/>
      <c r="D74" s="1067"/>
      <c r="E74" s="1067"/>
      <c r="F74" s="1067"/>
      <c r="G74" s="1067"/>
      <c r="H74" s="1067"/>
      <c r="I74" s="1067"/>
      <c r="J74" s="1067"/>
      <c r="K74" s="1067"/>
      <c r="L74" s="1067"/>
      <c r="M74" s="1067"/>
      <c r="N74" s="1067"/>
      <c r="O74" s="1067"/>
      <c r="P74" s="1067"/>
      <c r="Q74" s="1067"/>
      <c r="R74" s="1067"/>
      <c r="S74" s="1067"/>
      <c r="T74" s="1067"/>
      <c r="U74" s="1067"/>
      <c r="V74" s="21"/>
      <c r="W74" s="21"/>
      <c r="X74" s="21"/>
      <c r="Y74" s="21"/>
    </row>
    <row r="75" spans="2:25" x14ac:dyDescent="0.3">
      <c r="B75" s="137"/>
      <c r="C75" s="60"/>
    </row>
    <row r="76" spans="2:25" x14ac:dyDescent="0.3">
      <c r="B76" s="137"/>
      <c r="C76" s="60"/>
    </row>
    <row r="96" spans="1:1" ht="0.9" customHeight="1" x14ac:dyDescent="0.3">
      <c r="A96" s="96"/>
    </row>
    <row r="97" spans="2:27" x14ac:dyDescent="0.3">
      <c r="B97"/>
      <c r="C97"/>
      <c r="Z97" s="139"/>
      <c r="AA97" s="140"/>
    </row>
    <row r="98" spans="2:27" x14ac:dyDescent="0.3">
      <c r="Z98" s="139"/>
      <c r="AA98" s="140"/>
    </row>
    <row r="99" spans="2:27" x14ac:dyDescent="0.3">
      <c r="Z99" s="139"/>
      <c r="AA99" s="140"/>
    </row>
    <row r="100" spans="2:27" x14ac:dyDescent="0.3">
      <c r="Z100" s="139"/>
      <c r="AA100" s="140"/>
    </row>
    <row r="101" spans="2:27" x14ac:dyDescent="0.3">
      <c r="Z101" s="139"/>
      <c r="AA101" s="140"/>
    </row>
    <row r="102" spans="2:27" x14ac:dyDescent="0.3">
      <c r="Z102" s="139"/>
      <c r="AA102" s="140"/>
    </row>
    <row r="103" spans="2:27" x14ac:dyDescent="0.3">
      <c r="Z103" s="139"/>
      <c r="AA103" s="140"/>
    </row>
    <row r="104" spans="2:27" x14ac:dyDescent="0.3">
      <c r="Z104" s="139"/>
      <c r="AA104" s="140"/>
    </row>
    <row r="105" spans="2:27" x14ac:dyDescent="0.3">
      <c r="Z105" s="139"/>
      <c r="AA105" s="140"/>
    </row>
    <row r="106" spans="2:27" x14ac:dyDescent="0.3">
      <c r="Z106" s="139"/>
      <c r="AA106" s="140"/>
    </row>
    <row r="107" spans="2:27" x14ac:dyDescent="0.3">
      <c r="Z107" s="139"/>
      <c r="AA107" s="140"/>
    </row>
    <row r="108" spans="2:27" x14ac:dyDescent="0.3">
      <c r="Z108" s="139"/>
      <c r="AA108" s="140"/>
    </row>
    <row r="109" spans="2:27" x14ac:dyDescent="0.3">
      <c r="Z109" s="139"/>
      <c r="AA109" s="140"/>
    </row>
    <row r="110" spans="2:27" x14ac:dyDescent="0.3">
      <c r="Z110" s="139"/>
      <c r="AA110" s="140"/>
    </row>
    <row r="111" spans="2:27" x14ac:dyDescent="0.3">
      <c r="Z111" s="139"/>
      <c r="AA111" s="140"/>
    </row>
    <row r="112" spans="2:27" x14ac:dyDescent="0.3">
      <c r="Z112" s="139"/>
      <c r="AA112" s="140"/>
    </row>
    <row r="113" spans="1:27" x14ac:dyDescent="0.3">
      <c r="Z113" s="139"/>
      <c r="AA113" s="140"/>
    </row>
    <row r="114" spans="1:27" x14ac:dyDescent="0.3">
      <c r="A114" s="132"/>
      <c r="B114" s="100"/>
      <c r="C114" s="100"/>
      <c r="D114" s="60"/>
      <c r="Z114" s="139"/>
      <c r="AA114" s="140"/>
    </row>
    <row r="115" spans="1:27" x14ac:dyDescent="0.3">
      <c r="A115" s="141">
        <f>A117/390</f>
        <v>0.53846153846153844</v>
      </c>
      <c r="B115" s="142">
        <f>(B117/195)</f>
        <v>0.43076923076923079</v>
      </c>
      <c r="C115" s="142" t="s">
        <v>555</v>
      </c>
      <c r="D115" s="142">
        <f>(D117/1950)</f>
        <v>0.24102564102564103</v>
      </c>
      <c r="E115" s="143"/>
      <c r="F115" s="144"/>
      <c r="G115" s="143"/>
      <c r="H115" s="145"/>
      <c r="I115" s="146" t="s">
        <v>556</v>
      </c>
      <c r="J115" s="147"/>
      <c r="Z115" s="139"/>
      <c r="AA115" s="140"/>
    </row>
    <row r="116" spans="1:27" x14ac:dyDescent="0.3">
      <c r="A116" s="148"/>
      <c r="B116" s="149"/>
      <c r="C116" s="149"/>
      <c r="D116" s="149"/>
      <c r="E116" s="150"/>
      <c r="F116" s="139"/>
      <c r="G116" s="150"/>
      <c r="H116" s="151">
        <v>1</v>
      </c>
      <c r="I116" s="152">
        <f>COUNTIF(B118:B164,1)</f>
        <v>2</v>
      </c>
      <c r="J116" s="153"/>
      <c r="Z116" s="139"/>
      <c r="AA116" s="140"/>
    </row>
    <row r="117" spans="1:27" x14ac:dyDescent="0.3">
      <c r="A117" s="154">
        <f>SUM(A118:A164)</f>
        <v>210</v>
      </c>
      <c r="B117" s="149">
        <f>SUM(B118:B164)</f>
        <v>84</v>
      </c>
      <c r="C117" s="149"/>
      <c r="D117" s="149">
        <f>SUM(D118:D164)</f>
        <v>470</v>
      </c>
      <c r="E117" s="150"/>
      <c r="F117" s="139"/>
      <c r="G117" s="150"/>
      <c r="H117" s="151">
        <v>2</v>
      </c>
      <c r="I117" s="152">
        <f>COUNTIF(B118:B164,2)</f>
        <v>8</v>
      </c>
      <c r="J117" s="155"/>
      <c r="Z117" s="139"/>
      <c r="AA117" s="140"/>
    </row>
    <row r="118" spans="1:27" x14ac:dyDescent="0.3">
      <c r="A118" s="154">
        <f>S11</f>
        <v>9</v>
      </c>
      <c r="B118" s="156">
        <v>3</v>
      </c>
      <c r="C118" s="149">
        <v>1</v>
      </c>
      <c r="D118" s="149">
        <f>B118*S11</f>
        <v>27</v>
      </c>
      <c r="E118" s="157"/>
      <c r="F118" s="139"/>
      <c r="G118" s="150"/>
      <c r="H118" s="151">
        <v>3</v>
      </c>
      <c r="I118" s="152">
        <f>COUNTIF(B118:B164,3)</f>
        <v>9</v>
      </c>
      <c r="J118" s="158"/>
      <c r="Z118" s="139"/>
      <c r="AA118" s="140"/>
    </row>
    <row r="119" spans="1:27" x14ac:dyDescent="0.3">
      <c r="A119" s="154">
        <f>S12</f>
        <v>7</v>
      </c>
      <c r="B119" s="156">
        <v>4</v>
      </c>
      <c r="C119" s="149">
        <v>1</v>
      </c>
      <c r="D119" s="149">
        <f>B119*S12</f>
        <v>28</v>
      </c>
      <c r="E119" s="150"/>
      <c r="F119" s="139"/>
      <c r="G119" s="150"/>
      <c r="H119" s="151">
        <v>4</v>
      </c>
      <c r="I119" s="152">
        <f>COUNTIF(B118:B164,4)</f>
        <v>6</v>
      </c>
      <c r="J119" s="155"/>
      <c r="Z119" s="139"/>
      <c r="AA119" s="140"/>
    </row>
    <row r="120" spans="1:27" x14ac:dyDescent="0.3">
      <c r="A120" s="154">
        <f>S13</f>
        <v>5</v>
      </c>
      <c r="B120" s="156">
        <v>3</v>
      </c>
      <c r="C120" s="149">
        <v>1</v>
      </c>
      <c r="D120" s="149">
        <f>B120*S13</f>
        <v>15</v>
      </c>
      <c r="E120" s="150"/>
      <c r="F120" s="139"/>
      <c r="G120" s="150"/>
      <c r="H120" s="151">
        <v>5</v>
      </c>
      <c r="I120" s="152">
        <f>COUNTIF(B118:B164,5)</f>
        <v>3</v>
      </c>
      <c r="J120" s="155"/>
      <c r="Z120" s="139"/>
      <c r="AA120" s="140"/>
    </row>
    <row r="121" spans="1:27" x14ac:dyDescent="0.3">
      <c r="A121" s="154">
        <f>S14</f>
        <v>3</v>
      </c>
      <c r="B121" s="156">
        <v>3</v>
      </c>
      <c r="C121" s="149">
        <v>1</v>
      </c>
      <c r="D121" s="149">
        <f>B121*S14</f>
        <v>9</v>
      </c>
      <c r="E121" s="150"/>
      <c r="F121" s="139"/>
      <c r="G121" s="150"/>
      <c r="H121" s="159"/>
      <c r="I121" s="150"/>
      <c r="J121" s="155"/>
      <c r="Z121" s="139"/>
      <c r="AA121" s="140"/>
    </row>
    <row r="122" spans="1:27" x14ac:dyDescent="0.3">
      <c r="A122" s="154"/>
      <c r="B122" s="156"/>
      <c r="C122" s="149"/>
      <c r="D122" s="149"/>
      <c r="E122" s="150"/>
      <c r="F122" s="139"/>
      <c r="G122" s="150"/>
      <c r="H122" s="159"/>
      <c r="I122" s="150"/>
      <c r="J122" s="155"/>
      <c r="Z122" s="139"/>
      <c r="AA122" s="140"/>
    </row>
    <row r="123" spans="1:27" x14ac:dyDescent="0.3">
      <c r="A123" s="154">
        <f t="shared" ref="A123:A130" si="0">S16</f>
        <v>5</v>
      </c>
      <c r="B123" s="156">
        <v>5</v>
      </c>
      <c r="C123" s="149">
        <v>1</v>
      </c>
      <c r="D123" s="149">
        <f t="shared" ref="D123:D130" si="1">B123*S16</f>
        <v>25</v>
      </c>
      <c r="E123" s="150"/>
      <c r="F123" s="139"/>
      <c r="G123" s="150"/>
      <c r="H123" s="159"/>
      <c r="I123" s="150"/>
      <c r="J123" s="155"/>
      <c r="Z123" s="139"/>
      <c r="AA123" s="140"/>
    </row>
    <row r="124" spans="1:27" x14ac:dyDescent="0.3">
      <c r="A124" s="154">
        <f t="shared" si="0"/>
        <v>4</v>
      </c>
      <c r="B124" s="156">
        <v>2</v>
      </c>
      <c r="C124" s="149">
        <v>1</v>
      </c>
      <c r="D124" s="149">
        <f t="shared" si="1"/>
        <v>8</v>
      </c>
      <c r="E124" s="150"/>
      <c r="F124" s="139"/>
      <c r="G124" s="150"/>
      <c r="H124" s="159"/>
      <c r="I124" s="150"/>
      <c r="J124" s="155"/>
      <c r="Z124" s="139"/>
      <c r="AA124" s="140"/>
    </row>
    <row r="125" spans="1:27" x14ac:dyDescent="0.3">
      <c r="A125" s="154">
        <f t="shared" si="0"/>
        <v>8</v>
      </c>
      <c r="B125" s="156">
        <v>4</v>
      </c>
      <c r="C125" s="149">
        <v>1</v>
      </c>
      <c r="D125" s="149">
        <f t="shared" si="1"/>
        <v>32</v>
      </c>
      <c r="E125" s="150"/>
      <c r="F125" s="139"/>
      <c r="G125" s="150"/>
      <c r="H125" s="159"/>
      <c r="I125" s="150"/>
      <c r="J125" s="155"/>
      <c r="Z125" s="139"/>
      <c r="AA125" s="140"/>
    </row>
    <row r="126" spans="1:27" x14ac:dyDescent="0.3">
      <c r="A126" s="154">
        <f t="shared" si="0"/>
        <v>8</v>
      </c>
      <c r="B126" s="156">
        <v>4</v>
      </c>
      <c r="C126" s="149">
        <v>1</v>
      </c>
      <c r="D126" s="149">
        <f t="shared" si="1"/>
        <v>32</v>
      </c>
      <c r="E126" s="150"/>
      <c r="F126" s="139"/>
      <c r="G126" s="150"/>
      <c r="H126" s="159"/>
      <c r="I126" s="150"/>
      <c r="J126" s="155"/>
      <c r="Z126" s="139"/>
      <c r="AA126" s="140"/>
    </row>
    <row r="127" spans="1:27" x14ac:dyDescent="0.3">
      <c r="A127" s="154">
        <f t="shared" si="0"/>
        <v>5</v>
      </c>
      <c r="B127" s="156">
        <v>3</v>
      </c>
      <c r="C127" s="149">
        <v>1</v>
      </c>
      <c r="D127" s="149">
        <f t="shared" si="1"/>
        <v>15</v>
      </c>
      <c r="E127" s="150"/>
      <c r="F127" s="139"/>
      <c r="G127" s="150"/>
      <c r="H127" s="159"/>
      <c r="I127" s="150"/>
      <c r="J127" s="155"/>
      <c r="Z127" s="139"/>
      <c r="AA127" s="140"/>
    </row>
    <row r="128" spans="1:27" x14ac:dyDescent="0.3">
      <c r="A128" s="154">
        <f t="shared" si="0"/>
        <v>9</v>
      </c>
      <c r="B128" s="156">
        <v>2</v>
      </c>
      <c r="C128" s="149">
        <v>1</v>
      </c>
      <c r="D128" s="149">
        <f t="shared" si="1"/>
        <v>18</v>
      </c>
      <c r="E128" s="150"/>
      <c r="F128" s="139"/>
      <c r="G128" s="150"/>
      <c r="H128" s="159"/>
      <c r="I128" s="150"/>
      <c r="J128" s="155"/>
      <c r="Z128" s="139"/>
      <c r="AA128" s="140"/>
    </row>
    <row r="129" spans="1:27" x14ac:dyDescent="0.3">
      <c r="A129" s="154">
        <f t="shared" si="0"/>
        <v>5</v>
      </c>
      <c r="B129" s="156">
        <v>2</v>
      </c>
      <c r="C129" s="149">
        <v>1</v>
      </c>
      <c r="D129" s="149">
        <f t="shared" si="1"/>
        <v>10</v>
      </c>
      <c r="E129" s="150"/>
      <c r="F129" s="139"/>
      <c r="G129" s="150"/>
      <c r="H129" s="159"/>
      <c r="I129" s="150"/>
      <c r="J129" s="155"/>
      <c r="Z129" s="139"/>
      <c r="AA129" s="140"/>
    </row>
    <row r="130" spans="1:27" x14ac:dyDescent="0.3">
      <c r="A130" s="154">
        <f t="shared" si="0"/>
        <v>7</v>
      </c>
      <c r="B130" s="156">
        <v>3</v>
      </c>
      <c r="C130" s="149">
        <v>1</v>
      </c>
      <c r="D130" s="149">
        <f t="shared" si="1"/>
        <v>21</v>
      </c>
      <c r="E130" s="150"/>
      <c r="F130" s="139"/>
      <c r="G130" s="150"/>
      <c r="H130" s="159"/>
      <c r="I130" s="150"/>
      <c r="J130" s="155"/>
      <c r="V130" s="139"/>
      <c r="W130" s="160"/>
      <c r="X130" s="160"/>
      <c r="Y130" s="139"/>
      <c r="Z130" s="139"/>
      <c r="AA130" s="140"/>
    </row>
    <row r="131" spans="1:27" x14ac:dyDescent="0.3">
      <c r="A131" s="154"/>
      <c r="B131" s="156"/>
      <c r="C131" s="149"/>
      <c r="D131" s="149"/>
      <c r="E131" s="150"/>
      <c r="F131" s="139"/>
      <c r="G131" s="150"/>
      <c r="H131" s="159"/>
      <c r="I131" s="150"/>
      <c r="J131" s="155"/>
    </row>
    <row r="132" spans="1:27" x14ac:dyDescent="0.3">
      <c r="A132" s="154">
        <f>S25</f>
        <v>5</v>
      </c>
      <c r="B132" s="156">
        <v>5</v>
      </c>
      <c r="C132" s="149">
        <v>1</v>
      </c>
      <c r="D132" s="149">
        <f>B132*S25</f>
        <v>25</v>
      </c>
      <c r="E132" s="150"/>
      <c r="F132" s="139"/>
      <c r="G132" s="150"/>
      <c r="H132" s="159"/>
      <c r="I132" s="150"/>
      <c r="J132" s="155"/>
    </row>
    <row r="133" spans="1:27" x14ac:dyDescent="0.3">
      <c r="A133" s="154">
        <f>S26</f>
        <v>5</v>
      </c>
      <c r="B133" s="156">
        <v>4</v>
      </c>
      <c r="C133" s="149">
        <v>1</v>
      </c>
      <c r="D133" s="149">
        <f>B133*S26</f>
        <v>20</v>
      </c>
      <c r="E133" s="150"/>
      <c r="F133" s="139"/>
      <c r="G133" s="150"/>
      <c r="H133" s="159"/>
      <c r="I133" s="150"/>
      <c r="J133" s="155"/>
    </row>
    <row r="134" spans="1:27" x14ac:dyDescent="0.3">
      <c r="A134" s="154">
        <f>S27</f>
        <v>5</v>
      </c>
      <c r="B134" s="156">
        <v>2</v>
      </c>
      <c r="C134" s="149">
        <v>1</v>
      </c>
      <c r="D134" s="149">
        <f>B134*S27</f>
        <v>10</v>
      </c>
      <c r="E134" s="150"/>
      <c r="F134" s="139"/>
      <c r="G134" s="150"/>
      <c r="H134" s="159"/>
      <c r="I134" s="150"/>
      <c r="J134" s="155"/>
    </row>
    <row r="135" spans="1:27" x14ac:dyDescent="0.3">
      <c r="A135" s="154">
        <f>S28</f>
        <v>5</v>
      </c>
      <c r="B135" s="156">
        <v>2</v>
      </c>
      <c r="C135" s="149">
        <v>1</v>
      </c>
      <c r="D135" s="149">
        <f>B135*S28</f>
        <v>10</v>
      </c>
      <c r="E135" s="150"/>
      <c r="F135" s="139"/>
      <c r="G135" s="150"/>
      <c r="H135" s="159"/>
      <c r="I135" s="150"/>
      <c r="J135" s="155"/>
    </row>
    <row r="136" spans="1:27" x14ac:dyDescent="0.3">
      <c r="A136" s="154"/>
      <c r="B136" s="156"/>
      <c r="C136" s="149"/>
      <c r="D136" s="149"/>
      <c r="E136" s="150"/>
      <c r="F136" s="139"/>
      <c r="G136" s="150"/>
      <c r="H136" s="159"/>
      <c r="I136" s="150"/>
      <c r="J136" s="155"/>
    </row>
    <row r="137" spans="1:27" x14ac:dyDescent="0.3">
      <c r="A137" s="154">
        <f>S30</f>
        <v>5</v>
      </c>
      <c r="B137" s="156">
        <v>3</v>
      </c>
      <c r="C137" s="149">
        <v>1</v>
      </c>
      <c r="D137" s="149">
        <f>B137*S30</f>
        <v>15</v>
      </c>
      <c r="E137" s="150"/>
      <c r="F137" s="139"/>
      <c r="G137" s="150"/>
      <c r="H137" s="159"/>
      <c r="I137" s="150"/>
      <c r="J137" s="155"/>
    </row>
    <row r="138" spans="1:27" x14ac:dyDescent="0.3">
      <c r="A138" s="154">
        <f>S31</f>
        <v>5</v>
      </c>
      <c r="B138" s="156">
        <v>2</v>
      </c>
      <c r="C138" s="149">
        <v>1</v>
      </c>
      <c r="D138" s="149">
        <f>B138*S31</f>
        <v>10</v>
      </c>
      <c r="E138" s="150"/>
      <c r="F138" s="139"/>
      <c r="G138" s="150"/>
      <c r="H138" s="159"/>
      <c r="I138" s="150"/>
      <c r="J138" s="155"/>
    </row>
    <row r="139" spans="1:27" x14ac:dyDescent="0.3">
      <c r="A139" s="154">
        <f>S32</f>
        <v>5</v>
      </c>
      <c r="B139" s="156">
        <v>1</v>
      </c>
      <c r="C139" s="149">
        <v>1</v>
      </c>
      <c r="D139" s="149">
        <f>B139*S32</f>
        <v>5</v>
      </c>
      <c r="E139" s="150"/>
      <c r="F139" s="139"/>
      <c r="G139" s="150"/>
      <c r="H139" s="159"/>
      <c r="I139" s="150"/>
      <c r="J139" s="155"/>
    </row>
    <row r="140" spans="1:27" x14ac:dyDescent="0.3">
      <c r="A140" s="154"/>
      <c r="B140" s="156"/>
      <c r="C140" s="149"/>
      <c r="D140" s="149"/>
      <c r="E140" s="150"/>
      <c r="F140" s="139"/>
      <c r="G140" s="150"/>
      <c r="H140" s="159"/>
      <c r="I140" s="150"/>
      <c r="J140" s="155"/>
    </row>
    <row r="141" spans="1:27" x14ac:dyDescent="0.3">
      <c r="A141" s="154">
        <f t="shared" ref="A141:A147" si="2">S34</f>
        <v>5</v>
      </c>
      <c r="B141" s="156">
        <v>1</v>
      </c>
      <c r="C141" s="149">
        <v>1</v>
      </c>
      <c r="D141" s="149">
        <f t="shared" ref="D141:D147" si="3">B141*S34</f>
        <v>5</v>
      </c>
      <c r="E141" s="150"/>
      <c r="F141" s="139"/>
      <c r="G141" s="150"/>
      <c r="H141" s="159"/>
      <c r="I141" s="150"/>
      <c r="J141" s="155"/>
    </row>
    <row r="142" spans="1:27" x14ac:dyDescent="0.3">
      <c r="A142" s="154">
        <f t="shared" si="2"/>
        <v>5</v>
      </c>
      <c r="B142" s="156">
        <v>3</v>
      </c>
      <c r="C142" s="149">
        <v>1</v>
      </c>
      <c r="D142" s="149">
        <f t="shared" si="3"/>
        <v>15</v>
      </c>
      <c r="E142" s="150"/>
      <c r="F142" s="139"/>
      <c r="G142" s="150"/>
      <c r="H142" s="159"/>
      <c r="I142" s="150"/>
      <c r="J142" s="155"/>
    </row>
    <row r="143" spans="1:27" x14ac:dyDescent="0.3">
      <c r="A143" s="154">
        <f t="shared" si="2"/>
        <v>5</v>
      </c>
      <c r="B143" s="156">
        <v>5</v>
      </c>
      <c r="C143" s="149">
        <v>1</v>
      </c>
      <c r="D143" s="149">
        <f t="shared" si="3"/>
        <v>25</v>
      </c>
      <c r="E143" s="150"/>
      <c r="F143" s="139"/>
      <c r="G143" s="150"/>
      <c r="H143" s="159"/>
      <c r="I143" s="150"/>
      <c r="J143" s="155"/>
    </row>
    <row r="144" spans="1:27" x14ac:dyDescent="0.3">
      <c r="A144" s="154">
        <f t="shared" si="2"/>
        <v>5</v>
      </c>
      <c r="B144" s="156">
        <v>2</v>
      </c>
      <c r="C144" s="149">
        <v>1</v>
      </c>
      <c r="D144" s="149">
        <f t="shared" si="3"/>
        <v>10</v>
      </c>
      <c r="E144" s="150"/>
      <c r="F144" s="139"/>
      <c r="G144" s="150"/>
      <c r="H144" s="159"/>
      <c r="I144" s="150"/>
      <c r="J144" s="155"/>
    </row>
    <row r="145" spans="1:10" x14ac:dyDescent="0.3">
      <c r="A145" s="154">
        <f t="shared" si="2"/>
        <v>5</v>
      </c>
      <c r="B145" s="156"/>
      <c r="C145" s="149">
        <v>1</v>
      </c>
      <c r="D145" s="149">
        <f t="shared" si="3"/>
        <v>0</v>
      </c>
      <c r="E145" s="150"/>
      <c r="F145" s="139"/>
      <c r="G145" s="150"/>
      <c r="H145" s="159"/>
      <c r="I145" s="150"/>
      <c r="J145" s="155"/>
    </row>
    <row r="146" spans="1:10" x14ac:dyDescent="0.3">
      <c r="A146" s="154">
        <f t="shared" si="2"/>
        <v>5</v>
      </c>
      <c r="B146" s="156"/>
      <c r="C146" s="149">
        <v>1</v>
      </c>
      <c r="D146" s="149">
        <f t="shared" si="3"/>
        <v>0</v>
      </c>
      <c r="E146" s="150"/>
      <c r="F146" s="139"/>
      <c r="G146" s="150"/>
      <c r="H146" s="159"/>
      <c r="I146" s="150"/>
      <c r="J146" s="155"/>
    </row>
    <row r="147" spans="1:10" x14ac:dyDescent="0.3">
      <c r="A147" s="154">
        <f t="shared" si="2"/>
        <v>5</v>
      </c>
      <c r="B147" s="156"/>
      <c r="C147" s="149">
        <v>1</v>
      </c>
      <c r="D147" s="149">
        <f t="shared" si="3"/>
        <v>0</v>
      </c>
      <c r="E147" s="150"/>
      <c r="F147" s="139"/>
      <c r="G147" s="150"/>
      <c r="H147" s="159"/>
      <c r="I147" s="150"/>
      <c r="J147" s="155"/>
    </row>
    <row r="148" spans="1:10" x14ac:dyDescent="0.3">
      <c r="A148" s="161"/>
      <c r="B148" s="162"/>
      <c r="C148" s="163"/>
      <c r="D148" s="163"/>
      <c r="E148" s="150"/>
      <c r="F148" s="139"/>
      <c r="G148" s="150"/>
      <c r="H148" s="159"/>
      <c r="I148" s="150"/>
      <c r="J148" s="155"/>
    </row>
    <row r="149" spans="1:10" x14ac:dyDescent="0.3">
      <c r="A149" s="154">
        <f>S42</f>
        <v>5</v>
      </c>
      <c r="B149" s="156"/>
      <c r="C149" s="149">
        <v>1</v>
      </c>
      <c r="D149" s="149">
        <f>B149*S42</f>
        <v>0</v>
      </c>
      <c r="E149" s="150"/>
      <c r="F149" s="139"/>
      <c r="G149" s="150"/>
      <c r="H149" s="159"/>
      <c r="I149" s="150"/>
      <c r="J149" s="155"/>
    </row>
    <row r="150" spans="1:10" x14ac:dyDescent="0.3">
      <c r="A150" s="154">
        <f>S43</f>
        <v>5</v>
      </c>
      <c r="B150" s="156">
        <v>4</v>
      </c>
      <c r="C150" s="149">
        <v>1</v>
      </c>
      <c r="D150" s="149">
        <f>B150*S43</f>
        <v>20</v>
      </c>
      <c r="E150" s="150"/>
      <c r="F150" s="139"/>
      <c r="G150" s="150"/>
      <c r="H150" s="159"/>
      <c r="I150" s="150"/>
      <c r="J150" s="155"/>
    </row>
    <row r="151" spans="1:10" x14ac:dyDescent="0.3">
      <c r="A151" s="154">
        <f>S44</f>
        <v>5</v>
      </c>
      <c r="B151" s="156">
        <v>2</v>
      </c>
      <c r="C151" s="149">
        <v>1</v>
      </c>
      <c r="D151" s="149">
        <f>B151*S44</f>
        <v>10</v>
      </c>
      <c r="E151" s="150"/>
      <c r="F151" s="139"/>
      <c r="G151" s="150"/>
      <c r="H151" s="159"/>
      <c r="I151" s="150"/>
      <c r="J151" s="155"/>
    </row>
    <row r="152" spans="1:10" x14ac:dyDescent="0.3">
      <c r="A152" s="154">
        <f>S45</f>
        <v>5</v>
      </c>
      <c r="B152" s="156"/>
      <c r="C152" s="149">
        <v>1</v>
      </c>
      <c r="D152" s="149">
        <f>B152*S45</f>
        <v>0</v>
      </c>
      <c r="E152" s="150"/>
      <c r="F152" s="139"/>
      <c r="G152" s="150"/>
      <c r="H152" s="159"/>
      <c r="I152" s="150"/>
      <c r="J152" s="155"/>
    </row>
    <row r="153" spans="1:10" x14ac:dyDescent="0.3">
      <c r="A153" s="161"/>
      <c r="B153" s="162"/>
      <c r="C153" s="163"/>
      <c r="D153" s="163"/>
      <c r="E153" s="150"/>
      <c r="F153" s="139"/>
      <c r="G153" s="150"/>
      <c r="H153" s="159"/>
      <c r="I153" s="150"/>
      <c r="J153" s="155"/>
    </row>
    <row r="154" spans="1:10" x14ac:dyDescent="0.3">
      <c r="A154" s="154">
        <f>S47</f>
        <v>5</v>
      </c>
      <c r="B154" s="156">
        <v>4</v>
      </c>
      <c r="C154" s="149">
        <v>1</v>
      </c>
      <c r="D154" s="149">
        <f>B154*S47</f>
        <v>20</v>
      </c>
      <c r="E154" s="150"/>
      <c r="F154" s="139"/>
      <c r="G154" s="150"/>
      <c r="H154" s="159"/>
      <c r="I154" s="150"/>
      <c r="J154" s="155"/>
    </row>
    <row r="155" spans="1:10" x14ac:dyDescent="0.3">
      <c r="A155" s="154">
        <f>S48</f>
        <v>5</v>
      </c>
      <c r="B155" s="156"/>
      <c r="C155" s="149">
        <v>1</v>
      </c>
      <c r="D155" s="149">
        <f>B155*S48</f>
        <v>0</v>
      </c>
      <c r="E155" s="150"/>
      <c r="F155" s="139"/>
      <c r="G155" s="150"/>
      <c r="H155" s="159"/>
      <c r="I155" s="150"/>
      <c r="J155" s="155"/>
    </row>
    <row r="156" spans="1:10" x14ac:dyDescent="0.3">
      <c r="A156" s="154">
        <f>S49</f>
        <v>5</v>
      </c>
      <c r="B156" s="156"/>
      <c r="C156" s="149">
        <v>1</v>
      </c>
      <c r="D156" s="149">
        <f>B156*S49</f>
        <v>0</v>
      </c>
      <c r="E156" s="150"/>
      <c r="F156" s="139"/>
      <c r="G156" s="150"/>
      <c r="H156" s="159"/>
      <c r="I156" s="150"/>
      <c r="J156" s="155"/>
    </row>
    <row r="157" spans="1:10" x14ac:dyDescent="0.3">
      <c r="A157" s="161"/>
      <c r="B157" s="162"/>
      <c r="C157" s="163"/>
      <c r="D157" s="163"/>
      <c r="E157" s="150"/>
      <c r="F157" s="139"/>
      <c r="G157" s="150"/>
      <c r="H157" s="159"/>
      <c r="I157" s="150"/>
      <c r="J157" s="155"/>
    </row>
    <row r="158" spans="1:10" x14ac:dyDescent="0.3">
      <c r="A158" s="154">
        <f>S51</f>
        <v>5</v>
      </c>
      <c r="B158" s="156">
        <v>3</v>
      </c>
      <c r="C158" s="149">
        <v>1</v>
      </c>
      <c r="D158" s="149">
        <f>B158*S51</f>
        <v>15</v>
      </c>
      <c r="E158" s="150"/>
      <c r="F158" s="139"/>
      <c r="G158" s="150"/>
      <c r="H158" s="159"/>
      <c r="I158" s="150"/>
      <c r="J158" s="155"/>
    </row>
    <row r="159" spans="1:10" x14ac:dyDescent="0.3">
      <c r="A159" s="154">
        <f>S52</f>
        <v>5</v>
      </c>
      <c r="B159" s="156"/>
      <c r="C159" s="149">
        <v>1</v>
      </c>
      <c r="D159" s="149">
        <f>B159*S52</f>
        <v>0</v>
      </c>
      <c r="E159" s="150"/>
      <c r="F159" s="139"/>
      <c r="G159" s="150"/>
      <c r="H159" s="159"/>
      <c r="I159" s="150"/>
      <c r="J159" s="155"/>
    </row>
    <row r="160" spans="1:10" x14ac:dyDescent="0.3">
      <c r="A160" s="154">
        <f>S53</f>
        <v>5</v>
      </c>
      <c r="B160" s="156"/>
      <c r="C160" s="149">
        <v>1</v>
      </c>
      <c r="D160" s="149">
        <f>B160*S53</f>
        <v>0</v>
      </c>
      <c r="E160" s="150"/>
      <c r="F160" s="139"/>
      <c r="G160" s="150"/>
      <c r="H160" s="159"/>
      <c r="I160" s="150"/>
      <c r="J160" s="155"/>
    </row>
    <row r="161" spans="1:10" x14ac:dyDescent="0.3">
      <c r="A161" s="154">
        <f>S54</f>
        <v>5</v>
      </c>
      <c r="B161" s="156"/>
      <c r="C161" s="149">
        <v>1</v>
      </c>
      <c r="D161" s="149">
        <f>B161*S54</f>
        <v>0</v>
      </c>
      <c r="E161" s="150"/>
      <c r="F161" s="139"/>
      <c r="G161" s="150"/>
      <c r="H161" s="159"/>
      <c r="I161" s="150"/>
      <c r="J161" s="155"/>
    </row>
    <row r="162" spans="1:10" x14ac:dyDescent="0.3">
      <c r="A162" s="161"/>
      <c r="B162" s="162"/>
      <c r="C162" s="163"/>
      <c r="D162" s="163"/>
      <c r="E162" s="150"/>
      <c r="F162" s="139"/>
      <c r="G162" s="150"/>
      <c r="H162" s="159"/>
      <c r="I162" s="150"/>
      <c r="J162" s="155"/>
    </row>
    <row r="163" spans="1:10" x14ac:dyDescent="0.3">
      <c r="A163" s="154">
        <f>S56</f>
        <v>5</v>
      </c>
      <c r="B163" s="156"/>
      <c r="C163" s="149">
        <v>1</v>
      </c>
      <c r="D163" s="149">
        <f>B163*S56</f>
        <v>0</v>
      </c>
      <c r="E163" s="150"/>
      <c r="F163" s="139"/>
      <c r="G163" s="150"/>
      <c r="H163" s="159"/>
      <c r="I163" s="150"/>
      <c r="J163" s="155"/>
    </row>
    <row r="164" spans="1:10" x14ac:dyDescent="0.3">
      <c r="A164" s="164">
        <f>S57</f>
        <v>5</v>
      </c>
      <c r="B164" s="165">
        <v>3</v>
      </c>
      <c r="C164" s="166">
        <v>1</v>
      </c>
      <c r="D164" s="166">
        <f>B164*S57</f>
        <v>15</v>
      </c>
      <c r="E164" s="167"/>
      <c r="F164" s="168"/>
      <c r="G164" s="167"/>
      <c r="H164" s="169"/>
      <c r="I164" s="167"/>
      <c r="J164" s="170"/>
    </row>
    <row r="165" spans="1:10" x14ac:dyDescent="0.3">
      <c r="A165" s="65"/>
      <c r="B165" s="65"/>
      <c r="C165" s="171"/>
      <c r="D165" s="65"/>
    </row>
  </sheetData>
  <sheetProtection sheet="1" objects="1" scenarios="1" formatCells="0" formatColumns="0" formatRows="0" insertHyperlinks="0" selectLockedCells="1" sort="0" autoFilter="0"/>
  <mergeCells count="72">
    <mergeCell ref="D74:U74"/>
    <mergeCell ref="D63:U63"/>
    <mergeCell ref="D64:U64"/>
    <mergeCell ref="D65:U65"/>
    <mergeCell ref="D66:U66"/>
    <mergeCell ref="D67:U67"/>
    <mergeCell ref="D68:U68"/>
    <mergeCell ref="D69:U69"/>
    <mergeCell ref="D70:U70"/>
    <mergeCell ref="D71:U71"/>
    <mergeCell ref="D72:U72"/>
    <mergeCell ref="D73:U73"/>
    <mergeCell ref="D62:U62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U58"/>
    <mergeCell ref="D47:E47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S3:S6"/>
    <mergeCell ref="Y3:Y5"/>
    <mergeCell ref="D10:E10"/>
    <mergeCell ref="H10:I10"/>
    <mergeCell ref="L10:M10"/>
    <mergeCell ref="N3:N6"/>
    <mergeCell ref="P3:P6"/>
    <mergeCell ref="D11:E11"/>
    <mergeCell ref="G3:G6"/>
    <mergeCell ref="H3:H6"/>
    <mergeCell ref="J3:J6"/>
    <mergeCell ref="L3:L6"/>
  </mergeCells>
  <conditionalFormatting sqref="G59:G61">
    <cfRule type="iconSet" priority="13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H59:N61">
    <cfRule type="iconSet" priority="12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O59:R61 V59:V61">
    <cfRule type="iconSet" priority="15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S11:S14">
    <cfRule type="iconSet" priority="9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16:S23">
    <cfRule type="iconSet" priority="4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25:S28">
    <cfRule type="iconSet" priority="8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30:S32"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34:S40">
    <cfRule type="iconSet" priority="7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42:S45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47:S49">
    <cfRule type="iconSet" priority="6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51:S5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56:S57">
    <cfRule type="iconSet" priority="5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5">
    <dataValidation type="list" allowBlank="1" showInputMessage="1" showErrorMessage="1" sqref="I59:I61 L59:L61" xr:uid="{00000000-0002-0000-1100-000000000000}">
      <formula1>"1,2,3"</formula1>
    </dataValidation>
    <dataValidation type="list" allowBlank="1" showInputMessage="1" showErrorMessage="1" sqref="S30:S32 S16:S23 S34:S40 S47:S49 S51:S54 S11:S14 S25:S28 S42:S45 S56:S57" xr:uid="{00000000-0002-0000-1100-000001000000}">
      <formula1>"1,2,3,4,5,6,7,8,9,10"</formula1>
    </dataValidation>
    <dataValidation type="list" allowBlank="1" showInputMessage="1" showErrorMessage="1" sqref="W59:X61" xr:uid="{00000000-0002-0000-1100-000002000000}">
      <formula1>"1,2,3,4,5,6,7,8,9,10,11"</formula1>
    </dataValidation>
    <dataValidation type="custom" allowBlank="1" showInputMessage="1" showErrorMessage="1" errorTitle="Erreur  -  Fehler" error="Tous  les champs doivent être remplis et la note doit être entre 1.0 et 6.0!_x000a__x000a_Alle Felder müssen ausgefüllt und die  Note zwischen 1.0  un 6.0 sein!" sqref="V5" xr:uid="{00000000-0002-0000-1100-000003000000}">
      <formula1>AND(AND(V5&gt;=1,(V5&lt;=6)),(#REF!=14))</formula1>
    </dataValidation>
    <dataValidation type="custom" allowBlank="1" showInputMessage="1" showErrorMessage="1" sqref="R58" xr:uid="{00000000-0002-0000-1100-000004000000}">
      <formula1>AND(R58&gt;=1,(R58&lt;=6))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orientation="portrait" r:id="rId1"/>
  <headerFooter>
    <oddFooter>&amp;R&amp;9&amp;K01+049&amp;P/&amp;N</oddFooter>
  </headerFooter>
  <rowBreaks count="1" manualBreakCount="1">
    <brk id="5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Group Box 1">
              <controlPr defaultSize="0" print="0" autoFill="0" autoPict="0">
                <anchor moveWithCells="1">
                  <from>
                    <xdr:col>6</xdr:col>
                    <xdr:colOff>76200</xdr:colOff>
                    <xdr:row>11</xdr:row>
                    <xdr:rowOff>22860</xdr:rowOff>
                  </from>
                  <to>
                    <xdr:col>16</xdr:col>
                    <xdr:colOff>129540</xdr:colOff>
                    <xdr:row>11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5" name="Option Button 2">
              <controlPr defaultSize="0" autoFill="0" autoLine="0" autoPict="0">
                <anchor moveWithCells="1">
                  <from>
                    <xdr:col>7</xdr:col>
                    <xdr:colOff>91440</xdr:colOff>
                    <xdr:row>11</xdr:row>
                    <xdr:rowOff>53340</xdr:rowOff>
                  </from>
                  <to>
                    <xdr:col>7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5" r:id="rId6" name="Option Button 3">
              <controlPr defaultSize="0" autoFill="0" autoLine="0" autoPict="0">
                <anchor moveWithCells="1">
                  <from>
                    <xdr:col>9</xdr:col>
                    <xdr:colOff>91440</xdr:colOff>
                    <xdr:row>11</xdr:row>
                    <xdr:rowOff>53340</xdr:rowOff>
                  </from>
                  <to>
                    <xdr:col>9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6" r:id="rId7" name="Option Button 4">
              <controlPr defaultSize="0" autoFill="0" autoLine="0" autoPict="0">
                <anchor moveWithCells="1">
                  <from>
                    <xdr:col>11</xdr:col>
                    <xdr:colOff>91440</xdr:colOff>
                    <xdr:row>11</xdr:row>
                    <xdr:rowOff>53340</xdr:rowOff>
                  </from>
                  <to>
                    <xdr:col>11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7" r:id="rId8" name="Option Button 5">
              <controlPr defaultSize="0" autoFill="0" autoLine="0" autoPict="0">
                <anchor moveWithCells="1">
                  <from>
                    <xdr:col>13</xdr:col>
                    <xdr:colOff>91440</xdr:colOff>
                    <xdr:row>11</xdr:row>
                    <xdr:rowOff>53340</xdr:rowOff>
                  </from>
                  <to>
                    <xdr:col>13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8" r:id="rId9" name="Option Button 6">
              <controlPr defaultSize="0" autoFill="0" autoLine="0" autoPict="0">
                <anchor moveWithCells="1">
                  <from>
                    <xdr:col>15</xdr:col>
                    <xdr:colOff>91440</xdr:colOff>
                    <xdr:row>11</xdr:row>
                    <xdr:rowOff>53340</xdr:rowOff>
                  </from>
                  <to>
                    <xdr:col>15</xdr:col>
                    <xdr:colOff>312420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9" r:id="rId10" name="Group Box 7">
              <controlPr defaultSize="0" print="0" autoFill="0" autoPict="0">
                <anchor moveWithCells="1">
                  <from>
                    <xdr:col>6</xdr:col>
                    <xdr:colOff>76200</xdr:colOff>
                    <xdr:row>12</xdr:row>
                    <xdr:rowOff>30480</xdr:rowOff>
                  </from>
                  <to>
                    <xdr:col>16</xdr:col>
                    <xdr:colOff>129540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0" r:id="rId11" name="Option Button 8">
              <controlPr defaultSize="0" autoFill="0" autoLine="0" autoPict="0">
                <anchor moveWithCells="1">
                  <from>
                    <xdr:col>7</xdr:col>
                    <xdr:colOff>91440</xdr:colOff>
                    <xdr:row>12</xdr:row>
                    <xdr:rowOff>60960</xdr:rowOff>
                  </from>
                  <to>
                    <xdr:col>7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1" r:id="rId12" name="Option Button 9">
              <controlPr defaultSize="0" autoFill="0" autoLine="0" autoPict="0">
                <anchor moveWithCells="1">
                  <from>
                    <xdr:col>9</xdr:col>
                    <xdr:colOff>91440</xdr:colOff>
                    <xdr:row>12</xdr:row>
                    <xdr:rowOff>60960</xdr:rowOff>
                  </from>
                  <to>
                    <xdr:col>9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2" r:id="rId13" name="Option Button 10">
              <controlPr defaultSize="0" autoFill="0" autoLine="0" autoPict="0">
                <anchor moveWithCells="1">
                  <from>
                    <xdr:col>11</xdr:col>
                    <xdr:colOff>91440</xdr:colOff>
                    <xdr:row>12</xdr:row>
                    <xdr:rowOff>60960</xdr:rowOff>
                  </from>
                  <to>
                    <xdr:col>11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3" r:id="rId14" name="Option Button 11">
              <controlPr defaultSize="0" autoFill="0" autoLine="0" autoPict="0">
                <anchor moveWithCells="1">
                  <from>
                    <xdr:col>13</xdr:col>
                    <xdr:colOff>91440</xdr:colOff>
                    <xdr:row>12</xdr:row>
                    <xdr:rowOff>60960</xdr:rowOff>
                  </from>
                  <to>
                    <xdr:col>13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4" r:id="rId15" name="Option Button 12">
              <controlPr defaultSize="0" autoFill="0" autoLine="0" autoPict="0">
                <anchor moveWithCells="1">
                  <from>
                    <xdr:col>15</xdr:col>
                    <xdr:colOff>91440</xdr:colOff>
                    <xdr:row>12</xdr:row>
                    <xdr:rowOff>60960</xdr:rowOff>
                  </from>
                  <to>
                    <xdr:col>15</xdr:col>
                    <xdr:colOff>312420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5" r:id="rId16" name="Group Box 13">
              <controlPr defaultSize="0" print="0" autoFill="0" autoPict="0">
                <anchor moveWithCells="1">
                  <from>
                    <xdr:col>6</xdr:col>
                    <xdr:colOff>76200</xdr:colOff>
                    <xdr:row>12</xdr:row>
                    <xdr:rowOff>388620</xdr:rowOff>
                  </from>
                  <to>
                    <xdr:col>16</xdr:col>
                    <xdr:colOff>129540</xdr:colOff>
                    <xdr:row>13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6" r:id="rId17" name="Option Button 14">
              <controlPr defaultSize="0" autoFill="0" autoLine="0" autoPict="0">
                <anchor moveWithCells="1">
                  <from>
                    <xdr:col>7</xdr:col>
                    <xdr:colOff>91440</xdr:colOff>
                    <xdr:row>13</xdr:row>
                    <xdr:rowOff>30480</xdr:rowOff>
                  </from>
                  <to>
                    <xdr:col>7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7" r:id="rId18" name="Option Button 15">
              <controlPr defaultSize="0" autoFill="0" autoLine="0" autoPict="0">
                <anchor moveWithCells="1">
                  <from>
                    <xdr:col>9</xdr:col>
                    <xdr:colOff>91440</xdr:colOff>
                    <xdr:row>13</xdr:row>
                    <xdr:rowOff>30480</xdr:rowOff>
                  </from>
                  <to>
                    <xdr:col>9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8" r:id="rId19" name="Option Button 16">
              <controlPr defaultSize="0" autoFill="0" autoLine="0" autoPict="0">
                <anchor moveWithCells="1">
                  <from>
                    <xdr:col>11</xdr:col>
                    <xdr:colOff>91440</xdr:colOff>
                    <xdr:row>13</xdr:row>
                    <xdr:rowOff>30480</xdr:rowOff>
                  </from>
                  <to>
                    <xdr:col>11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9" r:id="rId20" name="Option Button 17">
              <controlPr defaultSize="0" autoFill="0" autoLine="0" autoPict="0">
                <anchor moveWithCells="1">
                  <from>
                    <xdr:col>13</xdr:col>
                    <xdr:colOff>91440</xdr:colOff>
                    <xdr:row>13</xdr:row>
                    <xdr:rowOff>30480</xdr:rowOff>
                  </from>
                  <to>
                    <xdr:col>13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0" r:id="rId21" name="Option Button 18">
              <controlPr defaultSize="0" autoFill="0" autoLine="0" autoPict="0">
                <anchor moveWithCells="1">
                  <from>
                    <xdr:col>15</xdr:col>
                    <xdr:colOff>91440</xdr:colOff>
                    <xdr:row>13</xdr:row>
                    <xdr:rowOff>30480</xdr:rowOff>
                  </from>
                  <to>
                    <xdr:col>15</xdr:col>
                    <xdr:colOff>312420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1" r:id="rId22" name="Group Box 19">
              <controlPr defaultSize="0" print="0" autoFill="0" autoPict="0">
                <anchor moveWithCells="1">
                  <from>
                    <xdr:col>6</xdr:col>
                    <xdr:colOff>76200</xdr:colOff>
                    <xdr:row>15</xdr:row>
                    <xdr:rowOff>22860</xdr:rowOff>
                  </from>
                  <to>
                    <xdr:col>16</xdr:col>
                    <xdr:colOff>129540</xdr:colOff>
                    <xdr:row>15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2" r:id="rId23" name="Option Button 20">
              <controlPr defaultSize="0" autoFill="0" autoLine="0" autoPict="0">
                <anchor moveWithCells="1">
                  <from>
                    <xdr:col>7</xdr:col>
                    <xdr:colOff>91440</xdr:colOff>
                    <xdr:row>15</xdr:row>
                    <xdr:rowOff>53340</xdr:rowOff>
                  </from>
                  <to>
                    <xdr:col>7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3" r:id="rId24" name="Option Button 21">
              <controlPr defaultSize="0" autoFill="0" autoLine="0" autoPict="0">
                <anchor moveWithCells="1">
                  <from>
                    <xdr:col>9</xdr:col>
                    <xdr:colOff>91440</xdr:colOff>
                    <xdr:row>15</xdr:row>
                    <xdr:rowOff>53340</xdr:rowOff>
                  </from>
                  <to>
                    <xdr:col>9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4" r:id="rId25" name="Option Button 22">
              <controlPr defaultSize="0" autoFill="0" autoLine="0" autoPict="0">
                <anchor moveWithCells="1">
                  <from>
                    <xdr:col>11</xdr:col>
                    <xdr:colOff>91440</xdr:colOff>
                    <xdr:row>15</xdr:row>
                    <xdr:rowOff>53340</xdr:rowOff>
                  </from>
                  <to>
                    <xdr:col>11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5" r:id="rId26" name="Option Button 23">
              <controlPr defaultSize="0" autoFill="0" autoLine="0" autoPict="0">
                <anchor moveWithCells="1">
                  <from>
                    <xdr:col>13</xdr:col>
                    <xdr:colOff>91440</xdr:colOff>
                    <xdr:row>15</xdr:row>
                    <xdr:rowOff>53340</xdr:rowOff>
                  </from>
                  <to>
                    <xdr:col>13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6" r:id="rId27" name="Option Button 24">
              <controlPr defaultSize="0" autoFill="0" autoLine="0" autoPict="0">
                <anchor moveWithCells="1">
                  <from>
                    <xdr:col>15</xdr:col>
                    <xdr:colOff>91440</xdr:colOff>
                    <xdr:row>15</xdr:row>
                    <xdr:rowOff>53340</xdr:rowOff>
                  </from>
                  <to>
                    <xdr:col>15</xdr:col>
                    <xdr:colOff>312420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7" r:id="rId28" name="Group Box 25">
              <controlPr defaultSize="0" print="0" autoFill="0" autoPict="0">
                <anchor moveWithCells="1">
                  <from>
                    <xdr:col>6</xdr:col>
                    <xdr:colOff>76200</xdr:colOff>
                    <xdr:row>16</xdr:row>
                    <xdr:rowOff>30480</xdr:rowOff>
                  </from>
                  <to>
                    <xdr:col>16</xdr:col>
                    <xdr:colOff>129540</xdr:colOff>
                    <xdr:row>16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8" r:id="rId29" name="Option Button 26">
              <controlPr defaultSize="0" autoFill="0" autoLine="0" autoPict="0">
                <anchor moveWithCells="1">
                  <from>
                    <xdr:col>7</xdr:col>
                    <xdr:colOff>91440</xdr:colOff>
                    <xdr:row>16</xdr:row>
                    <xdr:rowOff>60960</xdr:rowOff>
                  </from>
                  <to>
                    <xdr:col>7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9" r:id="rId30" name="Option Button 27">
              <controlPr defaultSize="0" autoFill="0" autoLine="0" autoPict="0">
                <anchor moveWithCells="1">
                  <from>
                    <xdr:col>9</xdr:col>
                    <xdr:colOff>91440</xdr:colOff>
                    <xdr:row>16</xdr:row>
                    <xdr:rowOff>60960</xdr:rowOff>
                  </from>
                  <to>
                    <xdr:col>9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0" r:id="rId31" name="Option Button 28">
              <controlPr defaultSize="0" autoFill="0" autoLine="0" autoPict="0">
                <anchor moveWithCells="1">
                  <from>
                    <xdr:col>11</xdr:col>
                    <xdr:colOff>91440</xdr:colOff>
                    <xdr:row>16</xdr:row>
                    <xdr:rowOff>60960</xdr:rowOff>
                  </from>
                  <to>
                    <xdr:col>11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1" r:id="rId32" name="Option Button 29">
              <controlPr defaultSize="0" autoFill="0" autoLine="0" autoPict="0">
                <anchor moveWithCells="1">
                  <from>
                    <xdr:col>13</xdr:col>
                    <xdr:colOff>91440</xdr:colOff>
                    <xdr:row>16</xdr:row>
                    <xdr:rowOff>60960</xdr:rowOff>
                  </from>
                  <to>
                    <xdr:col>13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2" r:id="rId33" name="Option Button 30">
              <controlPr defaultSize="0" autoFill="0" autoLine="0" autoPict="0">
                <anchor moveWithCells="1">
                  <from>
                    <xdr:col>15</xdr:col>
                    <xdr:colOff>91440</xdr:colOff>
                    <xdr:row>16</xdr:row>
                    <xdr:rowOff>60960</xdr:rowOff>
                  </from>
                  <to>
                    <xdr:col>15</xdr:col>
                    <xdr:colOff>312420</xdr:colOff>
                    <xdr:row>16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3" r:id="rId34" name="Group Box 31">
              <controlPr defaultSize="0" print="0" autoFill="0" autoPict="0">
                <anchor moveWithCells="1">
                  <from>
                    <xdr:col>6</xdr:col>
                    <xdr:colOff>76200</xdr:colOff>
                    <xdr:row>17</xdr:row>
                    <xdr:rowOff>7620</xdr:rowOff>
                  </from>
                  <to>
                    <xdr:col>16</xdr:col>
                    <xdr:colOff>129540</xdr:colOff>
                    <xdr:row>17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4" r:id="rId35" name="Option Button 32">
              <controlPr defaultSize="0" autoFill="0" autoLine="0" autoPict="0">
                <anchor moveWithCells="1">
                  <from>
                    <xdr:col>7</xdr:col>
                    <xdr:colOff>91440</xdr:colOff>
                    <xdr:row>17</xdr:row>
                    <xdr:rowOff>45720</xdr:rowOff>
                  </from>
                  <to>
                    <xdr:col>7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5" r:id="rId36" name="Option Button 33">
              <controlPr defaultSize="0" autoFill="0" autoLine="0" autoPict="0">
                <anchor moveWithCells="1">
                  <from>
                    <xdr:col>9</xdr:col>
                    <xdr:colOff>91440</xdr:colOff>
                    <xdr:row>17</xdr:row>
                    <xdr:rowOff>45720</xdr:rowOff>
                  </from>
                  <to>
                    <xdr:col>9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6" r:id="rId37" name="Option Button 34">
              <controlPr defaultSize="0" autoFill="0" autoLine="0" autoPict="0">
                <anchor moveWithCells="1">
                  <from>
                    <xdr:col>11</xdr:col>
                    <xdr:colOff>91440</xdr:colOff>
                    <xdr:row>17</xdr:row>
                    <xdr:rowOff>45720</xdr:rowOff>
                  </from>
                  <to>
                    <xdr:col>11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7" r:id="rId38" name="Option Button 35">
              <controlPr defaultSize="0" autoFill="0" autoLine="0" autoPict="0">
                <anchor moveWithCells="1">
                  <from>
                    <xdr:col>13</xdr:col>
                    <xdr:colOff>91440</xdr:colOff>
                    <xdr:row>17</xdr:row>
                    <xdr:rowOff>45720</xdr:rowOff>
                  </from>
                  <to>
                    <xdr:col>13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8" r:id="rId39" name="Option Button 36">
              <controlPr defaultSize="0" autoFill="0" autoLine="0" autoPict="0">
                <anchor moveWithCells="1">
                  <from>
                    <xdr:col>15</xdr:col>
                    <xdr:colOff>91440</xdr:colOff>
                    <xdr:row>17</xdr:row>
                    <xdr:rowOff>45720</xdr:rowOff>
                  </from>
                  <to>
                    <xdr:col>15</xdr:col>
                    <xdr:colOff>312420</xdr:colOff>
                    <xdr:row>17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9" r:id="rId40" name="Group Box 37">
              <controlPr defaultSize="0" print="0" autoFill="0" autoPict="0">
                <anchor moveWithCells="1">
                  <from>
                    <xdr:col>6</xdr:col>
                    <xdr:colOff>76200</xdr:colOff>
                    <xdr:row>24</xdr:row>
                    <xdr:rowOff>15240</xdr:rowOff>
                  </from>
                  <to>
                    <xdr:col>16</xdr:col>
                    <xdr:colOff>129540</xdr:colOff>
                    <xdr:row>24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0" r:id="rId41" name="Option Button 38">
              <controlPr defaultSize="0" autoFill="0" autoLine="0" autoPict="0">
                <anchor moveWithCells="1">
                  <from>
                    <xdr:col>7</xdr:col>
                    <xdr:colOff>91440</xdr:colOff>
                    <xdr:row>24</xdr:row>
                    <xdr:rowOff>45720</xdr:rowOff>
                  </from>
                  <to>
                    <xdr:col>7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1" r:id="rId42" name="Option Button 39">
              <controlPr defaultSize="0" autoFill="0" autoLine="0" autoPict="0">
                <anchor moveWithCells="1">
                  <from>
                    <xdr:col>9</xdr:col>
                    <xdr:colOff>91440</xdr:colOff>
                    <xdr:row>24</xdr:row>
                    <xdr:rowOff>45720</xdr:rowOff>
                  </from>
                  <to>
                    <xdr:col>9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2" r:id="rId43" name="Option Button 40">
              <controlPr defaultSize="0" autoFill="0" autoLine="0" autoPict="0">
                <anchor moveWithCells="1">
                  <from>
                    <xdr:col>11</xdr:col>
                    <xdr:colOff>91440</xdr:colOff>
                    <xdr:row>24</xdr:row>
                    <xdr:rowOff>45720</xdr:rowOff>
                  </from>
                  <to>
                    <xdr:col>11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3" r:id="rId44" name="Option Button 41">
              <controlPr defaultSize="0" autoFill="0" autoLine="0" autoPict="0">
                <anchor moveWithCells="1">
                  <from>
                    <xdr:col>13</xdr:col>
                    <xdr:colOff>91440</xdr:colOff>
                    <xdr:row>24</xdr:row>
                    <xdr:rowOff>45720</xdr:rowOff>
                  </from>
                  <to>
                    <xdr:col>13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4" r:id="rId45" name="Option Button 42">
              <controlPr defaultSize="0" autoFill="0" autoLine="0" autoPict="0">
                <anchor moveWithCells="1">
                  <from>
                    <xdr:col>15</xdr:col>
                    <xdr:colOff>91440</xdr:colOff>
                    <xdr:row>24</xdr:row>
                    <xdr:rowOff>45720</xdr:rowOff>
                  </from>
                  <to>
                    <xdr:col>15</xdr:col>
                    <xdr:colOff>312420</xdr:colOff>
                    <xdr:row>24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5" r:id="rId46" name="Group Box 43">
              <controlPr defaultSize="0" print="0" autoFill="0" autoPict="0">
                <anchor moveWithCells="1">
                  <from>
                    <xdr:col>6</xdr:col>
                    <xdr:colOff>76200</xdr:colOff>
                    <xdr:row>25</xdr:row>
                    <xdr:rowOff>7620</xdr:rowOff>
                  </from>
                  <to>
                    <xdr:col>16</xdr:col>
                    <xdr:colOff>129540</xdr:colOff>
                    <xdr:row>25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6" r:id="rId47" name="Option Button 44">
              <controlPr defaultSize="0" autoFill="0" autoLine="0" autoPict="0">
                <anchor moveWithCells="1">
                  <from>
                    <xdr:col>7</xdr:col>
                    <xdr:colOff>91440</xdr:colOff>
                    <xdr:row>25</xdr:row>
                    <xdr:rowOff>45720</xdr:rowOff>
                  </from>
                  <to>
                    <xdr:col>7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7" r:id="rId48" name="Option Button 45">
              <controlPr defaultSize="0" autoFill="0" autoLine="0" autoPict="0">
                <anchor moveWithCells="1">
                  <from>
                    <xdr:col>9</xdr:col>
                    <xdr:colOff>91440</xdr:colOff>
                    <xdr:row>25</xdr:row>
                    <xdr:rowOff>45720</xdr:rowOff>
                  </from>
                  <to>
                    <xdr:col>9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8" r:id="rId49" name="Option Button 46">
              <controlPr defaultSize="0" autoFill="0" autoLine="0" autoPict="0">
                <anchor moveWithCells="1">
                  <from>
                    <xdr:col>11</xdr:col>
                    <xdr:colOff>91440</xdr:colOff>
                    <xdr:row>25</xdr:row>
                    <xdr:rowOff>45720</xdr:rowOff>
                  </from>
                  <to>
                    <xdr:col>11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9" r:id="rId50" name="Option Button 47">
              <controlPr defaultSize="0" autoFill="0" autoLine="0" autoPict="0">
                <anchor moveWithCells="1">
                  <from>
                    <xdr:col>13</xdr:col>
                    <xdr:colOff>91440</xdr:colOff>
                    <xdr:row>25</xdr:row>
                    <xdr:rowOff>45720</xdr:rowOff>
                  </from>
                  <to>
                    <xdr:col>13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0" r:id="rId51" name="Option Button 48">
              <controlPr defaultSize="0" autoFill="0" autoLine="0" autoPict="0">
                <anchor moveWithCells="1">
                  <from>
                    <xdr:col>15</xdr:col>
                    <xdr:colOff>91440</xdr:colOff>
                    <xdr:row>25</xdr:row>
                    <xdr:rowOff>45720</xdr:rowOff>
                  </from>
                  <to>
                    <xdr:col>15</xdr:col>
                    <xdr:colOff>312420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1" r:id="rId52" name="Group Box 49">
              <controlPr defaultSize="0" print="0" autoFill="0" autoPict="0">
                <anchor moveWithCells="1">
                  <from>
                    <xdr:col>6</xdr:col>
                    <xdr:colOff>76200</xdr:colOff>
                    <xdr:row>26</xdr:row>
                    <xdr:rowOff>15240</xdr:rowOff>
                  </from>
                  <to>
                    <xdr:col>16</xdr:col>
                    <xdr:colOff>129540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2" r:id="rId53" name="Option Button 50">
              <controlPr defaultSize="0" autoFill="0" autoLine="0" autoPict="0">
                <anchor moveWithCells="1">
                  <from>
                    <xdr:col>7</xdr:col>
                    <xdr:colOff>91440</xdr:colOff>
                    <xdr:row>26</xdr:row>
                    <xdr:rowOff>45720</xdr:rowOff>
                  </from>
                  <to>
                    <xdr:col>7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3" r:id="rId54" name="Option Button 51">
              <controlPr defaultSize="0" autoFill="0" autoLine="0" autoPict="0">
                <anchor moveWithCells="1">
                  <from>
                    <xdr:col>9</xdr:col>
                    <xdr:colOff>91440</xdr:colOff>
                    <xdr:row>26</xdr:row>
                    <xdr:rowOff>45720</xdr:rowOff>
                  </from>
                  <to>
                    <xdr:col>9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4" r:id="rId55" name="Option Button 52">
              <controlPr defaultSize="0" autoFill="0" autoLine="0" autoPict="0">
                <anchor moveWithCells="1">
                  <from>
                    <xdr:col>11</xdr:col>
                    <xdr:colOff>91440</xdr:colOff>
                    <xdr:row>26</xdr:row>
                    <xdr:rowOff>45720</xdr:rowOff>
                  </from>
                  <to>
                    <xdr:col>11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5" r:id="rId56" name="Option Button 53">
              <controlPr defaultSize="0" autoFill="0" autoLine="0" autoPict="0">
                <anchor moveWithCells="1">
                  <from>
                    <xdr:col>13</xdr:col>
                    <xdr:colOff>91440</xdr:colOff>
                    <xdr:row>26</xdr:row>
                    <xdr:rowOff>45720</xdr:rowOff>
                  </from>
                  <to>
                    <xdr:col>13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6" r:id="rId57" name="Option Button 54">
              <controlPr defaultSize="0" autoFill="0" autoLine="0" autoPict="0">
                <anchor moveWithCells="1">
                  <from>
                    <xdr:col>15</xdr:col>
                    <xdr:colOff>91440</xdr:colOff>
                    <xdr:row>26</xdr:row>
                    <xdr:rowOff>45720</xdr:rowOff>
                  </from>
                  <to>
                    <xdr:col>15</xdr:col>
                    <xdr:colOff>312420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7" r:id="rId58" name="Group Box 55">
              <controlPr defaultSize="0" print="0" autoFill="0" autoPict="0">
                <anchor moveWithCells="1">
                  <from>
                    <xdr:col>6</xdr:col>
                    <xdr:colOff>76200</xdr:colOff>
                    <xdr:row>27</xdr:row>
                    <xdr:rowOff>30480</xdr:rowOff>
                  </from>
                  <to>
                    <xdr:col>16</xdr:col>
                    <xdr:colOff>129540</xdr:colOff>
                    <xdr:row>27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8" r:id="rId59" name="Option Button 56">
              <controlPr defaultSize="0" autoFill="0" autoLine="0" autoPict="0">
                <anchor moveWithCells="1">
                  <from>
                    <xdr:col>7</xdr:col>
                    <xdr:colOff>91440</xdr:colOff>
                    <xdr:row>27</xdr:row>
                    <xdr:rowOff>60960</xdr:rowOff>
                  </from>
                  <to>
                    <xdr:col>7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9" r:id="rId60" name="Option Button 57">
              <controlPr defaultSize="0" autoFill="0" autoLine="0" autoPict="0">
                <anchor moveWithCells="1">
                  <from>
                    <xdr:col>9</xdr:col>
                    <xdr:colOff>91440</xdr:colOff>
                    <xdr:row>27</xdr:row>
                    <xdr:rowOff>60960</xdr:rowOff>
                  </from>
                  <to>
                    <xdr:col>9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0" r:id="rId61" name="Option Button 58">
              <controlPr defaultSize="0" autoFill="0" autoLine="0" autoPict="0">
                <anchor moveWithCells="1">
                  <from>
                    <xdr:col>11</xdr:col>
                    <xdr:colOff>91440</xdr:colOff>
                    <xdr:row>27</xdr:row>
                    <xdr:rowOff>60960</xdr:rowOff>
                  </from>
                  <to>
                    <xdr:col>11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1" r:id="rId62" name="Option Button 59">
              <controlPr defaultSize="0" autoFill="0" autoLine="0" autoPict="0">
                <anchor moveWithCells="1">
                  <from>
                    <xdr:col>13</xdr:col>
                    <xdr:colOff>91440</xdr:colOff>
                    <xdr:row>27</xdr:row>
                    <xdr:rowOff>60960</xdr:rowOff>
                  </from>
                  <to>
                    <xdr:col>13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2" r:id="rId63" name="Option Button 60">
              <controlPr defaultSize="0" autoFill="0" autoLine="0" autoPict="0">
                <anchor moveWithCells="1">
                  <from>
                    <xdr:col>15</xdr:col>
                    <xdr:colOff>91440</xdr:colOff>
                    <xdr:row>27</xdr:row>
                    <xdr:rowOff>60960</xdr:rowOff>
                  </from>
                  <to>
                    <xdr:col>15</xdr:col>
                    <xdr:colOff>312420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3" r:id="rId64" name="Group Box 61">
              <controlPr defaultSize="0" print="0" autoFill="0" autoPict="0">
                <anchor moveWithCells="1">
                  <from>
                    <xdr:col>6</xdr:col>
                    <xdr:colOff>68580</xdr:colOff>
                    <xdr:row>10</xdr:row>
                    <xdr:rowOff>15240</xdr:rowOff>
                  </from>
                  <to>
                    <xdr:col>16</xdr:col>
                    <xdr:colOff>129540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4" r:id="rId65" name="Option Button 62">
              <controlPr defaultSize="0" autoFill="0" autoLine="0" autoPict="0">
                <anchor moveWithCells="1">
                  <from>
                    <xdr:col>7</xdr:col>
                    <xdr:colOff>83820</xdr:colOff>
                    <xdr:row>10</xdr:row>
                    <xdr:rowOff>53340</xdr:rowOff>
                  </from>
                  <to>
                    <xdr:col>7</xdr:col>
                    <xdr:colOff>304800</xdr:colOff>
                    <xdr:row>10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5" r:id="rId66" name="Option Button 63">
              <controlPr defaultSize="0" autoFill="0" autoLine="0" autoPict="0">
                <anchor moveWithCells="1">
                  <from>
                    <xdr:col>9</xdr:col>
                    <xdr:colOff>83820</xdr:colOff>
                    <xdr:row>10</xdr:row>
                    <xdr:rowOff>53340</xdr:rowOff>
                  </from>
                  <to>
                    <xdr:col>9</xdr:col>
                    <xdr:colOff>312420</xdr:colOff>
                    <xdr:row>10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6" r:id="rId67" name="Option Button 64">
              <controlPr defaultSize="0" autoFill="0" autoLine="0" autoPict="0">
                <anchor moveWithCells="1">
                  <from>
                    <xdr:col>11</xdr:col>
                    <xdr:colOff>83820</xdr:colOff>
                    <xdr:row>10</xdr:row>
                    <xdr:rowOff>53340</xdr:rowOff>
                  </from>
                  <to>
                    <xdr:col>11</xdr:col>
                    <xdr:colOff>312420</xdr:colOff>
                    <xdr:row>10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7" r:id="rId68" name="Option Button 65">
              <controlPr defaultSize="0" autoFill="0" autoLine="0" autoPict="0">
                <anchor moveWithCells="1">
                  <from>
                    <xdr:col>13</xdr:col>
                    <xdr:colOff>83820</xdr:colOff>
                    <xdr:row>10</xdr:row>
                    <xdr:rowOff>53340</xdr:rowOff>
                  </from>
                  <to>
                    <xdr:col>13</xdr:col>
                    <xdr:colOff>312420</xdr:colOff>
                    <xdr:row>10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8" r:id="rId69" name="Option Button 66">
              <controlPr defaultSize="0" autoFill="0" autoLine="0" autoPict="0">
                <anchor moveWithCells="1">
                  <from>
                    <xdr:col>15</xdr:col>
                    <xdr:colOff>83820</xdr:colOff>
                    <xdr:row>10</xdr:row>
                    <xdr:rowOff>53340</xdr:rowOff>
                  </from>
                  <to>
                    <xdr:col>15</xdr:col>
                    <xdr:colOff>312420</xdr:colOff>
                    <xdr:row>10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9" r:id="rId70" name="Group Box 67">
              <controlPr defaultSize="0" print="0" autoFill="0" autoPict="0">
                <anchor moveWithCells="1">
                  <from>
                    <xdr:col>6</xdr:col>
                    <xdr:colOff>76200</xdr:colOff>
                    <xdr:row>18</xdr:row>
                    <xdr:rowOff>7620</xdr:rowOff>
                  </from>
                  <to>
                    <xdr:col>16</xdr:col>
                    <xdr:colOff>129540</xdr:colOff>
                    <xdr:row>18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0" r:id="rId71" name="Option Button 68">
              <controlPr defaultSize="0" autoFill="0" autoLine="0" autoPict="0">
                <anchor moveWithCells="1">
                  <from>
                    <xdr:col>7</xdr:col>
                    <xdr:colOff>91440</xdr:colOff>
                    <xdr:row>18</xdr:row>
                    <xdr:rowOff>45720</xdr:rowOff>
                  </from>
                  <to>
                    <xdr:col>7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1" r:id="rId72" name="Option Button 69">
              <controlPr defaultSize="0" autoFill="0" autoLine="0" autoPict="0">
                <anchor moveWithCells="1">
                  <from>
                    <xdr:col>9</xdr:col>
                    <xdr:colOff>91440</xdr:colOff>
                    <xdr:row>18</xdr:row>
                    <xdr:rowOff>45720</xdr:rowOff>
                  </from>
                  <to>
                    <xdr:col>9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2" r:id="rId73" name="Option Button 70">
              <controlPr defaultSize="0" autoFill="0" autoLine="0" autoPict="0">
                <anchor moveWithCells="1">
                  <from>
                    <xdr:col>11</xdr:col>
                    <xdr:colOff>91440</xdr:colOff>
                    <xdr:row>18</xdr:row>
                    <xdr:rowOff>45720</xdr:rowOff>
                  </from>
                  <to>
                    <xdr:col>11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3" r:id="rId74" name="Option Button 71">
              <controlPr defaultSize="0" autoFill="0" autoLine="0" autoPict="0">
                <anchor moveWithCells="1">
                  <from>
                    <xdr:col>13</xdr:col>
                    <xdr:colOff>91440</xdr:colOff>
                    <xdr:row>18</xdr:row>
                    <xdr:rowOff>45720</xdr:rowOff>
                  </from>
                  <to>
                    <xdr:col>13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4" r:id="rId75" name="Option Button 72">
              <controlPr defaultSize="0" autoFill="0" autoLine="0" autoPict="0">
                <anchor moveWithCells="1">
                  <from>
                    <xdr:col>15</xdr:col>
                    <xdr:colOff>91440</xdr:colOff>
                    <xdr:row>18</xdr:row>
                    <xdr:rowOff>45720</xdr:rowOff>
                  </from>
                  <to>
                    <xdr:col>15</xdr:col>
                    <xdr:colOff>312420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5" r:id="rId76" name="Group Box 73">
              <controlPr defaultSize="0" print="0" autoFill="0" autoPict="0">
                <anchor moveWithCells="1">
                  <from>
                    <xdr:col>6</xdr:col>
                    <xdr:colOff>76200</xdr:colOff>
                    <xdr:row>19</xdr:row>
                    <xdr:rowOff>7620</xdr:rowOff>
                  </from>
                  <to>
                    <xdr:col>16</xdr:col>
                    <xdr:colOff>129540</xdr:colOff>
                    <xdr:row>19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6" r:id="rId77" name="Option Button 74">
              <controlPr defaultSize="0" autoFill="0" autoLine="0" autoPict="0">
                <anchor moveWithCells="1">
                  <from>
                    <xdr:col>7</xdr:col>
                    <xdr:colOff>91440</xdr:colOff>
                    <xdr:row>19</xdr:row>
                    <xdr:rowOff>45720</xdr:rowOff>
                  </from>
                  <to>
                    <xdr:col>7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7" r:id="rId78" name="Option Button 75">
              <controlPr defaultSize="0" autoFill="0" autoLine="0" autoPict="0">
                <anchor moveWithCells="1">
                  <from>
                    <xdr:col>9</xdr:col>
                    <xdr:colOff>91440</xdr:colOff>
                    <xdr:row>19</xdr:row>
                    <xdr:rowOff>45720</xdr:rowOff>
                  </from>
                  <to>
                    <xdr:col>9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8" r:id="rId79" name="Option Button 76">
              <controlPr defaultSize="0" autoFill="0" autoLine="0" autoPict="0">
                <anchor moveWithCells="1">
                  <from>
                    <xdr:col>11</xdr:col>
                    <xdr:colOff>91440</xdr:colOff>
                    <xdr:row>19</xdr:row>
                    <xdr:rowOff>45720</xdr:rowOff>
                  </from>
                  <to>
                    <xdr:col>11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9" r:id="rId80" name="Option Button 77">
              <controlPr defaultSize="0" autoFill="0" autoLine="0" autoPict="0">
                <anchor moveWithCells="1">
                  <from>
                    <xdr:col>13</xdr:col>
                    <xdr:colOff>91440</xdr:colOff>
                    <xdr:row>19</xdr:row>
                    <xdr:rowOff>45720</xdr:rowOff>
                  </from>
                  <to>
                    <xdr:col>13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0" r:id="rId81" name="Option Button 78">
              <controlPr defaultSize="0" autoFill="0" autoLine="0" autoPict="0">
                <anchor moveWithCells="1">
                  <from>
                    <xdr:col>15</xdr:col>
                    <xdr:colOff>91440</xdr:colOff>
                    <xdr:row>19</xdr:row>
                    <xdr:rowOff>45720</xdr:rowOff>
                  </from>
                  <to>
                    <xdr:col>15</xdr:col>
                    <xdr:colOff>312420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1" r:id="rId82" name="Group Box 79">
              <controlPr defaultSize="0" print="0" autoFill="0" autoPict="0">
                <anchor moveWithCells="1">
                  <from>
                    <xdr:col>6</xdr:col>
                    <xdr:colOff>76200</xdr:colOff>
                    <xdr:row>20</xdr:row>
                    <xdr:rowOff>22860</xdr:rowOff>
                  </from>
                  <to>
                    <xdr:col>16</xdr:col>
                    <xdr:colOff>129540</xdr:colOff>
                    <xdr:row>20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2" r:id="rId83" name="Option Button 80">
              <controlPr defaultSize="0" autoFill="0" autoLine="0" autoPict="0">
                <anchor moveWithCells="1">
                  <from>
                    <xdr:col>7</xdr:col>
                    <xdr:colOff>91440</xdr:colOff>
                    <xdr:row>20</xdr:row>
                    <xdr:rowOff>53340</xdr:rowOff>
                  </from>
                  <to>
                    <xdr:col>7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3" r:id="rId84" name="Option Button 81">
              <controlPr defaultSize="0" autoFill="0" autoLine="0" autoPict="0">
                <anchor moveWithCells="1">
                  <from>
                    <xdr:col>9</xdr:col>
                    <xdr:colOff>91440</xdr:colOff>
                    <xdr:row>20</xdr:row>
                    <xdr:rowOff>53340</xdr:rowOff>
                  </from>
                  <to>
                    <xdr:col>9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4" r:id="rId85" name="Option Button 82">
              <controlPr defaultSize="0" autoFill="0" autoLine="0" autoPict="0">
                <anchor moveWithCells="1">
                  <from>
                    <xdr:col>11</xdr:col>
                    <xdr:colOff>91440</xdr:colOff>
                    <xdr:row>20</xdr:row>
                    <xdr:rowOff>53340</xdr:rowOff>
                  </from>
                  <to>
                    <xdr:col>11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5" r:id="rId86" name="Option Button 83">
              <controlPr defaultSize="0" autoFill="0" autoLine="0" autoPict="0">
                <anchor moveWithCells="1">
                  <from>
                    <xdr:col>13</xdr:col>
                    <xdr:colOff>91440</xdr:colOff>
                    <xdr:row>20</xdr:row>
                    <xdr:rowOff>53340</xdr:rowOff>
                  </from>
                  <to>
                    <xdr:col>13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6" r:id="rId87" name="Option Button 84">
              <controlPr defaultSize="0" autoFill="0" autoLine="0" autoPict="0">
                <anchor moveWithCells="1">
                  <from>
                    <xdr:col>15</xdr:col>
                    <xdr:colOff>91440</xdr:colOff>
                    <xdr:row>20</xdr:row>
                    <xdr:rowOff>53340</xdr:rowOff>
                  </from>
                  <to>
                    <xdr:col>15</xdr:col>
                    <xdr:colOff>312420</xdr:colOff>
                    <xdr:row>20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7" r:id="rId88" name="Group Box 85">
              <controlPr defaultSize="0" print="0" autoFill="0" autoPict="0">
                <anchor moveWithCells="1">
                  <from>
                    <xdr:col>6</xdr:col>
                    <xdr:colOff>76200</xdr:colOff>
                    <xdr:row>21</xdr:row>
                    <xdr:rowOff>7620</xdr:rowOff>
                  </from>
                  <to>
                    <xdr:col>16</xdr:col>
                    <xdr:colOff>129540</xdr:colOff>
                    <xdr:row>21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8" r:id="rId89" name="Option Button 86">
              <controlPr defaultSize="0" autoFill="0" autoLine="0" autoPict="0">
                <anchor moveWithCells="1">
                  <from>
                    <xdr:col>7</xdr:col>
                    <xdr:colOff>91440</xdr:colOff>
                    <xdr:row>21</xdr:row>
                    <xdr:rowOff>45720</xdr:rowOff>
                  </from>
                  <to>
                    <xdr:col>7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9" r:id="rId90" name="Option Button 87">
              <controlPr defaultSize="0" autoFill="0" autoLine="0" autoPict="0">
                <anchor moveWithCells="1">
                  <from>
                    <xdr:col>9</xdr:col>
                    <xdr:colOff>91440</xdr:colOff>
                    <xdr:row>21</xdr:row>
                    <xdr:rowOff>45720</xdr:rowOff>
                  </from>
                  <to>
                    <xdr:col>9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0" r:id="rId91" name="Option Button 88">
              <controlPr defaultSize="0" autoFill="0" autoLine="0" autoPict="0">
                <anchor moveWithCells="1">
                  <from>
                    <xdr:col>11</xdr:col>
                    <xdr:colOff>91440</xdr:colOff>
                    <xdr:row>21</xdr:row>
                    <xdr:rowOff>45720</xdr:rowOff>
                  </from>
                  <to>
                    <xdr:col>11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1" r:id="rId92" name="Option Button 89">
              <controlPr defaultSize="0" autoFill="0" autoLine="0" autoPict="0">
                <anchor moveWithCells="1">
                  <from>
                    <xdr:col>13</xdr:col>
                    <xdr:colOff>91440</xdr:colOff>
                    <xdr:row>21</xdr:row>
                    <xdr:rowOff>45720</xdr:rowOff>
                  </from>
                  <to>
                    <xdr:col>13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2" r:id="rId93" name="Option Button 90">
              <controlPr defaultSize="0" autoFill="0" autoLine="0" autoPict="0">
                <anchor moveWithCells="1">
                  <from>
                    <xdr:col>15</xdr:col>
                    <xdr:colOff>91440</xdr:colOff>
                    <xdr:row>21</xdr:row>
                    <xdr:rowOff>45720</xdr:rowOff>
                  </from>
                  <to>
                    <xdr:col>15</xdr:col>
                    <xdr:colOff>312420</xdr:colOff>
                    <xdr:row>21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3" r:id="rId94" name="Group Box 91">
              <controlPr defaultSize="0" print="0" autoFill="0" autoPict="0">
                <anchor moveWithCells="1">
                  <from>
                    <xdr:col>6</xdr:col>
                    <xdr:colOff>76200</xdr:colOff>
                    <xdr:row>22</xdr:row>
                    <xdr:rowOff>7620</xdr:rowOff>
                  </from>
                  <to>
                    <xdr:col>16</xdr:col>
                    <xdr:colOff>129540</xdr:colOff>
                    <xdr:row>22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4" r:id="rId95" name="Option Button 92">
              <controlPr defaultSize="0" autoFill="0" autoLine="0" autoPict="0">
                <anchor moveWithCells="1">
                  <from>
                    <xdr:col>7</xdr:col>
                    <xdr:colOff>91440</xdr:colOff>
                    <xdr:row>22</xdr:row>
                    <xdr:rowOff>45720</xdr:rowOff>
                  </from>
                  <to>
                    <xdr:col>7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5" r:id="rId96" name="Option Button 93">
              <controlPr defaultSize="0" autoFill="0" autoLine="0" autoPict="0">
                <anchor moveWithCells="1">
                  <from>
                    <xdr:col>9</xdr:col>
                    <xdr:colOff>91440</xdr:colOff>
                    <xdr:row>22</xdr:row>
                    <xdr:rowOff>45720</xdr:rowOff>
                  </from>
                  <to>
                    <xdr:col>9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6" r:id="rId97" name="Option Button 94">
              <controlPr defaultSize="0" autoFill="0" autoLine="0" autoPict="0">
                <anchor moveWithCells="1">
                  <from>
                    <xdr:col>11</xdr:col>
                    <xdr:colOff>91440</xdr:colOff>
                    <xdr:row>22</xdr:row>
                    <xdr:rowOff>45720</xdr:rowOff>
                  </from>
                  <to>
                    <xdr:col>11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7" r:id="rId98" name="Option Button 95">
              <controlPr defaultSize="0" autoFill="0" autoLine="0" autoPict="0">
                <anchor moveWithCells="1">
                  <from>
                    <xdr:col>13</xdr:col>
                    <xdr:colOff>91440</xdr:colOff>
                    <xdr:row>22</xdr:row>
                    <xdr:rowOff>45720</xdr:rowOff>
                  </from>
                  <to>
                    <xdr:col>13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8" r:id="rId99" name="Option Button 96">
              <controlPr defaultSize="0" autoFill="0" autoLine="0" autoPict="0">
                <anchor moveWithCells="1">
                  <from>
                    <xdr:col>15</xdr:col>
                    <xdr:colOff>91440</xdr:colOff>
                    <xdr:row>22</xdr:row>
                    <xdr:rowOff>45720</xdr:rowOff>
                  </from>
                  <to>
                    <xdr:col>15</xdr:col>
                    <xdr:colOff>312420</xdr:colOff>
                    <xdr:row>22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9" r:id="rId100" name="Group Box 97">
              <controlPr defaultSize="0" print="0" autoFill="0" autoPict="0">
                <anchor moveWithCells="1">
                  <from>
                    <xdr:col>6</xdr:col>
                    <xdr:colOff>76200</xdr:colOff>
                    <xdr:row>29</xdr:row>
                    <xdr:rowOff>7620</xdr:rowOff>
                  </from>
                  <to>
                    <xdr:col>16</xdr:col>
                    <xdr:colOff>129540</xdr:colOff>
                    <xdr:row>29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0" r:id="rId101" name="Option Button 98">
              <controlPr defaultSize="0" autoFill="0" autoLine="0" autoPict="0">
                <anchor moveWithCells="1">
                  <from>
                    <xdr:col>7</xdr:col>
                    <xdr:colOff>91440</xdr:colOff>
                    <xdr:row>29</xdr:row>
                    <xdr:rowOff>45720</xdr:rowOff>
                  </from>
                  <to>
                    <xdr:col>7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1" r:id="rId102" name="Option Button 99">
              <controlPr defaultSize="0" autoFill="0" autoLine="0" autoPict="0">
                <anchor moveWithCells="1">
                  <from>
                    <xdr:col>9</xdr:col>
                    <xdr:colOff>91440</xdr:colOff>
                    <xdr:row>29</xdr:row>
                    <xdr:rowOff>45720</xdr:rowOff>
                  </from>
                  <to>
                    <xdr:col>9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2" r:id="rId103" name="Option Button 100">
              <controlPr defaultSize="0" autoFill="0" autoLine="0" autoPict="0">
                <anchor moveWithCells="1">
                  <from>
                    <xdr:col>11</xdr:col>
                    <xdr:colOff>91440</xdr:colOff>
                    <xdr:row>29</xdr:row>
                    <xdr:rowOff>45720</xdr:rowOff>
                  </from>
                  <to>
                    <xdr:col>11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3" r:id="rId104" name="Option Button 101">
              <controlPr defaultSize="0" autoFill="0" autoLine="0" autoPict="0">
                <anchor moveWithCells="1">
                  <from>
                    <xdr:col>13</xdr:col>
                    <xdr:colOff>91440</xdr:colOff>
                    <xdr:row>29</xdr:row>
                    <xdr:rowOff>45720</xdr:rowOff>
                  </from>
                  <to>
                    <xdr:col>13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4" r:id="rId105" name="Option Button 102">
              <controlPr defaultSize="0" autoFill="0" autoLine="0" autoPict="0">
                <anchor moveWithCells="1">
                  <from>
                    <xdr:col>15</xdr:col>
                    <xdr:colOff>91440</xdr:colOff>
                    <xdr:row>29</xdr:row>
                    <xdr:rowOff>45720</xdr:rowOff>
                  </from>
                  <to>
                    <xdr:col>15</xdr:col>
                    <xdr:colOff>312420</xdr:colOff>
                    <xdr:row>29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5" r:id="rId106" name="Group Box 103">
              <controlPr defaultSize="0" print="0" autoFill="0" autoPict="0">
                <anchor moveWithCells="1">
                  <from>
                    <xdr:col>6</xdr:col>
                    <xdr:colOff>76200</xdr:colOff>
                    <xdr:row>30</xdr:row>
                    <xdr:rowOff>7620</xdr:rowOff>
                  </from>
                  <to>
                    <xdr:col>16</xdr:col>
                    <xdr:colOff>129540</xdr:colOff>
                    <xdr:row>30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6" r:id="rId107" name="Option Button 104">
              <controlPr defaultSize="0" autoFill="0" autoLine="0" autoPict="0">
                <anchor moveWithCells="1">
                  <from>
                    <xdr:col>7</xdr:col>
                    <xdr:colOff>91440</xdr:colOff>
                    <xdr:row>30</xdr:row>
                    <xdr:rowOff>38100</xdr:rowOff>
                  </from>
                  <to>
                    <xdr:col>7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7" r:id="rId108" name="Option Button 105">
              <controlPr defaultSize="0" autoFill="0" autoLine="0" autoPict="0">
                <anchor moveWithCells="1">
                  <from>
                    <xdr:col>9</xdr:col>
                    <xdr:colOff>91440</xdr:colOff>
                    <xdr:row>30</xdr:row>
                    <xdr:rowOff>38100</xdr:rowOff>
                  </from>
                  <to>
                    <xdr:col>9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8" r:id="rId109" name="Option Button 106">
              <controlPr defaultSize="0" autoFill="0" autoLine="0" autoPict="0">
                <anchor moveWithCells="1">
                  <from>
                    <xdr:col>11</xdr:col>
                    <xdr:colOff>91440</xdr:colOff>
                    <xdr:row>30</xdr:row>
                    <xdr:rowOff>38100</xdr:rowOff>
                  </from>
                  <to>
                    <xdr:col>11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9" r:id="rId110" name="Option Button 107">
              <controlPr defaultSize="0" autoFill="0" autoLine="0" autoPict="0">
                <anchor moveWithCells="1">
                  <from>
                    <xdr:col>13</xdr:col>
                    <xdr:colOff>91440</xdr:colOff>
                    <xdr:row>30</xdr:row>
                    <xdr:rowOff>38100</xdr:rowOff>
                  </from>
                  <to>
                    <xdr:col>13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0" r:id="rId111" name="Option Button 108">
              <controlPr defaultSize="0" autoFill="0" autoLine="0" autoPict="0">
                <anchor moveWithCells="1">
                  <from>
                    <xdr:col>15</xdr:col>
                    <xdr:colOff>91440</xdr:colOff>
                    <xdr:row>30</xdr:row>
                    <xdr:rowOff>38100</xdr:rowOff>
                  </from>
                  <to>
                    <xdr:col>15</xdr:col>
                    <xdr:colOff>312420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1" r:id="rId112" name="Group Box 109">
              <controlPr defaultSize="0" print="0" autoFill="0" autoPict="0">
                <anchor moveWithCells="1">
                  <from>
                    <xdr:col>6</xdr:col>
                    <xdr:colOff>76200</xdr:colOff>
                    <xdr:row>31</xdr:row>
                    <xdr:rowOff>7620</xdr:rowOff>
                  </from>
                  <to>
                    <xdr:col>16</xdr:col>
                    <xdr:colOff>129540</xdr:colOff>
                    <xdr:row>31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2" r:id="rId113" name="Option Button 110">
              <controlPr defaultSize="0" autoFill="0" autoLine="0" autoPict="0">
                <anchor moveWithCells="1">
                  <from>
                    <xdr:col>7</xdr:col>
                    <xdr:colOff>91440</xdr:colOff>
                    <xdr:row>31</xdr:row>
                    <xdr:rowOff>45720</xdr:rowOff>
                  </from>
                  <to>
                    <xdr:col>7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3" r:id="rId114" name="Option Button 111">
              <controlPr defaultSize="0" autoFill="0" autoLine="0" autoPict="0">
                <anchor moveWithCells="1">
                  <from>
                    <xdr:col>9</xdr:col>
                    <xdr:colOff>91440</xdr:colOff>
                    <xdr:row>31</xdr:row>
                    <xdr:rowOff>45720</xdr:rowOff>
                  </from>
                  <to>
                    <xdr:col>9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4" r:id="rId115" name="Option Button 112">
              <controlPr defaultSize="0" autoFill="0" autoLine="0" autoPict="0">
                <anchor moveWithCells="1">
                  <from>
                    <xdr:col>11</xdr:col>
                    <xdr:colOff>91440</xdr:colOff>
                    <xdr:row>31</xdr:row>
                    <xdr:rowOff>45720</xdr:rowOff>
                  </from>
                  <to>
                    <xdr:col>11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5" r:id="rId116" name="Option Button 113">
              <controlPr defaultSize="0" autoFill="0" autoLine="0" autoPict="0">
                <anchor moveWithCells="1">
                  <from>
                    <xdr:col>13</xdr:col>
                    <xdr:colOff>91440</xdr:colOff>
                    <xdr:row>31</xdr:row>
                    <xdr:rowOff>45720</xdr:rowOff>
                  </from>
                  <to>
                    <xdr:col>13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6" r:id="rId117" name="Option Button 114">
              <controlPr defaultSize="0" autoFill="0" autoLine="0" autoPict="0">
                <anchor moveWithCells="1">
                  <from>
                    <xdr:col>15</xdr:col>
                    <xdr:colOff>91440</xdr:colOff>
                    <xdr:row>31</xdr:row>
                    <xdr:rowOff>45720</xdr:rowOff>
                  </from>
                  <to>
                    <xdr:col>15</xdr:col>
                    <xdr:colOff>312420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7" r:id="rId118" name="Group Box 115">
              <controlPr defaultSize="0" print="0" autoFill="0" autoPict="0">
                <anchor moveWithCells="1">
                  <from>
                    <xdr:col>6</xdr:col>
                    <xdr:colOff>76200</xdr:colOff>
                    <xdr:row>33</xdr:row>
                    <xdr:rowOff>22860</xdr:rowOff>
                  </from>
                  <to>
                    <xdr:col>16</xdr:col>
                    <xdr:colOff>129540</xdr:colOff>
                    <xdr:row>33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8" r:id="rId119" name="Option Button 116">
              <controlPr defaultSize="0" autoFill="0" autoLine="0" autoPict="0">
                <anchor moveWithCells="1">
                  <from>
                    <xdr:col>7</xdr:col>
                    <xdr:colOff>91440</xdr:colOff>
                    <xdr:row>33</xdr:row>
                    <xdr:rowOff>53340</xdr:rowOff>
                  </from>
                  <to>
                    <xdr:col>7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9" r:id="rId120" name="Option Button 117">
              <controlPr defaultSize="0" autoFill="0" autoLine="0" autoPict="0">
                <anchor moveWithCells="1">
                  <from>
                    <xdr:col>9</xdr:col>
                    <xdr:colOff>91440</xdr:colOff>
                    <xdr:row>33</xdr:row>
                    <xdr:rowOff>53340</xdr:rowOff>
                  </from>
                  <to>
                    <xdr:col>9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0" r:id="rId121" name="Option Button 118">
              <controlPr defaultSize="0" autoFill="0" autoLine="0" autoPict="0">
                <anchor moveWithCells="1">
                  <from>
                    <xdr:col>11</xdr:col>
                    <xdr:colOff>91440</xdr:colOff>
                    <xdr:row>33</xdr:row>
                    <xdr:rowOff>53340</xdr:rowOff>
                  </from>
                  <to>
                    <xdr:col>11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1" r:id="rId122" name="Option Button 119">
              <controlPr defaultSize="0" autoFill="0" autoLine="0" autoPict="0">
                <anchor moveWithCells="1">
                  <from>
                    <xdr:col>13</xdr:col>
                    <xdr:colOff>91440</xdr:colOff>
                    <xdr:row>33</xdr:row>
                    <xdr:rowOff>53340</xdr:rowOff>
                  </from>
                  <to>
                    <xdr:col>13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2" r:id="rId123" name="Option Button 120">
              <controlPr defaultSize="0" autoFill="0" autoLine="0" autoPict="0">
                <anchor moveWithCells="1">
                  <from>
                    <xdr:col>15</xdr:col>
                    <xdr:colOff>91440</xdr:colOff>
                    <xdr:row>33</xdr:row>
                    <xdr:rowOff>53340</xdr:rowOff>
                  </from>
                  <to>
                    <xdr:col>15</xdr:col>
                    <xdr:colOff>312420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3" r:id="rId124" name="Group Box 121">
              <controlPr defaultSize="0" print="0" autoFill="0" autoPict="0">
                <anchor moveWithCells="1">
                  <from>
                    <xdr:col>6</xdr:col>
                    <xdr:colOff>76200</xdr:colOff>
                    <xdr:row>34</xdr:row>
                    <xdr:rowOff>22860</xdr:rowOff>
                  </from>
                  <to>
                    <xdr:col>16</xdr:col>
                    <xdr:colOff>129540</xdr:colOff>
                    <xdr:row>34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4" r:id="rId125" name="Option Button 122">
              <controlPr defaultSize="0" autoFill="0" autoLine="0" autoPict="0">
                <anchor moveWithCells="1">
                  <from>
                    <xdr:col>7</xdr:col>
                    <xdr:colOff>91440</xdr:colOff>
                    <xdr:row>34</xdr:row>
                    <xdr:rowOff>45720</xdr:rowOff>
                  </from>
                  <to>
                    <xdr:col>7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5" r:id="rId126" name="Option Button 123">
              <controlPr defaultSize="0" autoFill="0" autoLine="0" autoPict="0">
                <anchor moveWithCells="1">
                  <from>
                    <xdr:col>9</xdr:col>
                    <xdr:colOff>91440</xdr:colOff>
                    <xdr:row>34</xdr:row>
                    <xdr:rowOff>45720</xdr:rowOff>
                  </from>
                  <to>
                    <xdr:col>9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6" r:id="rId127" name="Option Button 124">
              <controlPr defaultSize="0" autoFill="0" autoLine="0" autoPict="0">
                <anchor moveWithCells="1">
                  <from>
                    <xdr:col>11</xdr:col>
                    <xdr:colOff>91440</xdr:colOff>
                    <xdr:row>34</xdr:row>
                    <xdr:rowOff>45720</xdr:rowOff>
                  </from>
                  <to>
                    <xdr:col>11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7" r:id="rId128" name="Option Button 125">
              <controlPr defaultSize="0" autoFill="0" autoLine="0" autoPict="0">
                <anchor moveWithCells="1">
                  <from>
                    <xdr:col>13</xdr:col>
                    <xdr:colOff>91440</xdr:colOff>
                    <xdr:row>34</xdr:row>
                    <xdr:rowOff>45720</xdr:rowOff>
                  </from>
                  <to>
                    <xdr:col>13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8" r:id="rId129" name="Option Button 126">
              <controlPr defaultSize="0" autoFill="0" autoLine="0" autoPict="0">
                <anchor moveWithCells="1">
                  <from>
                    <xdr:col>15</xdr:col>
                    <xdr:colOff>91440</xdr:colOff>
                    <xdr:row>34</xdr:row>
                    <xdr:rowOff>45720</xdr:rowOff>
                  </from>
                  <to>
                    <xdr:col>15</xdr:col>
                    <xdr:colOff>312420</xdr:colOff>
                    <xdr:row>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9" r:id="rId130" name="Group Box 127">
              <controlPr defaultSize="0" print="0" autoFill="0" autoPict="0">
                <anchor moveWithCells="1">
                  <from>
                    <xdr:col>6</xdr:col>
                    <xdr:colOff>76200</xdr:colOff>
                    <xdr:row>35</xdr:row>
                    <xdr:rowOff>22860</xdr:rowOff>
                  </from>
                  <to>
                    <xdr:col>16</xdr:col>
                    <xdr:colOff>129540</xdr:colOff>
                    <xdr:row>35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0" r:id="rId131" name="Option Button 128">
              <controlPr defaultSize="0" autoFill="0" autoLine="0" autoPict="0">
                <anchor moveWithCells="1">
                  <from>
                    <xdr:col>7</xdr:col>
                    <xdr:colOff>91440</xdr:colOff>
                    <xdr:row>35</xdr:row>
                    <xdr:rowOff>45720</xdr:rowOff>
                  </from>
                  <to>
                    <xdr:col>7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1" r:id="rId132" name="Option Button 129">
              <controlPr defaultSize="0" autoFill="0" autoLine="0" autoPict="0">
                <anchor moveWithCells="1">
                  <from>
                    <xdr:col>9</xdr:col>
                    <xdr:colOff>91440</xdr:colOff>
                    <xdr:row>35</xdr:row>
                    <xdr:rowOff>45720</xdr:rowOff>
                  </from>
                  <to>
                    <xdr:col>9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2" r:id="rId133" name="Option Button 130">
              <controlPr defaultSize="0" autoFill="0" autoLine="0" autoPict="0">
                <anchor moveWithCells="1">
                  <from>
                    <xdr:col>11</xdr:col>
                    <xdr:colOff>91440</xdr:colOff>
                    <xdr:row>35</xdr:row>
                    <xdr:rowOff>45720</xdr:rowOff>
                  </from>
                  <to>
                    <xdr:col>11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3" r:id="rId134" name="Option Button 131">
              <controlPr defaultSize="0" autoFill="0" autoLine="0" autoPict="0">
                <anchor moveWithCells="1">
                  <from>
                    <xdr:col>13</xdr:col>
                    <xdr:colOff>91440</xdr:colOff>
                    <xdr:row>35</xdr:row>
                    <xdr:rowOff>45720</xdr:rowOff>
                  </from>
                  <to>
                    <xdr:col>13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4" r:id="rId135" name="Option Button 132">
              <controlPr defaultSize="0" autoFill="0" autoLine="0" autoPict="0">
                <anchor moveWithCells="1">
                  <from>
                    <xdr:col>15</xdr:col>
                    <xdr:colOff>91440</xdr:colOff>
                    <xdr:row>35</xdr:row>
                    <xdr:rowOff>45720</xdr:rowOff>
                  </from>
                  <to>
                    <xdr:col>15</xdr:col>
                    <xdr:colOff>312420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5" r:id="rId136" name="Group Box 133">
              <controlPr defaultSize="0" print="0" autoFill="0" autoPict="0">
                <anchor moveWithCells="1">
                  <from>
                    <xdr:col>6</xdr:col>
                    <xdr:colOff>76200</xdr:colOff>
                    <xdr:row>36</xdr:row>
                    <xdr:rowOff>22860</xdr:rowOff>
                  </from>
                  <to>
                    <xdr:col>16</xdr:col>
                    <xdr:colOff>129540</xdr:colOff>
                    <xdr:row>36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6" r:id="rId137" name="Option Button 134">
              <controlPr defaultSize="0" autoFill="0" autoLine="0" autoPict="0">
                <anchor moveWithCells="1">
                  <from>
                    <xdr:col>7</xdr:col>
                    <xdr:colOff>91440</xdr:colOff>
                    <xdr:row>36</xdr:row>
                    <xdr:rowOff>45720</xdr:rowOff>
                  </from>
                  <to>
                    <xdr:col>7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7" r:id="rId138" name="Option Button 135">
              <controlPr defaultSize="0" autoFill="0" autoLine="0" autoPict="0">
                <anchor moveWithCells="1">
                  <from>
                    <xdr:col>9</xdr:col>
                    <xdr:colOff>91440</xdr:colOff>
                    <xdr:row>36</xdr:row>
                    <xdr:rowOff>45720</xdr:rowOff>
                  </from>
                  <to>
                    <xdr:col>9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8" r:id="rId139" name="Option Button 136">
              <controlPr defaultSize="0" autoFill="0" autoLine="0" autoPict="0">
                <anchor moveWithCells="1">
                  <from>
                    <xdr:col>11</xdr:col>
                    <xdr:colOff>91440</xdr:colOff>
                    <xdr:row>36</xdr:row>
                    <xdr:rowOff>45720</xdr:rowOff>
                  </from>
                  <to>
                    <xdr:col>11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9" r:id="rId140" name="Option Button 137">
              <controlPr defaultSize="0" autoFill="0" autoLine="0" autoPict="0">
                <anchor moveWithCells="1">
                  <from>
                    <xdr:col>13</xdr:col>
                    <xdr:colOff>91440</xdr:colOff>
                    <xdr:row>36</xdr:row>
                    <xdr:rowOff>45720</xdr:rowOff>
                  </from>
                  <to>
                    <xdr:col>13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0" r:id="rId141" name="Option Button 138">
              <controlPr defaultSize="0" autoFill="0" autoLine="0" autoPict="0">
                <anchor moveWithCells="1">
                  <from>
                    <xdr:col>15</xdr:col>
                    <xdr:colOff>91440</xdr:colOff>
                    <xdr:row>36</xdr:row>
                    <xdr:rowOff>45720</xdr:rowOff>
                  </from>
                  <to>
                    <xdr:col>15</xdr:col>
                    <xdr:colOff>312420</xdr:colOff>
                    <xdr:row>36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1" r:id="rId142" name="Group Box 139">
              <controlPr defaultSize="0" print="0" autoFill="0" autoPict="0">
                <anchor moveWithCells="1">
                  <from>
                    <xdr:col>6</xdr:col>
                    <xdr:colOff>76200</xdr:colOff>
                    <xdr:row>37</xdr:row>
                    <xdr:rowOff>22860</xdr:rowOff>
                  </from>
                  <to>
                    <xdr:col>16</xdr:col>
                    <xdr:colOff>129540</xdr:colOff>
                    <xdr:row>37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2" r:id="rId143" name="Option Button 140">
              <controlPr defaultSize="0" autoFill="0" autoLine="0" autoPict="0">
                <anchor moveWithCells="1">
                  <from>
                    <xdr:col>7</xdr:col>
                    <xdr:colOff>91440</xdr:colOff>
                    <xdr:row>37</xdr:row>
                    <xdr:rowOff>53340</xdr:rowOff>
                  </from>
                  <to>
                    <xdr:col>7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3" r:id="rId144" name="Option Button 141">
              <controlPr defaultSize="0" autoFill="0" autoLine="0" autoPict="0">
                <anchor moveWithCells="1">
                  <from>
                    <xdr:col>9</xdr:col>
                    <xdr:colOff>91440</xdr:colOff>
                    <xdr:row>37</xdr:row>
                    <xdr:rowOff>53340</xdr:rowOff>
                  </from>
                  <to>
                    <xdr:col>9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4" r:id="rId145" name="Option Button 142">
              <controlPr defaultSize="0" autoFill="0" autoLine="0" autoPict="0">
                <anchor moveWithCells="1">
                  <from>
                    <xdr:col>11</xdr:col>
                    <xdr:colOff>91440</xdr:colOff>
                    <xdr:row>37</xdr:row>
                    <xdr:rowOff>53340</xdr:rowOff>
                  </from>
                  <to>
                    <xdr:col>11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5" r:id="rId146" name="Option Button 143">
              <controlPr defaultSize="0" autoFill="0" autoLine="0" autoPict="0">
                <anchor moveWithCells="1">
                  <from>
                    <xdr:col>13</xdr:col>
                    <xdr:colOff>91440</xdr:colOff>
                    <xdr:row>37</xdr:row>
                    <xdr:rowOff>53340</xdr:rowOff>
                  </from>
                  <to>
                    <xdr:col>13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6" r:id="rId147" name="Option Button 144">
              <controlPr defaultSize="0" autoFill="0" autoLine="0" autoPict="0">
                <anchor moveWithCells="1">
                  <from>
                    <xdr:col>15</xdr:col>
                    <xdr:colOff>91440</xdr:colOff>
                    <xdr:row>37</xdr:row>
                    <xdr:rowOff>53340</xdr:rowOff>
                  </from>
                  <to>
                    <xdr:col>15</xdr:col>
                    <xdr:colOff>312420</xdr:colOff>
                    <xdr:row>37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7" r:id="rId148" name="Group Box 145">
              <controlPr defaultSize="0" print="0" autoFill="0" autoPict="0">
                <anchor moveWithCells="1">
                  <from>
                    <xdr:col>6</xdr:col>
                    <xdr:colOff>76200</xdr:colOff>
                    <xdr:row>39</xdr:row>
                    <xdr:rowOff>30480</xdr:rowOff>
                  </from>
                  <to>
                    <xdr:col>16</xdr:col>
                    <xdr:colOff>129540</xdr:colOff>
                    <xdr:row>39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8" r:id="rId149" name="Option Button 146">
              <controlPr defaultSize="0" autoFill="0" autoLine="0" autoPict="0">
                <anchor moveWithCells="1">
                  <from>
                    <xdr:col>7</xdr:col>
                    <xdr:colOff>91440</xdr:colOff>
                    <xdr:row>39</xdr:row>
                    <xdr:rowOff>60960</xdr:rowOff>
                  </from>
                  <to>
                    <xdr:col>7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9" r:id="rId150" name="Option Button 147">
              <controlPr defaultSize="0" autoFill="0" autoLine="0" autoPict="0">
                <anchor moveWithCells="1">
                  <from>
                    <xdr:col>9</xdr:col>
                    <xdr:colOff>91440</xdr:colOff>
                    <xdr:row>39</xdr:row>
                    <xdr:rowOff>60960</xdr:rowOff>
                  </from>
                  <to>
                    <xdr:col>9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0" r:id="rId151" name="Option Button 148">
              <controlPr defaultSize="0" autoFill="0" autoLine="0" autoPict="0">
                <anchor moveWithCells="1">
                  <from>
                    <xdr:col>11</xdr:col>
                    <xdr:colOff>91440</xdr:colOff>
                    <xdr:row>39</xdr:row>
                    <xdr:rowOff>60960</xdr:rowOff>
                  </from>
                  <to>
                    <xdr:col>11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1" r:id="rId152" name="Option Button 149">
              <controlPr defaultSize="0" autoFill="0" autoLine="0" autoPict="0">
                <anchor moveWithCells="1">
                  <from>
                    <xdr:col>13</xdr:col>
                    <xdr:colOff>91440</xdr:colOff>
                    <xdr:row>39</xdr:row>
                    <xdr:rowOff>60960</xdr:rowOff>
                  </from>
                  <to>
                    <xdr:col>13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2" r:id="rId153" name="Option Button 150">
              <controlPr defaultSize="0" autoFill="0" autoLine="0" autoPict="0">
                <anchor moveWithCells="1">
                  <from>
                    <xdr:col>15</xdr:col>
                    <xdr:colOff>91440</xdr:colOff>
                    <xdr:row>39</xdr:row>
                    <xdr:rowOff>60960</xdr:rowOff>
                  </from>
                  <to>
                    <xdr:col>15</xdr:col>
                    <xdr:colOff>312420</xdr:colOff>
                    <xdr:row>39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3" r:id="rId154" name="Group Box 151">
              <controlPr defaultSize="0" print="0" autoFill="0" autoPict="0">
                <anchor moveWithCells="1">
                  <from>
                    <xdr:col>6</xdr:col>
                    <xdr:colOff>76200</xdr:colOff>
                    <xdr:row>41</xdr:row>
                    <xdr:rowOff>7620</xdr:rowOff>
                  </from>
                  <to>
                    <xdr:col>16</xdr:col>
                    <xdr:colOff>129540</xdr:colOff>
                    <xdr:row>41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4" r:id="rId155" name="Option Button 152">
              <controlPr defaultSize="0" autoFill="0" autoLine="0" autoPict="0">
                <anchor moveWithCells="1">
                  <from>
                    <xdr:col>7</xdr:col>
                    <xdr:colOff>91440</xdr:colOff>
                    <xdr:row>41</xdr:row>
                    <xdr:rowOff>45720</xdr:rowOff>
                  </from>
                  <to>
                    <xdr:col>7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5" r:id="rId156" name="Option Button 153">
              <controlPr defaultSize="0" autoFill="0" autoLine="0" autoPict="0">
                <anchor moveWithCells="1">
                  <from>
                    <xdr:col>9</xdr:col>
                    <xdr:colOff>91440</xdr:colOff>
                    <xdr:row>41</xdr:row>
                    <xdr:rowOff>45720</xdr:rowOff>
                  </from>
                  <to>
                    <xdr:col>9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6" r:id="rId157" name="Option Button 154">
              <controlPr defaultSize="0" autoFill="0" autoLine="0" autoPict="0">
                <anchor moveWithCells="1">
                  <from>
                    <xdr:col>11</xdr:col>
                    <xdr:colOff>91440</xdr:colOff>
                    <xdr:row>41</xdr:row>
                    <xdr:rowOff>45720</xdr:rowOff>
                  </from>
                  <to>
                    <xdr:col>11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7" r:id="rId158" name="Option Button 155">
              <controlPr defaultSize="0" autoFill="0" autoLine="0" autoPict="0">
                <anchor moveWithCells="1">
                  <from>
                    <xdr:col>13</xdr:col>
                    <xdr:colOff>91440</xdr:colOff>
                    <xdr:row>41</xdr:row>
                    <xdr:rowOff>45720</xdr:rowOff>
                  </from>
                  <to>
                    <xdr:col>13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8" r:id="rId159" name="Option Button 156">
              <controlPr defaultSize="0" autoFill="0" autoLine="0" autoPict="0">
                <anchor moveWithCells="1">
                  <from>
                    <xdr:col>15</xdr:col>
                    <xdr:colOff>91440</xdr:colOff>
                    <xdr:row>41</xdr:row>
                    <xdr:rowOff>45720</xdr:rowOff>
                  </from>
                  <to>
                    <xdr:col>15</xdr:col>
                    <xdr:colOff>312420</xdr:colOff>
                    <xdr:row>41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9" r:id="rId160" name="Group Box 157">
              <controlPr defaultSize="0" print="0" autoFill="0" autoPict="0">
                <anchor moveWithCells="1">
                  <from>
                    <xdr:col>6</xdr:col>
                    <xdr:colOff>76200</xdr:colOff>
                    <xdr:row>42</xdr:row>
                    <xdr:rowOff>7620</xdr:rowOff>
                  </from>
                  <to>
                    <xdr:col>16</xdr:col>
                    <xdr:colOff>129540</xdr:colOff>
                    <xdr:row>42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0" r:id="rId161" name="Option Button 158">
              <controlPr defaultSize="0" autoFill="0" autoLine="0" autoPict="0">
                <anchor moveWithCells="1">
                  <from>
                    <xdr:col>7</xdr:col>
                    <xdr:colOff>91440</xdr:colOff>
                    <xdr:row>42</xdr:row>
                    <xdr:rowOff>45720</xdr:rowOff>
                  </from>
                  <to>
                    <xdr:col>7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1" r:id="rId162" name="Option Button 159">
              <controlPr defaultSize="0" autoFill="0" autoLine="0" autoPict="0">
                <anchor moveWithCells="1">
                  <from>
                    <xdr:col>9</xdr:col>
                    <xdr:colOff>91440</xdr:colOff>
                    <xdr:row>42</xdr:row>
                    <xdr:rowOff>45720</xdr:rowOff>
                  </from>
                  <to>
                    <xdr:col>9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2" r:id="rId163" name="Option Button 160">
              <controlPr defaultSize="0" autoFill="0" autoLine="0" autoPict="0">
                <anchor moveWithCells="1">
                  <from>
                    <xdr:col>11</xdr:col>
                    <xdr:colOff>91440</xdr:colOff>
                    <xdr:row>42</xdr:row>
                    <xdr:rowOff>45720</xdr:rowOff>
                  </from>
                  <to>
                    <xdr:col>11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3" r:id="rId164" name="Option Button 161">
              <controlPr defaultSize="0" autoFill="0" autoLine="0" autoPict="0">
                <anchor moveWithCells="1">
                  <from>
                    <xdr:col>13</xdr:col>
                    <xdr:colOff>91440</xdr:colOff>
                    <xdr:row>42</xdr:row>
                    <xdr:rowOff>45720</xdr:rowOff>
                  </from>
                  <to>
                    <xdr:col>13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4" r:id="rId165" name="Option Button 162">
              <controlPr defaultSize="0" autoFill="0" autoLine="0" autoPict="0">
                <anchor moveWithCells="1">
                  <from>
                    <xdr:col>15</xdr:col>
                    <xdr:colOff>91440</xdr:colOff>
                    <xdr:row>42</xdr:row>
                    <xdr:rowOff>45720</xdr:rowOff>
                  </from>
                  <to>
                    <xdr:col>15</xdr:col>
                    <xdr:colOff>312420</xdr:colOff>
                    <xdr:row>42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5" r:id="rId166" name="Group Box 163">
              <controlPr defaultSize="0" print="0" autoFill="0" autoPict="0">
                <anchor moveWithCells="1">
                  <from>
                    <xdr:col>6</xdr:col>
                    <xdr:colOff>76200</xdr:colOff>
                    <xdr:row>43</xdr:row>
                    <xdr:rowOff>0</xdr:rowOff>
                  </from>
                  <to>
                    <xdr:col>16</xdr:col>
                    <xdr:colOff>129540</xdr:colOff>
                    <xdr:row>43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6" r:id="rId167" name="Option Button 164">
              <controlPr defaultSize="0" autoFill="0" autoLine="0" autoPict="0">
                <anchor moveWithCells="1">
                  <from>
                    <xdr:col>7</xdr:col>
                    <xdr:colOff>91440</xdr:colOff>
                    <xdr:row>43</xdr:row>
                    <xdr:rowOff>30480</xdr:rowOff>
                  </from>
                  <to>
                    <xdr:col>7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7" r:id="rId168" name="Option Button 165">
              <controlPr defaultSize="0" autoFill="0" autoLine="0" autoPict="0">
                <anchor moveWithCells="1">
                  <from>
                    <xdr:col>9</xdr:col>
                    <xdr:colOff>91440</xdr:colOff>
                    <xdr:row>43</xdr:row>
                    <xdr:rowOff>30480</xdr:rowOff>
                  </from>
                  <to>
                    <xdr:col>9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8" r:id="rId169" name="Option Button 166">
              <controlPr defaultSize="0" autoFill="0" autoLine="0" autoPict="0">
                <anchor moveWithCells="1">
                  <from>
                    <xdr:col>11</xdr:col>
                    <xdr:colOff>91440</xdr:colOff>
                    <xdr:row>43</xdr:row>
                    <xdr:rowOff>30480</xdr:rowOff>
                  </from>
                  <to>
                    <xdr:col>11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9" r:id="rId170" name="Option Button 167">
              <controlPr defaultSize="0" autoFill="0" autoLine="0" autoPict="0">
                <anchor moveWithCells="1">
                  <from>
                    <xdr:col>13</xdr:col>
                    <xdr:colOff>91440</xdr:colOff>
                    <xdr:row>43</xdr:row>
                    <xdr:rowOff>30480</xdr:rowOff>
                  </from>
                  <to>
                    <xdr:col>13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0" r:id="rId171" name="Option Button 168">
              <controlPr defaultSize="0" autoFill="0" autoLine="0" autoPict="0">
                <anchor moveWithCells="1">
                  <from>
                    <xdr:col>15</xdr:col>
                    <xdr:colOff>91440</xdr:colOff>
                    <xdr:row>43</xdr:row>
                    <xdr:rowOff>30480</xdr:rowOff>
                  </from>
                  <to>
                    <xdr:col>15</xdr:col>
                    <xdr:colOff>312420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1" r:id="rId172" name="Group Box 169">
              <controlPr defaultSize="0" print="0" autoFill="0" autoPict="0">
                <anchor moveWithCells="1">
                  <from>
                    <xdr:col>6</xdr:col>
                    <xdr:colOff>76200</xdr:colOff>
                    <xdr:row>44</xdr:row>
                    <xdr:rowOff>7620</xdr:rowOff>
                  </from>
                  <to>
                    <xdr:col>16</xdr:col>
                    <xdr:colOff>129540</xdr:colOff>
                    <xdr:row>44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2" r:id="rId173" name="Option Button 170">
              <controlPr defaultSize="0" autoFill="0" autoLine="0" autoPict="0">
                <anchor moveWithCells="1">
                  <from>
                    <xdr:col>7</xdr:col>
                    <xdr:colOff>91440</xdr:colOff>
                    <xdr:row>44</xdr:row>
                    <xdr:rowOff>45720</xdr:rowOff>
                  </from>
                  <to>
                    <xdr:col>7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3" r:id="rId174" name="Option Button 171">
              <controlPr defaultSize="0" autoFill="0" autoLine="0" autoPict="0">
                <anchor moveWithCells="1">
                  <from>
                    <xdr:col>9</xdr:col>
                    <xdr:colOff>91440</xdr:colOff>
                    <xdr:row>44</xdr:row>
                    <xdr:rowOff>45720</xdr:rowOff>
                  </from>
                  <to>
                    <xdr:col>9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4" r:id="rId175" name="Option Button 172">
              <controlPr defaultSize="0" autoFill="0" autoLine="0" autoPict="0">
                <anchor moveWithCells="1">
                  <from>
                    <xdr:col>11</xdr:col>
                    <xdr:colOff>91440</xdr:colOff>
                    <xdr:row>44</xdr:row>
                    <xdr:rowOff>45720</xdr:rowOff>
                  </from>
                  <to>
                    <xdr:col>11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5" r:id="rId176" name="Option Button 173">
              <controlPr defaultSize="0" autoFill="0" autoLine="0" autoPict="0">
                <anchor moveWithCells="1">
                  <from>
                    <xdr:col>13</xdr:col>
                    <xdr:colOff>91440</xdr:colOff>
                    <xdr:row>44</xdr:row>
                    <xdr:rowOff>45720</xdr:rowOff>
                  </from>
                  <to>
                    <xdr:col>13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6" r:id="rId177" name="Option Button 174">
              <controlPr defaultSize="0" autoFill="0" autoLine="0" autoPict="0">
                <anchor moveWithCells="1">
                  <from>
                    <xdr:col>15</xdr:col>
                    <xdr:colOff>91440</xdr:colOff>
                    <xdr:row>44</xdr:row>
                    <xdr:rowOff>45720</xdr:rowOff>
                  </from>
                  <to>
                    <xdr:col>15</xdr:col>
                    <xdr:colOff>312420</xdr:colOff>
                    <xdr:row>44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7" r:id="rId178" name="Group Box 175">
              <controlPr defaultSize="0" print="0" autoFill="0" autoPict="0">
                <anchor moveWithCells="1">
                  <from>
                    <xdr:col>6</xdr:col>
                    <xdr:colOff>76200</xdr:colOff>
                    <xdr:row>46</xdr:row>
                    <xdr:rowOff>30480</xdr:rowOff>
                  </from>
                  <to>
                    <xdr:col>16</xdr:col>
                    <xdr:colOff>129540</xdr:colOff>
                    <xdr:row>46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8" r:id="rId179" name="Option Button 176">
              <controlPr defaultSize="0" autoFill="0" autoLine="0" autoPict="0">
                <anchor moveWithCells="1">
                  <from>
                    <xdr:col>7</xdr:col>
                    <xdr:colOff>91440</xdr:colOff>
                    <xdr:row>46</xdr:row>
                    <xdr:rowOff>60960</xdr:rowOff>
                  </from>
                  <to>
                    <xdr:col>7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9" r:id="rId180" name="Option Button 177">
              <controlPr defaultSize="0" autoFill="0" autoLine="0" autoPict="0">
                <anchor moveWithCells="1">
                  <from>
                    <xdr:col>9</xdr:col>
                    <xdr:colOff>91440</xdr:colOff>
                    <xdr:row>46</xdr:row>
                    <xdr:rowOff>60960</xdr:rowOff>
                  </from>
                  <to>
                    <xdr:col>9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0" r:id="rId181" name="Option Button 178">
              <controlPr defaultSize="0" autoFill="0" autoLine="0" autoPict="0">
                <anchor moveWithCells="1">
                  <from>
                    <xdr:col>11</xdr:col>
                    <xdr:colOff>91440</xdr:colOff>
                    <xdr:row>46</xdr:row>
                    <xdr:rowOff>60960</xdr:rowOff>
                  </from>
                  <to>
                    <xdr:col>11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1" r:id="rId182" name="Option Button 179">
              <controlPr defaultSize="0" autoFill="0" autoLine="0" autoPict="0">
                <anchor moveWithCells="1">
                  <from>
                    <xdr:col>13</xdr:col>
                    <xdr:colOff>91440</xdr:colOff>
                    <xdr:row>46</xdr:row>
                    <xdr:rowOff>60960</xdr:rowOff>
                  </from>
                  <to>
                    <xdr:col>13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2" r:id="rId183" name="Option Button 180">
              <controlPr defaultSize="0" autoFill="0" autoLine="0" autoPict="0">
                <anchor moveWithCells="1">
                  <from>
                    <xdr:col>15</xdr:col>
                    <xdr:colOff>91440</xdr:colOff>
                    <xdr:row>46</xdr:row>
                    <xdr:rowOff>60960</xdr:rowOff>
                  </from>
                  <to>
                    <xdr:col>15</xdr:col>
                    <xdr:colOff>312420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3" r:id="rId184" name="Group Box 181">
              <controlPr defaultSize="0" print="0" autoFill="0" autoPict="0">
                <anchor moveWithCells="1">
                  <from>
                    <xdr:col>6</xdr:col>
                    <xdr:colOff>76200</xdr:colOff>
                    <xdr:row>47</xdr:row>
                    <xdr:rowOff>22860</xdr:rowOff>
                  </from>
                  <to>
                    <xdr:col>16</xdr:col>
                    <xdr:colOff>129540</xdr:colOff>
                    <xdr:row>47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4" r:id="rId185" name="Option Button 182">
              <controlPr defaultSize="0" autoFill="0" autoLine="0" autoPict="0">
                <anchor moveWithCells="1">
                  <from>
                    <xdr:col>7</xdr:col>
                    <xdr:colOff>91440</xdr:colOff>
                    <xdr:row>47</xdr:row>
                    <xdr:rowOff>45720</xdr:rowOff>
                  </from>
                  <to>
                    <xdr:col>7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5" r:id="rId186" name="Option Button 183">
              <controlPr defaultSize="0" autoFill="0" autoLine="0" autoPict="0">
                <anchor moveWithCells="1">
                  <from>
                    <xdr:col>9</xdr:col>
                    <xdr:colOff>91440</xdr:colOff>
                    <xdr:row>47</xdr:row>
                    <xdr:rowOff>45720</xdr:rowOff>
                  </from>
                  <to>
                    <xdr:col>9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6" r:id="rId187" name="Option Button 184">
              <controlPr defaultSize="0" autoFill="0" autoLine="0" autoPict="0">
                <anchor moveWithCells="1">
                  <from>
                    <xdr:col>11</xdr:col>
                    <xdr:colOff>91440</xdr:colOff>
                    <xdr:row>47</xdr:row>
                    <xdr:rowOff>45720</xdr:rowOff>
                  </from>
                  <to>
                    <xdr:col>11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7" r:id="rId188" name="Option Button 185">
              <controlPr defaultSize="0" autoFill="0" autoLine="0" autoPict="0">
                <anchor moveWithCells="1">
                  <from>
                    <xdr:col>13</xdr:col>
                    <xdr:colOff>91440</xdr:colOff>
                    <xdr:row>47</xdr:row>
                    <xdr:rowOff>45720</xdr:rowOff>
                  </from>
                  <to>
                    <xdr:col>13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8" r:id="rId189" name="Option Button 186">
              <controlPr defaultSize="0" autoFill="0" autoLine="0" autoPict="0">
                <anchor moveWithCells="1">
                  <from>
                    <xdr:col>15</xdr:col>
                    <xdr:colOff>91440</xdr:colOff>
                    <xdr:row>47</xdr:row>
                    <xdr:rowOff>45720</xdr:rowOff>
                  </from>
                  <to>
                    <xdr:col>15</xdr:col>
                    <xdr:colOff>312420</xdr:colOff>
                    <xdr:row>47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9" r:id="rId190" name="Group Box 187">
              <controlPr defaultSize="0" print="0" autoFill="0" autoPict="0">
                <anchor moveWithCells="1">
                  <from>
                    <xdr:col>6</xdr:col>
                    <xdr:colOff>76200</xdr:colOff>
                    <xdr:row>48</xdr:row>
                    <xdr:rowOff>30480</xdr:rowOff>
                  </from>
                  <to>
                    <xdr:col>16</xdr:col>
                    <xdr:colOff>129540</xdr:colOff>
                    <xdr:row>48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0" r:id="rId191" name="Option Button 188">
              <controlPr defaultSize="0" autoFill="0" autoLine="0" autoPict="0">
                <anchor moveWithCells="1">
                  <from>
                    <xdr:col>7</xdr:col>
                    <xdr:colOff>91440</xdr:colOff>
                    <xdr:row>48</xdr:row>
                    <xdr:rowOff>60960</xdr:rowOff>
                  </from>
                  <to>
                    <xdr:col>7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1" r:id="rId192" name="Option Button 189">
              <controlPr defaultSize="0" autoFill="0" autoLine="0" autoPict="0">
                <anchor moveWithCells="1">
                  <from>
                    <xdr:col>9</xdr:col>
                    <xdr:colOff>91440</xdr:colOff>
                    <xdr:row>48</xdr:row>
                    <xdr:rowOff>60960</xdr:rowOff>
                  </from>
                  <to>
                    <xdr:col>9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2" r:id="rId193" name="Option Button 190">
              <controlPr defaultSize="0" autoFill="0" autoLine="0" autoPict="0">
                <anchor moveWithCells="1">
                  <from>
                    <xdr:col>11</xdr:col>
                    <xdr:colOff>91440</xdr:colOff>
                    <xdr:row>48</xdr:row>
                    <xdr:rowOff>60960</xdr:rowOff>
                  </from>
                  <to>
                    <xdr:col>11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3" r:id="rId194" name="Option Button 191">
              <controlPr defaultSize="0" autoFill="0" autoLine="0" autoPict="0">
                <anchor moveWithCells="1">
                  <from>
                    <xdr:col>13</xdr:col>
                    <xdr:colOff>91440</xdr:colOff>
                    <xdr:row>48</xdr:row>
                    <xdr:rowOff>60960</xdr:rowOff>
                  </from>
                  <to>
                    <xdr:col>13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4" r:id="rId195" name="Option Button 192">
              <controlPr defaultSize="0" autoFill="0" autoLine="0" autoPict="0">
                <anchor moveWithCells="1">
                  <from>
                    <xdr:col>15</xdr:col>
                    <xdr:colOff>91440</xdr:colOff>
                    <xdr:row>48</xdr:row>
                    <xdr:rowOff>60960</xdr:rowOff>
                  </from>
                  <to>
                    <xdr:col>15</xdr:col>
                    <xdr:colOff>312420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5" r:id="rId196" name="Group Box 193">
              <controlPr defaultSize="0" print="0" autoFill="0" autoPict="0">
                <anchor moveWithCells="1">
                  <from>
                    <xdr:col>6</xdr:col>
                    <xdr:colOff>76200</xdr:colOff>
                    <xdr:row>50</xdr:row>
                    <xdr:rowOff>7620</xdr:rowOff>
                  </from>
                  <to>
                    <xdr:col>16</xdr:col>
                    <xdr:colOff>129540</xdr:colOff>
                    <xdr:row>50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6" r:id="rId197" name="Option Button 194">
              <controlPr defaultSize="0" autoFill="0" autoLine="0" autoPict="0">
                <anchor moveWithCells="1">
                  <from>
                    <xdr:col>7</xdr:col>
                    <xdr:colOff>91440</xdr:colOff>
                    <xdr:row>50</xdr:row>
                    <xdr:rowOff>45720</xdr:rowOff>
                  </from>
                  <to>
                    <xdr:col>7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7" r:id="rId198" name="Option Button 195">
              <controlPr defaultSize="0" autoFill="0" autoLine="0" autoPict="0">
                <anchor moveWithCells="1">
                  <from>
                    <xdr:col>9</xdr:col>
                    <xdr:colOff>91440</xdr:colOff>
                    <xdr:row>50</xdr:row>
                    <xdr:rowOff>45720</xdr:rowOff>
                  </from>
                  <to>
                    <xdr:col>9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8" r:id="rId199" name="Option Button 196">
              <controlPr defaultSize="0" autoFill="0" autoLine="0" autoPict="0">
                <anchor moveWithCells="1">
                  <from>
                    <xdr:col>11</xdr:col>
                    <xdr:colOff>91440</xdr:colOff>
                    <xdr:row>50</xdr:row>
                    <xdr:rowOff>45720</xdr:rowOff>
                  </from>
                  <to>
                    <xdr:col>11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9" r:id="rId200" name="Option Button 197">
              <controlPr defaultSize="0" autoFill="0" autoLine="0" autoPict="0">
                <anchor moveWithCells="1">
                  <from>
                    <xdr:col>13</xdr:col>
                    <xdr:colOff>91440</xdr:colOff>
                    <xdr:row>50</xdr:row>
                    <xdr:rowOff>45720</xdr:rowOff>
                  </from>
                  <to>
                    <xdr:col>13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0" r:id="rId201" name="Option Button 198">
              <controlPr defaultSize="0" autoFill="0" autoLine="0" autoPict="0">
                <anchor moveWithCells="1">
                  <from>
                    <xdr:col>15</xdr:col>
                    <xdr:colOff>91440</xdr:colOff>
                    <xdr:row>50</xdr:row>
                    <xdr:rowOff>45720</xdr:rowOff>
                  </from>
                  <to>
                    <xdr:col>15</xdr:col>
                    <xdr:colOff>312420</xdr:colOff>
                    <xdr:row>50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1" r:id="rId202" name="Group Box 199">
              <controlPr defaultSize="0" print="0" autoFill="0" autoPict="0">
                <anchor moveWithCells="1">
                  <from>
                    <xdr:col>6</xdr:col>
                    <xdr:colOff>76200</xdr:colOff>
                    <xdr:row>51</xdr:row>
                    <xdr:rowOff>7620</xdr:rowOff>
                  </from>
                  <to>
                    <xdr:col>16</xdr:col>
                    <xdr:colOff>129540</xdr:colOff>
                    <xdr:row>51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2" r:id="rId203" name="Option Button 200">
              <controlPr defaultSize="0" autoFill="0" autoLine="0" autoPict="0">
                <anchor moveWithCells="1">
                  <from>
                    <xdr:col>7</xdr:col>
                    <xdr:colOff>91440</xdr:colOff>
                    <xdr:row>51</xdr:row>
                    <xdr:rowOff>45720</xdr:rowOff>
                  </from>
                  <to>
                    <xdr:col>7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3" r:id="rId204" name="Option Button 201">
              <controlPr defaultSize="0" autoFill="0" autoLine="0" autoPict="0">
                <anchor moveWithCells="1">
                  <from>
                    <xdr:col>9</xdr:col>
                    <xdr:colOff>91440</xdr:colOff>
                    <xdr:row>51</xdr:row>
                    <xdr:rowOff>45720</xdr:rowOff>
                  </from>
                  <to>
                    <xdr:col>9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4" r:id="rId205" name="Option Button 202">
              <controlPr defaultSize="0" autoFill="0" autoLine="0" autoPict="0">
                <anchor moveWithCells="1">
                  <from>
                    <xdr:col>11</xdr:col>
                    <xdr:colOff>91440</xdr:colOff>
                    <xdr:row>51</xdr:row>
                    <xdr:rowOff>45720</xdr:rowOff>
                  </from>
                  <to>
                    <xdr:col>11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5" r:id="rId206" name="Option Button 203">
              <controlPr defaultSize="0" autoFill="0" autoLine="0" autoPict="0">
                <anchor moveWithCells="1">
                  <from>
                    <xdr:col>13</xdr:col>
                    <xdr:colOff>91440</xdr:colOff>
                    <xdr:row>51</xdr:row>
                    <xdr:rowOff>45720</xdr:rowOff>
                  </from>
                  <to>
                    <xdr:col>13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6" r:id="rId207" name="Option Button 204">
              <controlPr defaultSize="0" autoFill="0" autoLine="0" autoPict="0">
                <anchor moveWithCells="1">
                  <from>
                    <xdr:col>15</xdr:col>
                    <xdr:colOff>91440</xdr:colOff>
                    <xdr:row>51</xdr:row>
                    <xdr:rowOff>45720</xdr:rowOff>
                  </from>
                  <to>
                    <xdr:col>15</xdr:col>
                    <xdr:colOff>312420</xdr:colOff>
                    <xdr:row>51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7" r:id="rId208" name="Group Box 205">
              <controlPr defaultSize="0" print="0" autoFill="0" autoPict="0">
                <anchor moveWithCells="1">
                  <from>
                    <xdr:col>6</xdr:col>
                    <xdr:colOff>76200</xdr:colOff>
                    <xdr:row>52</xdr:row>
                    <xdr:rowOff>7620</xdr:rowOff>
                  </from>
                  <to>
                    <xdr:col>16</xdr:col>
                    <xdr:colOff>129540</xdr:colOff>
                    <xdr:row>52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8" r:id="rId209" name="Option Button 206">
              <controlPr defaultSize="0" autoFill="0" autoLine="0" autoPict="0">
                <anchor moveWithCells="1">
                  <from>
                    <xdr:col>7</xdr:col>
                    <xdr:colOff>91440</xdr:colOff>
                    <xdr:row>52</xdr:row>
                    <xdr:rowOff>45720</xdr:rowOff>
                  </from>
                  <to>
                    <xdr:col>7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9" r:id="rId210" name="Option Button 207">
              <controlPr defaultSize="0" autoFill="0" autoLine="0" autoPict="0">
                <anchor moveWithCells="1">
                  <from>
                    <xdr:col>9</xdr:col>
                    <xdr:colOff>91440</xdr:colOff>
                    <xdr:row>52</xdr:row>
                    <xdr:rowOff>45720</xdr:rowOff>
                  </from>
                  <to>
                    <xdr:col>9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0" r:id="rId211" name="Option Button 208">
              <controlPr defaultSize="0" autoFill="0" autoLine="0" autoPict="0">
                <anchor moveWithCells="1">
                  <from>
                    <xdr:col>11</xdr:col>
                    <xdr:colOff>91440</xdr:colOff>
                    <xdr:row>52</xdr:row>
                    <xdr:rowOff>45720</xdr:rowOff>
                  </from>
                  <to>
                    <xdr:col>11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1" r:id="rId212" name="Option Button 209">
              <controlPr defaultSize="0" autoFill="0" autoLine="0" autoPict="0">
                <anchor moveWithCells="1">
                  <from>
                    <xdr:col>13</xdr:col>
                    <xdr:colOff>91440</xdr:colOff>
                    <xdr:row>52</xdr:row>
                    <xdr:rowOff>45720</xdr:rowOff>
                  </from>
                  <to>
                    <xdr:col>13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2" r:id="rId213" name="Option Button 210">
              <controlPr defaultSize="0" autoFill="0" autoLine="0" autoPict="0">
                <anchor moveWithCells="1">
                  <from>
                    <xdr:col>15</xdr:col>
                    <xdr:colOff>91440</xdr:colOff>
                    <xdr:row>52</xdr:row>
                    <xdr:rowOff>45720</xdr:rowOff>
                  </from>
                  <to>
                    <xdr:col>15</xdr:col>
                    <xdr:colOff>312420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3" r:id="rId214" name="Group Box 211">
              <controlPr defaultSize="0" print="0" autoFill="0" autoPict="0">
                <anchor moveWithCells="1">
                  <from>
                    <xdr:col>6</xdr:col>
                    <xdr:colOff>76200</xdr:colOff>
                    <xdr:row>53</xdr:row>
                    <xdr:rowOff>0</xdr:rowOff>
                  </from>
                  <to>
                    <xdr:col>16</xdr:col>
                    <xdr:colOff>129540</xdr:colOff>
                    <xdr:row>53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4" r:id="rId215" name="Option Button 212">
              <controlPr defaultSize="0" autoFill="0" autoLine="0" autoPict="0">
                <anchor moveWithCells="1">
                  <from>
                    <xdr:col>7</xdr:col>
                    <xdr:colOff>91440</xdr:colOff>
                    <xdr:row>53</xdr:row>
                    <xdr:rowOff>30480</xdr:rowOff>
                  </from>
                  <to>
                    <xdr:col>7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5" r:id="rId216" name="Option Button 213">
              <controlPr defaultSize="0" autoFill="0" autoLine="0" autoPict="0">
                <anchor moveWithCells="1">
                  <from>
                    <xdr:col>9</xdr:col>
                    <xdr:colOff>91440</xdr:colOff>
                    <xdr:row>53</xdr:row>
                    <xdr:rowOff>30480</xdr:rowOff>
                  </from>
                  <to>
                    <xdr:col>9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6" r:id="rId217" name="Option Button 214">
              <controlPr defaultSize="0" autoFill="0" autoLine="0" autoPict="0">
                <anchor moveWithCells="1">
                  <from>
                    <xdr:col>11</xdr:col>
                    <xdr:colOff>91440</xdr:colOff>
                    <xdr:row>53</xdr:row>
                    <xdr:rowOff>30480</xdr:rowOff>
                  </from>
                  <to>
                    <xdr:col>11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7" r:id="rId218" name="Option Button 215">
              <controlPr defaultSize="0" autoFill="0" autoLine="0" autoPict="0">
                <anchor moveWithCells="1">
                  <from>
                    <xdr:col>13</xdr:col>
                    <xdr:colOff>91440</xdr:colOff>
                    <xdr:row>53</xdr:row>
                    <xdr:rowOff>30480</xdr:rowOff>
                  </from>
                  <to>
                    <xdr:col>13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8" r:id="rId219" name="Option Button 216">
              <controlPr defaultSize="0" autoFill="0" autoLine="0" autoPict="0">
                <anchor moveWithCells="1">
                  <from>
                    <xdr:col>15</xdr:col>
                    <xdr:colOff>91440</xdr:colOff>
                    <xdr:row>53</xdr:row>
                    <xdr:rowOff>30480</xdr:rowOff>
                  </from>
                  <to>
                    <xdr:col>15</xdr:col>
                    <xdr:colOff>312420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9" r:id="rId220" name="Group Box 217">
              <controlPr defaultSize="0" print="0" autoFill="0" autoPict="0">
                <anchor moveWithCells="1">
                  <from>
                    <xdr:col>6</xdr:col>
                    <xdr:colOff>76200</xdr:colOff>
                    <xdr:row>55</xdr:row>
                    <xdr:rowOff>30480</xdr:rowOff>
                  </from>
                  <to>
                    <xdr:col>16</xdr:col>
                    <xdr:colOff>129540</xdr:colOff>
                    <xdr:row>55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0" r:id="rId221" name="Option Button 218">
              <controlPr defaultSize="0" autoFill="0" autoLine="0" autoPict="0">
                <anchor moveWithCells="1">
                  <from>
                    <xdr:col>7</xdr:col>
                    <xdr:colOff>91440</xdr:colOff>
                    <xdr:row>55</xdr:row>
                    <xdr:rowOff>60960</xdr:rowOff>
                  </from>
                  <to>
                    <xdr:col>7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1" r:id="rId222" name="Option Button 219">
              <controlPr defaultSize="0" autoFill="0" autoLine="0" autoPict="0">
                <anchor moveWithCells="1">
                  <from>
                    <xdr:col>9</xdr:col>
                    <xdr:colOff>91440</xdr:colOff>
                    <xdr:row>55</xdr:row>
                    <xdr:rowOff>60960</xdr:rowOff>
                  </from>
                  <to>
                    <xdr:col>9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2" r:id="rId223" name="Option Button 220">
              <controlPr defaultSize="0" autoFill="0" autoLine="0" autoPict="0">
                <anchor moveWithCells="1">
                  <from>
                    <xdr:col>11</xdr:col>
                    <xdr:colOff>91440</xdr:colOff>
                    <xdr:row>55</xdr:row>
                    <xdr:rowOff>60960</xdr:rowOff>
                  </from>
                  <to>
                    <xdr:col>11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3" r:id="rId224" name="Option Button 221">
              <controlPr defaultSize="0" autoFill="0" autoLine="0" autoPict="0">
                <anchor moveWithCells="1">
                  <from>
                    <xdr:col>13</xdr:col>
                    <xdr:colOff>91440</xdr:colOff>
                    <xdr:row>55</xdr:row>
                    <xdr:rowOff>60960</xdr:rowOff>
                  </from>
                  <to>
                    <xdr:col>13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4" r:id="rId225" name="Option Button 222">
              <controlPr defaultSize="0" autoFill="0" autoLine="0" autoPict="0">
                <anchor moveWithCells="1">
                  <from>
                    <xdr:col>15</xdr:col>
                    <xdr:colOff>91440</xdr:colOff>
                    <xdr:row>55</xdr:row>
                    <xdr:rowOff>60960</xdr:rowOff>
                  </from>
                  <to>
                    <xdr:col>15</xdr:col>
                    <xdr:colOff>312420</xdr:colOff>
                    <xdr:row>55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5" r:id="rId226" name="Group Box 223">
              <controlPr defaultSize="0" print="0" autoFill="0" autoPict="0">
                <anchor moveWithCells="1">
                  <from>
                    <xdr:col>6</xdr:col>
                    <xdr:colOff>76200</xdr:colOff>
                    <xdr:row>56</xdr:row>
                    <xdr:rowOff>30480</xdr:rowOff>
                  </from>
                  <to>
                    <xdr:col>16</xdr:col>
                    <xdr:colOff>129540</xdr:colOff>
                    <xdr:row>56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6" r:id="rId227" name="Option Button 224">
              <controlPr defaultSize="0" autoFill="0" autoLine="0" autoPict="0">
                <anchor moveWithCells="1">
                  <from>
                    <xdr:col>7</xdr:col>
                    <xdr:colOff>91440</xdr:colOff>
                    <xdr:row>56</xdr:row>
                    <xdr:rowOff>60960</xdr:rowOff>
                  </from>
                  <to>
                    <xdr:col>7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7" r:id="rId228" name="Option Button 225">
              <controlPr defaultSize="0" autoFill="0" autoLine="0" autoPict="0">
                <anchor moveWithCells="1">
                  <from>
                    <xdr:col>9</xdr:col>
                    <xdr:colOff>91440</xdr:colOff>
                    <xdr:row>56</xdr:row>
                    <xdr:rowOff>60960</xdr:rowOff>
                  </from>
                  <to>
                    <xdr:col>9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8" r:id="rId229" name="Option Button 226">
              <controlPr defaultSize="0" autoFill="0" autoLine="0" autoPict="0">
                <anchor moveWithCells="1">
                  <from>
                    <xdr:col>11</xdr:col>
                    <xdr:colOff>91440</xdr:colOff>
                    <xdr:row>56</xdr:row>
                    <xdr:rowOff>60960</xdr:rowOff>
                  </from>
                  <to>
                    <xdr:col>11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9" r:id="rId230" name="Option Button 227">
              <controlPr defaultSize="0" autoFill="0" autoLine="0" autoPict="0">
                <anchor moveWithCells="1">
                  <from>
                    <xdr:col>13</xdr:col>
                    <xdr:colOff>91440</xdr:colOff>
                    <xdr:row>56</xdr:row>
                    <xdr:rowOff>60960</xdr:rowOff>
                  </from>
                  <to>
                    <xdr:col>13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0" r:id="rId231" name="Option Button 228">
              <controlPr defaultSize="0" autoFill="0" autoLine="0" autoPict="0">
                <anchor moveWithCells="1">
                  <from>
                    <xdr:col>15</xdr:col>
                    <xdr:colOff>91440</xdr:colOff>
                    <xdr:row>56</xdr:row>
                    <xdr:rowOff>60960</xdr:rowOff>
                  </from>
                  <to>
                    <xdr:col>15</xdr:col>
                    <xdr:colOff>312420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1" r:id="rId232" name="Group Box 229">
              <controlPr defaultSize="0" print="0" autoFill="0" autoPict="0">
                <anchor moveWithCells="1">
                  <from>
                    <xdr:col>6</xdr:col>
                    <xdr:colOff>76200</xdr:colOff>
                    <xdr:row>38</xdr:row>
                    <xdr:rowOff>30480</xdr:rowOff>
                  </from>
                  <to>
                    <xdr:col>16</xdr:col>
                    <xdr:colOff>129540</xdr:colOff>
                    <xdr:row>38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2" r:id="rId233" name="Option Button 230">
              <controlPr defaultSize="0" autoFill="0" autoLine="0" autoPict="0">
                <anchor moveWithCells="1">
                  <from>
                    <xdr:col>7</xdr:col>
                    <xdr:colOff>91440</xdr:colOff>
                    <xdr:row>38</xdr:row>
                    <xdr:rowOff>60960</xdr:rowOff>
                  </from>
                  <to>
                    <xdr:col>7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3" r:id="rId234" name="Option Button 231">
              <controlPr defaultSize="0" autoFill="0" autoLine="0" autoPict="0">
                <anchor moveWithCells="1">
                  <from>
                    <xdr:col>9</xdr:col>
                    <xdr:colOff>91440</xdr:colOff>
                    <xdr:row>38</xdr:row>
                    <xdr:rowOff>60960</xdr:rowOff>
                  </from>
                  <to>
                    <xdr:col>9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4" r:id="rId235" name="Option Button 232">
              <controlPr defaultSize="0" autoFill="0" autoLine="0" autoPict="0">
                <anchor moveWithCells="1">
                  <from>
                    <xdr:col>11</xdr:col>
                    <xdr:colOff>91440</xdr:colOff>
                    <xdr:row>38</xdr:row>
                    <xdr:rowOff>60960</xdr:rowOff>
                  </from>
                  <to>
                    <xdr:col>11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5" r:id="rId236" name="Option Button 233">
              <controlPr defaultSize="0" autoFill="0" autoLine="0" autoPict="0">
                <anchor moveWithCells="1">
                  <from>
                    <xdr:col>13</xdr:col>
                    <xdr:colOff>91440</xdr:colOff>
                    <xdr:row>38</xdr:row>
                    <xdr:rowOff>60960</xdr:rowOff>
                  </from>
                  <to>
                    <xdr:col>13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6" r:id="rId237" name="Option Button 234">
              <controlPr defaultSize="0" autoFill="0" autoLine="0" autoPict="0">
                <anchor moveWithCells="1">
                  <from>
                    <xdr:col>15</xdr:col>
                    <xdr:colOff>91440</xdr:colOff>
                    <xdr:row>38</xdr:row>
                    <xdr:rowOff>60960</xdr:rowOff>
                  </from>
                  <to>
                    <xdr:col>15</xdr:col>
                    <xdr:colOff>312420</xdr:colOff>
                    <xdr:row>38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7" r:id="rId238" name="Drop Down 235">
              <controlPr defaultSize="0" print="0" autoLine="0" autoPict="0">
                <anchor moveWithCells="1">
                  <from>
                    <xdr:col>20</xdr:col>
                    <xdr:colOff>1744980</xdr:colOff>
                    <xdr:row>1</xdr:row>
                    <xdr:rowOff>60960</xdr:rowOff>
                  </from>
                  <to>
                    <xdr:col>21</xdr:col>
                    <xdr:colOff>7620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8" r:id="rId239" name="Group Box 236">
              <controlPr defaultSize="0" print="0" autoFill="0" autoPict="0">
                <anchor moveWithCells="1">
                  <from>
                    <xdr:col>22</xdr:col>
                    <xdr:colOff>327660</xdr:colOff>
                    <xdr:row>10</xdr:row>
                    <xdr:rowOff>228600</xdr:rowOff>
                  </from>
                  <to>
                    <xdr:col>27</xdr:col>
                    <xdr:colOff>632460</xdr:colOff>
                    <xdr:row>11</xdr:row>
                    <xdr:rowOff>30480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" id="{F429A472-6266-4D0F-B6F1-0A1C912DE361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W59:X61</xm:sqref>
        </x14:conditionalFormatting>
        <x14:conditionalFormatting xmlns:xm="http://schemas.microsoft.com/office/excel/2006/main">
          <x14:cfRule type="iconSet" priority="11" id="{D01733C7-30F3-4212-B1DD-79297701A20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Z4</xm:sqref>
        </x14:conditionalFormatting>
        <x14:conditionalFormatting xmlns:xm="http://schemas.microsoft.com/office/excel/2006/main">
          <x14:cfRule type="iconSet" priority="10" id="{A7A3BB5E-EA1C-49A5-B901-EE08186C697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Z5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Tabelle41">
    <tabColor theme="5" tint="0.59999389629810485"/>
  </sheetPr>
  <dimension ref="A1:AB200"/>
  <sheetViews>
    <sheetView showGridLines="0" zoomScaleNormal="100" workbookViewId="0">
      <pane ySplit="7" topLeftCell="A8" activePane="bottomLeft" state="frozen"/>
      <selection activeCell="K1" sqref="K1"/>
      <selection pane="bottomLeft" activeCell="A8" sqref="A8"/>
    </sheetView>
  </sheetViews>
  <sheetFormatPr baseColWidth="10" defaultColWidth="12.5546875" defaultRowHeight="14.4" x14ac:dyDescent="0.3"/>
  <cols>
    <col min="1" max="1" width="7" style="21" customWidth="1"/>
    <col min="2" max="2" width="3.33203125" style="21" customWidth="1"/>
    <col min="3" max="3" width="0.5546875" style="7" customWidth="1"/>
    <col min="4" max="4" width="15.33203125" style="21" customWidth="1"/>
    <col min="5" max="5" width="36.6640625" style="21" customWidth="1"/>
    <col min="6" max="6" width="0.5546875" style="7" customWidth="1"/>
    <col min="7" max="7" width="1.6640625" style="21" customWidth="1"/>
    <col min="8" max="8" width="5" style="21" customWidth="1"/>
    <col min="9" max="9" width="1.6640625" style="21" customWidth="1"/>
    <col min="10" max="10" width="5" style="21" customWidth="1"/>
    <col min="11" max="11" width="1.6640625" style="21" customWidth="1"/>
    <col min="12" max="12" width="5" style="21" customWidth="1"/>
    <col min="13" max="13" width="1.6640625" style="21" customWidth="1"/>
    <col min="14" max="14" width="5" style="21" customWidth="1"/>
    <col min="15" max="15" width="1.6640625" style="21" customWidth="1"/>
    <col min="16" max="16" width="5" style="21" customWidth="1"/>
    <col min="17" max="17" width="1.6640625" style="21" customWidth="1"/>
    <col min="18" max="18" width="0.109375" style="21" customWidth="1"/>
    <col min="19" max="19" width="5.44140625" style="7" customWidth="1"/>
    <col min="20" max="20" width="0.5546875" style="7" customWidth="1"/>
    <col min="21" max="21" width="39" style="7" customWidth="1"/>
    <col min="22" max="22" width="4.5546875" style="60" customWidth="1"/>
    <col min="23" max="23" width="6.44140625" style="100" customWidth="1"/>
    <col min="24" max="24" width="5.88671875" style="100" customWidth="1"/>
    <col min="25" max="25" width="5" style="60" customWidth="1"/>
    <col min="26" max="26" width="11" style="7" customWidth="1"/>
    <col min="27" max="27" width="12.5546875" style="81"/>
    <col min="28" max="16384" width="12.5546875" style="21"/>
  </cols>
  <sheetData>
    <row r="1" spans="1:28" s="5" customFormat="1" ht="44.4" customHeight="1" x14ac:dyDescent="0.3">
      <c r="B1" s="3" t="str">
        <f ca="1">' '!A244</f>
        <v>C A N V A S : O P P O R T U N I T É S   &amp;  D A N G E R S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5"/>
      <c r="S1" s="2"/>
      <c r="T1" s="2"/>
      <c r="U1" s="260"/>
      <c r="V1" s="66"/>
      <c r="W1" s="67"/>
      <c r="X1" s="67"/>
      <c r="Y1" s="68"/>
      <c r="AA1" s="69"/>
    </row>
    <row r="2" spans="1:28" s="5" customFormat="1" ht="21" customHeight="1" x14ac:dyDescent="0.3">
      <c r="B2" s="14"/>
      <c r="C2" s="26"/>
      <c r="D2" s="25"/>
      <c r="E2" s="25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70"/>
      <c r="V2" s="71"/>
      <c r="W2" s="67"/>
      <c r="X2" s="67"/>
      <c r="Y2" s="68"/>
      <c r="AA2" s="69"/>
    </row>
    <row r="3" spans="1:28" ht="17.25" customHeight="1" x14ac:dyDescent="0.3">
      <c r="B3" s="72"/>
      <c r="C3" s="47"/>
      <c r="D3" s="73"/>
      <c r="E3" s="172">
        <f>(N10+N18+N27+N31+N40+N48+N56+N63+N69)</f>
        <v>183</v>
      </c>
      <c r="G3" s="1060"/>
      <c r="H3" s="1061" t="str">
        <f ca="1">' '!A187</f>
        <v xml:space="preserve">ne correspond pas du tout </v>
      </c>
      <c r="I3" s="75"/>
      <c r="J3" s="1061" t="str">
        <f ca="1">' '!A186</f>
        <v>correspond peu</v>
      </c>
      <c r="K3" s="75"/>
      <c r="L3" s="1061" t="str">
        <f ca="1">' '!A185</f>
        <v xml:space="preserve">correspond partiellement </v>
      </c>
      <c r="M3" s="75"/>
      <c r="N3" s="1061" t="str">
        <f ca="1">' '!A184</f>
        <v xml:space="preserve">correspond plutôt </v>
      </c>
      <c r="O3" s="75"/>
      <c r="P3" s="1061" t="str">
        <f ca="1">' '!A183</f>
        <v xml:space="preserve">correspond tout à fait </v>
      </c>
      <c r="Q3" s="75"/>
      <c r="R3" s="75"/>
      <c r="S3" s="1068" t="str">
        <f ca="1">' '!A235</f>
        <v>Impact (1 - 10)</v>
      </c>
      <c r="T3" s="76"/>
      <c r="U3" s="77"/>
      <c r="V3" s="78"/>
      <c r="W3" s="79"/>
      <c r="X3" s="79"/>
      <c r="Y3" s="1063"/>
      <c r="Z3" s="80"/>
    </row>
    <row r="4" spans="1:28" ht="17.25" customHeight="1" x14ac:dyDescent="0.3">
      <c r="B4" s="72"/>
      <c r="C4" s="47"/>
      <c r="D4" s="82"/>
      <c r="E4" s="172">
        <f>(P10+P18+P27+P31+P40+P48+P56+P63+P69)</f>
        <v>295</v>
      </c>
      <c r="G4" s="1060"/>
      <c r="H4" s="1061"/>
      <c r="I4" s="75"/>
      <c r="J4" s="1061"/>
      <c r="K4" s="75"/>
      <c r="L4" s="1061"/>
      <c r="M4" s="75"/>
      <c r="N4" s="1061"/>
      <c r="O4" s="75"/>
      <c r="P4" s="1061"/>
      <c r="Q4" s="75"/>
      <c r="R4" s="75"/>
      <c r="S4" s="1068"/>
      <c r="T4" s="76"/>
      <c r="U4" s="77"/>
      <c r="V4" s="83"/>
      <c r="W4" s="79"/>
      <c r="X4" s="79"/>
      <c r="Y4" s="1063"/>
      <c r="Z4" s="84"/>
    </row>
    <row r="5" spans="1:28" ht="17.25" customHeight="1" x14ac:dyDescent="0.3">
      <c r="B5" s="72"/>
      <c r="C5" s="47"/>
      <c r="D5" s="82"/>
      <c r="E5" s="173"/>
      <c r="G5" s="1060"/>
      <c r="H5" s="1061"/>
      <c r="I5" s="75"/>
      <c r="J5" s="1061"/>
      <c r="K5" s="75"/>
      <c r="L5" s="1061"/>
      <c r="M5" s="75"/>
      <c r="N5" s="1061"/>
      <c r="O5" s="75"/>
      <c r="P5" s="1061"/>
      <c r="Q5" s="75"/>
      <c r="R5" s="75"/>
      <c r="S5" s="1068"/>
      <c r="T5" s="76"/>
      <c r="U5" s="77"/>
      <c r="V5" s="83"/>
      <c r="W5" s="79"/>
      <c r="X5" s="79"/>
      <c r="Y5" s="1063"/>
      <c r="Z5" s="86"/>
    </row>
    <row r="6" spans="1:28" ht="24.75" customHeight="1" x14ac:dyDescent="0.3">
      <c r="B6" s="72"/>
      <c r="C6" s="174"/>
      <c r="D6" s="87"/>
      <c r="E6" s="88"/>
      <c r="G6" s="1060"/>
      <c r="H6" s="1061"/>
      <c r="I6" s="75"/>
      <c r="J6" s="1061"/>
      <c r="K6" s="75"/>
      <c r="L6" s="1061"/>
      <c r="M6" s="75"/>
      <c r="N6" s="1061"/>
      <c r="O6" s="75"/>
      <c r="P6" s="1061"/>
      <c r="Q6" s="75"/>
      <c r="R6" s="75"/>
      <c r="S6" s="1068"/>
      <c r="T6" s="76"/>
      <c r="U6" s="89" t="str">
        <f ca="1">CONCATENATE(' '!A239,"  ",E3," / ",E4)</f>
        <v>Total points :  183 / 295</v>
      </c>
      <c r="V6" s="90"/>
      <c r="W6" s="175"/>
      <c r="X6" s="175"/>
      <c r="Y6" s="175"/>
      <c r="Z6" s="91"/>
    </row>
    <row r="7" spans="1:28" s="7" customFormat="1" ht="13.5" customHeight="1" x14ac:dyDescent="0.4">
      <c r="D7" s="93"/>
      <c r="E7" s="93"/>
      <c r="G7" s="91"/>
      <c r="H7" s="94">
        <f>(COUNTIF(B134:B200,1)/59)</f>
        <v>8.4745762711864403E-2</v>
      </c>
      <c r="I7" s="95"/>
      <c r="J7" s="94">
        <f>(COUNTIF(B134:B200,2)/59)</f>
        <v>0.28813559322033899</v>
      </c>
      <c r="K7" s="95"/>
      <c r="L7" s="94">
        <f>(COUNTIF(B134:B200,3)/59)</f>
        <v>0.25423728813559321</v>
      </c>
      <c r="M7" s="95"/>
      <c r="N7" s="94">
        <f>(COUNTIF(B134:B200,4)/59)</f>
        <v>0.1864406779661017</v>
      </c>
      <c r="O7" s="95"/>
      <c r="P7" s="94">
        <f>(COUNTIF(B134:B200,5)/59)</f>
        <v>0.1864406779661017</v>
      </c>
      <c r="Q7" s="91"/>
      <c r="R7" s="21"/>
      <c r="AA7" s="34"/>
    </row>
    <row r="8" spans="1:28" ht="0.9" customHeight="1" x14ac:dyDescent="0.4">
      <c r="A8" s="96"/>
      <c r="D8" s="97"/>
      <c r="E8" s="97"/>
      <c r="G8" s="98"/>
      <c r="H8" s="98"/>
      <c r="I8" s="99"/>
      <c r="J8" s="98"/>
      <c r="K8" s="99"/>
      <c r="L8" s="98"/>
      <c r="M8" s="99"/>
      <c r="N8" s="98"/>
      <c r="O8" s="99"/>
      <c r="P8" s="98"/>
    </row>
    <row r="9" spans="1:28" ht="5.25" customHeight="1" x14ac:dyDescent="0.4">
      <c r="A9" s="96"/>
      <c r="D9" s="97"/>
      <c r="E9" s="97"/>
      <c r="G9" s="98"/>
      <c r="H9" s="98"/>
      <c r="I9" s="99"/>
      <c r="J9" s="98"/>
      <c r="K9" s="99"/>
      <c r="L9" s="98"/>
      <c r="M9" s="99"/>
      <c r="N9" s="98"/>
      <c r="O9" s="99"/>
      <c r="P9" s="98"/>
    </row>
    <row r="10" spans="1:28" ht="15.75" customHeight="1" x14ac:dyDescent="0.3">
      <c r="B10" s="101">
        <v>1</v>
      </c>
      <c r="C10" s="102"/>
      <c r="D10" s="1064" t="s">
        <v>546</v>
      </c>
      <c r="E10" s="1064"/>
      <c r="G10" s="103">
        <f>SUM(B134:B137)</f>
        <v>13</v>
      </c>
      <c r="H10" s="1064"/>
      <c r="I10" s="1064"/>
      <c r="J10" s="104"/>
      <c r="K10" s="104"/>
      <c r="L10" s="1065"/>
      <c r="M10" s="1065"/>
      <c r="N10" s="105">
        <f>SUM(B134:B140)</f>
        <v>23</v>
      </c>
      <c r="O10" s="106" t="s">
        <v>547</v>
      </c>
      <c r="P10" s="105">
        <v>35</v>
      </c>
      <c r="Q10" s="107"/>
      <c r="R10" s="108"/>
      <c r="S10" s="109"/>
      <c r="T10" s="110"/>
      <c r="U10" s="111"/>
      <c r="V10" s="21"/>
      <c r="W10" s="21"/>
      <c r="X10" s="21"/>
      <c r="Y10" s="21"/>
      <c r="Z10" s="21"/>
      <c r="AA10" s="113"/>
    </row>
    <row r="11" spans="1:28" ht="31.5" customHeight="1" x14ac:dyDescent="0.3">
      <c r="B11" s="114">
        <v>1.1000000000000001</v>
      </c>
      <c r="C11" s="34"/>
      <c r="D11" s="1059" t="str">
        <f ca="1">' '!A245</f>
        <v>Nous pouvons générer des revenus récurrents en convertissant des produits en services</v>
      </c>
      <c r="E11" s="1059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08"/>
      <c r="S11" s="125">
        <v>9</v>
      </c>
      <c r="T11" s="116"/>
      <c r="U11" s="117"/>
      <c r="V11" s="21"/>
      <c r="W11" s="21"/>
      <c r="X11" s="21"/>
      <c r="Y11" s="21"/>
      <c r="Z11" s="21"/>
      <c r="AB11" s="176"/>
    </row>
    <row r="12" spans="1:28" ht="32.25" customHeight="1" x14ac:dyDescent="0.3">
      <c r="B12" s="114">
        <v>1.2</v>
      </c>
      <c r="C12" s="102"/>
      <c r="D12" s="1059" t="str">
        <f ca="1">' '!A246</f>
        <v>Nous intégrons nos produits ou services</v>
      </c>
      <c r="E12" s="1059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08"/>
      <c r="S12" s="125">
        <v>8</v>
      </c>
      <c r="T12" s="116"/>
      <c r="U12" s="117"/>
      <c r="V12" s="21"/>
      <c r="W12" s="21"/>
      <c r="X12" s="21"/>
      <c r="Y12" s="21"/>
      <c r="Z12" s="21"/>
      <c r="AA12" s="113"/>
    </row>
    <row r="13" spans="1:28" ht="32.25" customHeight="1" x14ac:dyDescent="0.3">
      <c r="B13" s="114">
        <v>1.3</v>
      </c>
      <c r="C13" s="118"/>
      <c r="D13" s="1059" t="str">
        <f ca="1">' '!A247</f>
        <v>Nous satisfaisons les besoins supplémentaires de nos clients</v>
      </c>
      <c r="E13" s="1059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08"/>
      <c r="S13" s="125">
        <v>7</v>
      </c>
      <c r="T13" s="116"/>
      <c r="U13" s="117"/>
      <c r="V13" s="21"/>
      <c r="W13" s="21"/>
      <c r="X13" s="21"/>
      <c r="Y13" s="21"/>
      <c r="Z13" s="21"/>
    </row>
    <row r="14" spans="1:28" ht="31.5" customHeight="1" x14ac:dyDescent="0.3">
      <c r="B14" s="114">
        <v>1.4</v>
      </c>
      <c r="C14" s="102"/>
      <c r="D14" s="1059" t="str">
        <f ca="1">' '!A248</f>
        <v>Il existe des compléments ou des extensions possibles de notre proposition de valeur</v>
      </c>
      <c r="E14" s="1059"/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124"/>
      <c r="R14" s="108"/>
      <c r="S14" s="125">
        <v>6</v>
      </c>
      <c r="T14" s="116"/>
      <c r="U14" s="117"/>
      <c r="V14" s="21"/>
      <c r="W14" s="21"/>
      <c r="X14" s="21"/>
      <c r="Y14" s="21"/>
      <c r="Z14" s="21"/>
    </row>
    <row r="15" spans="1:28" ht="31.5" customHeight="1" x14ac:dyDescent="0.3">
      <c r="B15" s="114">
        <v>1.5</v>
      </c>
      <c r="C15" s="102"/>
      <c r="D15" s="1059" t="str">
        <f ca="1">' '!A249</f>
        <v>Nous pourrions accomplir d'autres tâches pour nos clients</v>
      </c>
      <c r="E15" s="1059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08"/>
      <c r="S15" s="125">
        <v>4</v>
      </c>
      <c r="T15" s="116"/>
      <c r="U15" s="117"/>
      <c r="V15" s="21"/>
      <c r="W15" s="21"/>
      <c r="X15" s="21"/>
      <c r="Y15" s="21"/>
      <c r="Z15" s="21"/>
    </row>
    <row r="16" spans="1:28" ht="31.5" customHeight="1" x14ac:dyDescent="0.3">
      <c r="B16" s="114">
        <v>1.6</v>
      </c>
      <c r="C16" s="102"/>
      <c r="D16" s="1059" t="str">
        <f ca="1">' '!A250</f>
        <v>Des produits et des services de substitution sont disponibles</v>
      </c>
      <c r="E16" s="1059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08"/>
      <c r="S16" s="125">
        <v>3</v>
      </c>
      <c r="T16" s="116"/>
      <c r="U16" s="117"/>
      <c r="V16" s="21"/>
      <c r="W16" s="21"/>
      <c r="X16" s="21"/>
      <c r="Y16" s="21"/>
      <c r="Z16" s="21"/>
    </row>
    <row r="17" spans="2:26" ht="31.5" customHeight="1" x14ac:dyDescent="0.3">
      <c r="B17" s="114">
        <v>1.7</v>
      </c>
      <c r="C17" s="102"/>
      <c r="D17" s="1059" t="str">
        <f ca="1">' '!A251</f>
        <v>Les concurrents menacent d'offrir de meilleurs prix ou plus de valeur</v>
      </c>
      <c r="E17" s="1059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08"/>
      <c r="S17" s="125">
        <v>3</v>
      </c>
      <c r="T17" s="116"/>
      <c r="U17" s="117"/>
      <c r="V17" s="21"/>
      <c r="W17" s="21"/>
      <c r="X17" s="21"/>
      <c r="Y17" s="21"/>
      <c r="Z17" s="21"/>
    </row>
    <row r="18" spans="2:26" ht="15.75" customHeight="1" x14ac:dyDescent="0.3">
      <c r="B18" s="101">
        <v>2</v>
      </c>
      <c r="C18" s="102"/>
      <c r="D18" s="1064" t="s">
        <v>548</v>
      </c>
      <c r="E18" s="1064"/>
      <c r="G18" s="104"/>
      <c r="H18" s="104"/>
      <c r="I18" s="104"/>
      <c r="J18" s="104"/>
      <c r="K18" s="104"/>
      <c r="L18" s="104"/>
      <c r="M18" s="104"/>
      <c r="N18" s="105">
        <f>SUM(B142:B149)</f>
        <v>22</v>
      </c>
      <c r="O18" s="106" t="s">
        <v>547</v>
      </c>
      <c r="P18" s="105">
        <v>40</v>
      </c>
      <c r="Q18" s="107"/>
      <c r="R18" s="108"/>
      <c r="S18" s="109"/>
      <c r="T18" s="112"/>
      <c r="U18" s="111"/>
      <c r="V18" s="21"/>
      <c r="W18" s="21"/>
      <c r="X18" s="21"/>
      <c r="Y18" s="21"/>
      <c r="Z18" s="21"/>
    </row>
    <row r="19" spans="2:26" ht="31.5" customHeight="1" x14ac:dyDescent="0.3">
      <c r="B19" s="119">
        <v>2.1</v>
      </c>
      <c r="C19" s="118"/>
      <c r="D19" s="1066" t="str">
        <f ca="1">' '!A253</f>
        <v>Nous pourrions remplacer des revenus de transactions ponctuels par des revenus récurrents</v>
      </c>
      <c r="E19" s="1066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08"/>
      <c r="S19" s="121">
        <v>10</v>
      </c>
      <c r="T19" s="116"/>
      <c r="U19" s="117"/>
      <c r="V19" s="21"/>
      <c r="W19" s="21"/>
      <c r="X19" s="21"/>
      <c r="Y19" s="21"/>
      <c r="Z19" s="21"/>
    </row>
    <row r="20" spans="2:26" ht="31.5" customHeight="1" x14ac:dyDescent="0.3">
      <c r="B20" s="119">
        <v>2.2000000000000002</v>
      </c>
      <c r="C20" s="118"/>
      <c r="D20" s="1066" t="str">
        <f ca="1">' '!A254</f>
        <v>Nos clients seraient disposés à payer pour d'autres produits et services</v>
      </c>
      <c r="E20" s="1066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08"/>
      <c r="S20" s="121">
        <v>9</v>
      </c>
      <c r="T20" s="116"/>
      <c r="U20" s="117"/>
      <c r="V20" s="21"/>
      <c r="W20" s="21"/>
      <c r="X20" s="21"/>
      <c r="Y20" s="21"/>
      <c r="Z20" s="21"/>
    </row>
    <row r="21" spans="2:26" ht="31.5" customHeight="1" x14ac:dyDescent="0.3">
      <c r="B21" s="119">
        <v>2.2999999999999998</v>
      </c>
      <c r="C21" s="34"/>
      <c r="D21" s="1066" t="str">
        <f ca="1">' '!A255</f>
        <v>Nous avons des occasions de ventes croisées/associées soit en interne, soit avec des partenaires</v>
      </c>
      <c r="E21" s="1066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08"/>
      <c r="S21" s="121">
        <v>8</v>
      </c>
      <c r="T21" s="116"/>
      <c r="U21" s="117"/>
      <c r="V21" s="21"/>
      <c r="W21" s="21"/>
      <c r="X21" s="21"/>
      <c r="Y21" s="21"/>
      <c r="Z21" s="21"/>
    </row>
    <row r="22" spans="2:26" ht="31.5" customHeight="1" x14ac:dyDescent="0.3">
      <c r="B22" s="119">
        <v>2.4</v>
      </c>
      <c r="C22" s="34"/>
      <c r="D22" s="1066" t="str">
        <f ca="1">' '!A256</f>
        <v>Nous pourrions rajouter ou créer d'autres flux de revenus</v>
      </c>
      <c r="E22" s="1066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08"/>
      <c r="S22" s="121">
        <v>7</v>
      </c>
      <c r="T22" s="116"/>
      <c r="U22" s="117"/>
      <c r="V22" s="21"/>
      <c r="W22" s="21"/>
      <c r="X22" s="21"/>
      <c r="Y22" s="21"/>
      <c r="Z22" s="21"/>
    </row>
    <row r="23" spans="2:26" ht="31.5" customHeight="1" x14ac:dyDescent="0.3">
      <c r="B23" s="119">
        <v>2.5</v>
      </c>
      <c r="C23" s="34"/>
      <c r="D23" s="1066" t="str">
        <f ca="1">' '!A257</f>
        <v>Nous pouvons augmenter les prix</v>
      </c>
      <c r="E23" s="1066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08"/>
      <c r="S23" s="121">
        <v>6</v>
      </c>
      <c r="T23" s="116"/>
      <c r="U23" s="117"/>
      <c r="V23" s="21"/>
      <c r="W23" s="21"/>
      <c r="X23" s="21"/>
      <c r="Y23" s="21"/>
      <c r="Z23" s="21"/>
    </row>
    <row r="24" spans="2:26" ht="31.5" customHeight="1" x14ac:dyDescent="0.3">
      <c r="B24" s="119">
        <v>2.6</v>
      </c>
      <c r="C24" s="34"/>
      <c r="D24" s="1066" t="str">
        <f ca="1">' '!A258</f>
        <v>Nos marges sont menacées par des concurrents, et/ou des nouvelles technologies</v>
      </c>
      <c r="E24" s="1066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08"/>
      <c r="S24" s="121">
        <v>5</v>
      </c>
      <c r="T24" s="116"/>
      <c r="U24" s="117"/>
      <c r="V24" s="21"/>
      <c r="W24" s="21"/>
      <c r="X24" s="21"/>
      <c r="Y24" s="21"/>
      <c r="Z24" s="21"/>
    </row>
    <row r="25" spans="2:26" ht="31.5" customHeight="1" x14ac:dyDescent="0.3">
      <c r="B25" s="119">
        <v>2.7</v>
      </c>
      <c r="C25" s="34"/>
      <c r="D25" s="1066" t="str">
        <f ca="1">' '!A259</f>
        <v>Nous dépendons d'un ou de plusieurs flux de revenus</v>
      </c>
      <c r="E25" s="1066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08"/>
      <c r="S25" s="121">
        <v>4</v>
      </c>
      <c r="T25" s="116"/>
      <c r="U25" s="117"/>
      <c r="V25" s="21"/>
      <c r="W25" s="21"/>
      <c r="X25" s="21"/>
      <c r="Y25" s="21"/>
      <c r="Z25" s="21"/>
    </row>
    <row r="26" spans="2:26" ht="31.5" customHeight="1" x14ac:dyDescent="0.3">
      <c r="B26" s="119">
        <v>2.8</v>
      </c>
      <c r="C26" s="34"/>
      <c r="D26" s="1066" t="str">
        <f ca="1">' '!A260</f>
        <v xml:space="preserve">Nous avons des flux de revenus appelés à disparaître </v>
      </c>
      <c r="E26" s="1066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08"/>
      <c r="S26" s="121">
        <v>3</v>
      </c>
      <c r="T26" s="116"/>
      <c r="U26" s="117"/>
      <c r="V26" s="21"/>
      <c r="W26" s="21"/>
      <c r="X26" s="21"/>
      <c r="Y26" s="21"/>
      <c r="Z26" s="21"/>
    </row>
    <row r="27" spans="2:26" ht="15.75" customHeight="1" x14ac:dyDescent="0.3">
      <c r="B27" s="101">
        <v>3</v>
      </c>
      <c r="C27" s="102"/>
      <c r="D27" s="1064" t="s">
        <v>549</v>
      </c>
      <c r="E27" s="1064"/>
      <c r="G27" s="104"/>
      <c r="H27" s="104"/>
      <c r="I27" s="104"/>
      <c r="J27" s="104"/>
      <c r="K27" s="104"/>
      <c r="L27" s="104"/>
      <c r="M27" s="104"/>
      <c r="N27" s="105">
        <f>SUM(B151:B153)</f>
        <v>9</v>
      </c>
      <c r="O27" s="106" t="s">
        <v>547</v>
      </c>
      <c r="P27" s="105">
        <v>15</v>
      </c>
      <c r="Q27" s="105"/>
      <c r="R27" s="108"/>
      <c r="S27" s="109"/>
      <c r="T27" s="112"/>
      <c r="U27" s="111"/>
      <c r="V27" s="21"/>
      <c r="W27" s="21"/>
      <c r="X27" s="21"/>
      <c r="Y27" s="21"/>
      <c r="Z27" s="21"/>
    </row>
    <row r="28" spans="2:26" ht="31.5" customHeight="1" x14ac:dyDescent="0.3">
      <c r="B28" s="114">
        <v>3.1</v>
      </c>
      <c r="C28" s="34"/>
      <c r="D28" s="1059" t="str">
        <f ca="1">' '!A262</f>
        <v>Nous pouvons réduire nos coûts</v>
      </c>
      <c r="E28" s="1059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08"/>
      <c r="S28" s="125">
        <v>10</v>
      </c>
      <c r="T28" s="116"/>
      <c r="U28" s="117"/>
      <c r="V28" s="21"/>
      <c r="W28" s="21"/>
      <c r="X28" s="21"/>
      <c r="Y28" s="21"/>
      <c r="Z28" s="21"/>
    </row>
    <row r="29" spans="2:26" ht="31.5" customHeight="1" x14ac:dyDescent="0.3">
      <c r="B29" s="114">
        <v>3.2</v>
      </c>
      <c r="C29" s="102"/>
      <c r="D29" s="1059" t="str">
        <f ca="1">' '!A263</f>
        <v>Certains coûts risquent de devenir imprévisibles</v>
      </c>
      <c r="E29" s="1059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6"/>
      <c r="R29" s="127"/>
      <c r="S29" s="125">
        <v>4</v>
      </c>
      <c r="T29" s="116"/>
      <c r="U29" s="117"/>
      <c r="V29" s="21"/>
      <c r="W29" s="21"/>
      <c r="X29" s="21"/>
      <c r="Y29" s="21"/>
      <c r="Z29" s="21"/>
    </row>
    <row r="30" spans="2:26" ht="90.75" customHeight="1" x14ac:dyDescent="0.3">
      <c r="B30" s="114">
        <v>3.3</v>
      </c>
      <c r="C30" s="118"/>
      <c r="D30" s="1059" t="str">
        <f ca="1">' '!A264</f>
        <v>Certains coûts menacent d'augmenter plus rapidement que les revenus correspondants</v>
      </c>
      <c r="E30" s="1059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8"/>
      <c r="R30" s="129"/>
      <c r="S30" s="125">
        <v>10</v>
      </c>
      <c r="T30" s="116"/>
      <c r="U30" s="117"/>
      <c r="V30" s="21"/>
      <c r="W30" s="21"/>
      <c r="X30" s="21"/>
      <c r="Y30" s="21"/>
      <c r="Z30" s="21"/>
    </row>
    <row r="31" spans="2:26" ht="15.6" x14ac:dyDescent="0.3">
      <c r="B31" s="101">
        <v>4</v>
      </c>
      <c r="C31" s="102"/>
      <c r="D31" s="1064" t="s">
        <v>550</v>
      </c>
      <c r="E31" s="1064"/>
      <c r="G31" s="104"/>
      <c r="H31" s="104"/>
      <c r="I31" s="104"/>
      <c r="J31" s="104"/>
      <c r="K31" s="104"/>
      <c r="L31" s="104"/>
      <c r="M31" s="104"/>
      <c r="N31" s="105">
        <f>SUM(B155:B162)</f>
        <v>24</v>
      </c>
      <c r="O31" s="106" t="s">
        <v>547</v>
      </c>
      <c r="P31" s="105">
        <v>40</v>
      </c>
      <c r="Q31" s="105"/>
      <c r="R31" s="108"/>
      <c r="S31" s="109"/>
      <c r="T31" s="112"/>
      <c r="U31" s="111"/>
      <c r="V31" s="21"/>
      <c r="W31" s="21"/>
      <c r="X31" s="21"/>
      <c r="Y31" s="21"/>
      <c r="Z31" s="21"/>
    </row>
    <row r="32" spans="2:26" ht="31.5" customHeight="1" x14ac:dyDescent="0.3">
      <c r="B32" s="119">
        <v>4.0999999999999996</v>
      </c>
      <c r="C32" s="118"/>
      <c r="D32" s="1066" t="str">
        <f ca="1">' '!A266</f>
        <v>Nous pourrions bénéficier d'un marché en pleine croissance</v>
      </c>
      <c r="E32" s="1066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08"/>
      <c r="S32" s="121">
        <v>10</v>
      </c>
      <c r="T32" s="116"/>
      <c r="U32" s="117"/>
      <c r="V32" s="21"/>
      <c r="W32" s="21"/>
      <c r="X32" s="21"/>
      <c r="Y32" s="21"/>
      <c r="Z32" s="21"/>
    </row>
    <row r="33" spans="2:26" ht="31.5" customHeight="1" x14ac:dyDescent="0.3">
      <c r="B33" s="119">
        <v>4.2</v>
      </c>
      <c r="C33" s="118"/>
      <c r="D33" s="1066" t="str">
        <f ca="1">' '!A267</f>
        <v>Nous pourrions servir de nouveaux segments de clientèle</v>
      </c>
      <c r="E33" s="1066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08"/>
      <c r="S33" s="121">
        <v>9</v>
      </c>
      <c r="T33" s="116"/>
      <c r="U33" s="117"/>
      <c r="V33" s="21"/>
      <c r="W33" s="21"/>
      <c r="X33" s="21"/>
      <c r="Y33" s="21"/>
      <c r="Z33" s="21"/>
    </row>
    <row r="34" spans="2:26" ht="31.5" customHeight="1" x14ac:dyDescent="0.3">
      <c r="B34" s="119">
        <v>4.3</v>
      </c>
      <c r="C34" s="118"/>
      <c r="D34" s="1066" t="str">
        <f ca="1">' '!A268</f>
        <v>Nous pourrions mieux servir nos clients grâce à une segmentation plus fine</v>
      </c>
      <c r="E34" s="1066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08"/>
      <c r="S34" s="121">
        <v>8</v>
      </c>
      <c r="T34" s="116"/>
      <c r="U34" s="117"/>
      <c r="V34" s="21"/>
      <c r="W34" s="21"/>
      <c r="X34" s="21"/>
      <c r="Y34" s="21"/>
      <c r="Z34" s="21"/>
    </row>
    <row r="35" spans="2:26" ht="31.5" customHeight="1" x14ac:dyDescent="0.3">
      <c r="B35" s="119">
        <v>4.4000000000000004</v>
      </c>
      <c r="C35" s="118"/>
      <c r="D35" s="1066" t="str">
        <f ca="1">' '!A269</f>
        <v>Notre marché risque d'être bientôt saturé</v>
      </c>
      <c r="E35" s="1066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08"/>
      <c r="S35" s="121">
        <v>7</v>
      </c>
      <c r="T35" s="116"/>
      <c r="U35" s="117"/>
      <c r="V35" s="21"/>
      <c r="W35" s="21"/>
      <c r="X35" s="21"/>
      <c r="Y35" s="21"/>
      <c r="Z35" s="21"/>
    </row>
    <row r="36" spans="2:26" ht="31.5" customHeight="1" x14ac:dyDescent="0.3">
      <c r="B36" s="119">
        <v>4.5</v>
      </c>
      <c r="C36" s="118"/>
      <c r="D36" s="1066" t="str">
        <f ca="1">' '!A270</f>
        <v>Nos concurrents menacent nos parts de marché</v>
      </c>
      <c r="E36" s="1066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08"/>
      <c r="S36" s="121">
        <v>6</v>
      </c>
      <c r="T36" s="116"/>
      <c r="U36" s="117"/>
      <c r="V36" s="21"/>
      <c r="W36" s="21"/>
      <c r="X36" s="21"/>
      <c r="Y36" s="21"/>
      <c r="Z36" s="21"/>
    </row>
    <row r="37" spans="2:26" ht="31.5" customHeight="1" x14ac:dyDescent="0.3">
      <c r="B37" s="119">
        <v>4.5999999999999996</v>
      </c>
      <c r="C37" s="118"/>
      <c r="D37" s="1066" t="str">
        <f ca="1">' '!A271</f>
        <v>Il y a une probabilité que nos clients nous quittent</v>
      </c>
      <c r="E37" s="1066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08"/>
      <c r="S37" s="121">
        <v>5</v>
      </c>
      <c r="T37" s="116"/>
      <c r="U37" s="117"/>
      <c r="V37" s="21"/>
      <c r="W37" s="21"/>
      <c r="X37" s="21"/>
      <c r="Y37" s="21"/>
      <c r="Z37" s="21"/>
    </row>
    <row r="38" spans="2:26" ht="31.5" customHeight="1" x14ac:dyDescent="0.3">
      <c r="B38" s="119">
        <v>4.7</v>
      </c>
      <c r="C38" s="118"/>
      <c r="D38" s="1066" t="str">
        <f ca="1">' '!A272</f>
        <v>Il y a des chances que nos clients sont en défaut de paiement</v>
      </c>
      <c r="E38" s="1066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08"/>
      <c r="S38" s="121">
        <v>4</v>
      </c>
      <c r="T38" s="116"/>
      <c r="U38" s="117"/>
      <c r="V38" s="21"/>
      <c r="W38" s="21"/>
      <c r="X38" s="21"/>
      <c r="Y38" s="21"/>
      <c r="Z38" s="21"/>
    </row>
    <row r="39" spans="2:26" ht="31.5" customHeight="1" x14ac:dyDescent="0.3">
      <c r="B39" s="119">
        <v>4.8</v>
      </c>
      <c r="C39" s="118"/>
      <c r="D39" s="1066" t="str">
        <f ca="1">' '!A273</f>
        <v>La concurrence risque de s'intensifier sur notre marché</v>
      </c>
      <c r="E39" s="1066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08"/>
      <c r="S39" s="121">
        <v>3</v>
      </c>
      <c r="T39" s="116"/>
      <c r="U39" s="117"/>
      <c r="V39" s="21"/>
      <c r="W39" s="21"/>
      <c r="X39" s="21"/>
      <c r="Y39" s="21"/>
      <c r="Z39" s="21"/>
    </row>
    <row r="40" spans="2:26" ht="15.6" x14ac:dyDescent="0.3">
      <c r="B40" s="101">
        <v>5</v>
      </c>
      <c r="C40" s="102"/>
      <c r="D40" s="1064" t="s">
        <v>551</v>
      </c>
      <c r="E40" s="1064"/>
      <c r="G40" s="104"/>
      <c r="H40" s="104"/>
      <c r="I40" s="104"/>
      <c r="J40" s="104"/>
      <c r="K40" s="104"/>
      <c r="L40" s="104"/>
      <c r="M40" s="104"/>
      <c r="N40" s="105">
        <f>SUM(B164:B170)</f>
        <v>20</v>
      </c>
      <c r="O40" s="106" t="s">
        <v>547</v>
      </c>
      <c r="P40" s="105">
        <v>35</v>
      </c>
      <c r="Q40" s="107"/>
      <c r="R40" s="108"/>
      <c r="S40" s="109"/>
      <c r="T40" s="116"/>
      <c r="U40" s="117"/>
      <c r="V40" s="21"/>
      <c r="W40" s="21"/>
      <c r="X40" s="21"/>
      <c r="Y40" s="21"/>
      <c r="Z40" s="21"/>
    </row>
    <row r="41" spans="2:26" ht="31.5" customHeight="1" x14ac:dyDescent="0.3">
      <c r="B41" s="114">
        <v>5.0999999999999996</v>
      </c>
      <c r="C41" s="34"/>
      <c r="D41" s="1059" t="str">
        <f ca="1">' '!A275</f>
        <v>Nous pourrions améliorer l'efficacité et l'efficience de nos canaux de distribution</v>
      </c>
      <c r="E41" s="1059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08"/>
      <c r="S41" s="125">
        <v>1</v>
      </c>
      <c r="T41" s="116"/>
      <c r="U41" s="117"/>
      <c r="V41" s="21"/>
      <c r="W41" s="21"/>
      <c r="X41" s="21"/>
      <c r="Y41" s="21"/>
      <c r="Z41" s="21"/>
    </row>
    <row r="42" spans="2:26" ht="31.5" customHeight="1" x14ac:dyDescent="0.3">
      <c r="B42" s="114">
        <v>5.2</v>
      </c>
      <c r="C42" s="102"/>
      <c r="D42" s="1059" t="str">
        <f ca="1">' '!A276</f>
        <v>Nous pourrions améliorer l'intégration de nos canaux</v>
      </c>
      <c r="E42" s="1059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6"/>
      <c r="R42" s="108"/>
      <c r="S42" s="125">
        <v>2</v>
      </c>
      <c r="T42" s="116"/>
      <c r="U42" s="117"/>
      <c r="V42" s="21"/>
      <c r="W42" s="21"/>
      <c r="X42" s="21"/>
      <c r="Y42" s="21"/>
      <c r="Z42" s="21"/>
    </row>
    <row r="43" spans="2:26" ht="31.5" customHeight="1" x14ac:dyDescent="0.3">
      <c r="B43" s="114">
        <v>5.3</v>
      </c>
      <c r="C43" s="118"/>
      <c r="D43" s="1059" t="str">
        <f ca="1">' '!A277</f>
        <v>Nous pourrions trouver de nouveaux canaux partenaires complémentaires</v>
      </c>
      <c r="E43" s="1059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8"/>
      <c r="R43" s="108"/>
      <c r="S43" s="125">
        <v>3</v>
      </c>
      <c r="T43" s="116"/>
      <c r="U43" s="117"/>
      <c r="V43" s="21"/>
      <c r="W43" s="21"/>
      <c r="X43" s="21"/>
      <c r="Y43" s="21"/>
      <c r="Z43" s="21"/>
    </row>
    <row r="44" spans="2:26" ht="31.5" customHeight="1" x14ac:dyDescent="0.3">
      <c r="B44" s="114">
        <v>5.4</v>
      </c>
      <c r="C44" s="102"/>
      <c r="D44" s="1059" t="str">
        <f ca="1">' '!A278</f>
        <v>Nous pourrions augmenter nos marges en servant directement nos clients</v>
      </c>
      <c r="E44" s="1059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08"/>
      <c r="S44" s="125">
        <v>4</v>
      </c>
      <c r="T44" s="116"/>
      <c r="U44" s="117"/>
      <c r="V44" s="21"/>
      <c r="W44" s="21"/>
      <c r="X44" s="21"/>
      <c r="Y44" s="21"/>
      <c r="Z44" s="21"/>
    </row>
    <row r="45" spans="2:26" ht="31.5" customHeight="1" x14ac:dyDescent="0.3">
      <c r="B45" s="114">
        <v>5.5</v>
      </c>
      <c r="C45" s="34"/>
      <c r="D45" s="1059" t="str">
        <f ca="1">' '!A279</f>
        <v>Nous pouvons améliorer l'adéquation des canaux et des segments de clients</v>
      </c>
      <c r="E45" s="1059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08"/>
      <c r="S45" s="125">
        <v>5</v>
      </c>
      <c r="T45" s="116"/>
      <c r="U45" s="117"/>
      <c r="V45" s="21"/>
      <c r="W45" s="21"/>
      <c r="X45" s="21"/>
      <c r="Y45" s="21"/>
      <c r="Z45" s="21"/>
    </row>
    <row r="46" spans="2:26" ht="31.5" customHeight="1" x14ac:dyDescent="0.3">
      <c r="B46" s="114">
        <v>5.6</v>
      </c>
      <c r="C46" s="102"/>
      <c r="D46" s="1059" t="str">
        <f ca="1">' '!A280</f>
        <v>Nos concurrents menacent nos canaux de distribution</v>
      </c>
      <c r="E46" s="1059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6"/>
      <c r="R46" s="108"/>
      <c r="S46" s="125">
        <v>6</v>
      </c>
      <c r="T46" s="116"/>
      <c r="U46" s="117"/>
      <c r="V46" s="21"/>
      <c r="W46" s="21"/>
      <c r="X46" s="21"/>
      <c r="Y46" s="21"/>
      <c r="Z46" s="21"/>
    </row>
    <row r="47" spans="2:26" ht="31.5" customHeight="1" x14ac:dyDescent="0.3">
      <c r="B47" s="114">
        <v>5.7</v>
      </c>
      <c r="C47" s="118"/>
      <c r="D47" s="1059" t="str">
        <f ca="1">' '!A281</f>
        <v>Nos canaux de distribution risquent de ne plus être pertinents/adaptés pour nos clients</v>
      </c>
      <c r="E47" s="1059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128"/>
      <c r="R47" s="108"/>
      <c r="S47" s="125">
        <v>7</v>
      </c>
      <c r="T47" s="116"/>
      <c r="U47" s="117"/>
      <c r="V47" s="21"/>
      <c r="W47" s="21"/>
      <c r="X47" s="21"/>
      <c r="Y47" s="21"/>
      <c r="Z47" s="21"/>
    </row>
    <row r="48" spans="2:26" ht="15.6" x14ac:dyDescent="0.3">
      <c r="B48" s="101">
        <v>6</v>
      </c>
      <c r="C48" s="102"/>
      <c r="D48" s="1064" t="s">
        <v>546</v>
      </c>
      <c r="E48" s="1064"/>
      <c r="G48" s="104"/>
      <c r="H48" s="104"/>
      <c r="I48" s="104"/>
      <c r="J48" s="104"/>
      <c r="K48" s="104"/>
      <c r="L48" s="104"/>
      <c r="M48" s="104"/>
      <c r="N48" s="105">
        <f>SUM(B172:B178)</f>
        <v>20</v>
      </c>
      <c r="O48" s="106" t="s">
        <v>547</v>
      </c>
      <c r="P48" s="105">
        <v>35</v>
      </c>
      <c r="Q48" s="107"/>
      <c r="R48" s="108"/>
      <c r="S48" s="109"/>
      <c r="T48" s="116"/>
      <c r="U48" s="117"/>
      <c r="V48" s="21"/>
      <c r="W48" s="21"/>
      <c r="X48" s="21"/>
      <c r="Y48" s="21"/>
      <c r="Z48" s="21"/>
    </row>
    <row r="49" spans="2:26" ht="31.5" customHeight="1" x14ac:dyDescent="0.3">
      <c r="B49" s="119">
        <v>6.1</v>
      </c>
      <c r="C49" s="118"/>
      <c r="D49" s="1066" t="str">
        <f ca="1">' '!A283</f>
        <v>Le suivi clients recèle un potentiel d'amélioration</v>
      </c>
      <c r="E49" s="1066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08"/>
      <c r="S49" s="121">
        <v>8</v>
      </c>
      <c r="T49" s="116"/>
      <c r="U49" s="117"/>
      <c r="V49" s="21"/>
      <c r="W49" s="21"/>
      <c r="X49" s="21"/>
      <c r="Y49" s="21"/>
      <c r="Z49" s="21"/>
    </row>
    <row r="50" spans="2:26" ht="31.5" customHeight="1" x14ac:dyDescent="0.3">
      <c r="B50" s="119">
        <v>6.2</v>
      </c>
      <c r="C50" s="118"/>
      <c r="D50" s="1066" t="str">
        <f ca="1">' '!A284</f>
        <v>Nous pourrions resserrer nos relations avec nos clients</v>
      </c>
      <c r="E50" s="1066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08"/>
      <c r="S50" s="121">
        <v>7</v>
      </c>
      <c r="T50" s="116"/>
      <c r="U50" s="117"/>
      <c r="V50" s="21"/>
      <c r="W50" s="21"/>
      <c r="X50" s="21"/>
      <c r="Y50" s="21"/>
      <c r="Z50" s="21"/>
    </row>
    <row r="51" spans="2:26" ht="31.5" customHeight="1" x14ac:dyDescent="0.3">
      <c r="B51" s="119">
        <v>6.3</v>
      </c>
      <c r="C51" s="118"/>
      <c r="D51" s="1066" t="str">
        <f ca="1">' '!A285</f>
        <v>Nous pourrions améliorer la personnalisation</v>
      </c>
      <c r="E51" s="1066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08"/>
      <c r="S51" s="121">
        <v>6</v>
      </c>
      <c r="T51" s="116"/>
      <c r="U51" s="117"/>
      <c r="V51" s="21"/>
      <c r="W51" s="21"/>
      <c r="X51" s="21"/>
      <c r="Y51" s="21"/>
      <c r="Z51" s="21"/>
    </row>
    <row r="52" spans="2:26" ht="31.5" customHeight="1" x14ac:dyDescent="0.3">
      <c r="B52" s="119">
        <v>6.4</v>
      </c>
      <c r="C52" s="118"/>
      <c r="D52" s="1066" t="str">
        <f ca="1">' '!A286</f>
        <v xml:space="preserve">Nous pourrions augmenter pour le client les coûts de changement vers un concurrent (switching costs) </v>
      </c>
      <c r="E52" s="1066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08"/>
      <c r="S52" s="121">
        <v>5</v>
      </c>
      <c r="T52" s="116"/>
      <c r="U52" s="117"/>
      <c r="V52" s="21"/>
      <c r="W52" s="21"/>
      <c r="X52" s="21"/>
      <c r="Y52" s="21"/>
      <c r="Z52" s="21"/>
    </row>
    <row r="53" spans="2:26" ht="31.5" customHeight="1" x14ac:dyDescent="0.3">
      <c r="B53" s="119">
        <v>6.5</v>
      </c>
      <c r="C53" s="118"/>
      <c r="D53" s="1066" t="str">
        <f ca="1">' '!A287</f>
        <v>Nous avons identifié et "éliminé" les clients non rentables</v>
      </c>
      <c r="E53" s="1066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08"/>
      <c r="S53" s="121">
        <v>4</v>
      </c>
      <c r="T53" s="116"/>
      <c r="U53" s="117"/>
      <c r="V53" s="21"/>
      <c r="W53" s="21"/>
      <c r="X53" s="21"/>
      <c r="Y53" s="21"/>
      <c r="Z53" s="21"/>
    </row>
    <row r="54" spans="2:26" ht="31.5" customHeight="1" x14ac:dyDescent="0.3">
      <c r="B54" s="119">
        <v>6.6</v>
      </c>
      <c r="C54" s="118"/>
      <c r="D54" s="1066" t="str">
        <f ca="1">' '!A288</f>
        <v>Nous avons automatisé certaines relations</v>
      </c>
      <c r="E54" s="1066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08"/>
      <c r="S54" s="121">
        <v>3</v>
      </c>
      <c r="T54" s="116"/>
      <c r="U54" s="117"/>
      <c r="V54" s="21"/>
      <c r="W54" s="21"/>
      <c r="X54" s="21"/>
      <c r="Y54" s="21"/>
      <c r="Z54" s="21"/>
    </row>
    <row r="55" spans="2:26" ht="31.5" customHeight="1" x14ac:dyDescent="0.3">
      <c r="B55" s="119">
        <v>6.7</v>
      </c>
      <c r="C55" s="118"/>
      <c r="D55" s="1066" t="str">
        <f ca="1">' '!A289</f>
        <v>Nos relations avec les clients risquent de se détériorer</v>
      </c>
      <c r="E55" s="1066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08"/>
      <c r="S55" s="121">
        <v>1</v>
      </c>
      <c r="T55" s="116"/>
      <c r="U55" s="117"/>
      <c r="V55" s="21"/>
      <c r="W55" s="21"/>
      <c r="X55" s="21"/>
      <c r="Y55" s="21"/>
      <c r="Z55" s="21"/>
    </row>
    <row r="56" spans="2:26" ht="15.6" x14ac:dyDescent="0.3">
      <c r="B56" s="101">
        <v>7</v>
      </c>
      <c r="C56" s="102"/>
      <c r="D56" s="1064" t="s">
        <v>552</v>
      </c>
      <c r="E56" s="1064"/>
      <c r="G56" s="104"/>
      <c r="H56" s="104"/>
      <c r="I56" s="104"/>
      <c r="J56" s="104"/>
      <c r="K56" s="104"/>
      <c r="L56" s="104"/>
      <c r="M56" s="104"/>
      <c r="N56" s="105">
        <f>SUM(B180:B185)</f>
        <v>17</v>
      </c>
      <c r="O56" s="106" t="s">
        <v>547</v>
      </c>
      <c r="P56" s="105">
        <v>30</v>
      </c>
      <c r="Q56" s="107"/>
      <c r="R56" s="108"/>
      <c r="S56" s="109"/>
      <c r="T56" s="116"/>
      <c r="U56" s="117"/>
      <c r="V56" s="21"/>
      <c r="W56" s="21"/>
      <c r="X56" s="21"/>
      <c r="Y56" s="21"/>
      <c r="Z56" s="21"/>
    </row>
    <row r="57" spans="2:26" ht="31.5" customHeight="1" x14ac:dyDescent="0.3">
      <c r="B57" s="114">
        <v>7.1</v>
      </c>
      <c r="C57" s="34"/>
      <c r="D57" s="1059" t="str">
        <f ca="1">' '!A291</f>
        <v>Nous pouvons utiliser moins de ressources coûteuses pour arriver au même résultat</v>
      </c>
      <c r="E57" s="1059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08"/>
      <c r="S57" s="125">
        <v>9</v>
      </c>
      <c r="T57" s="116"/>
      <c r="U57" s="117"/>
      <c r="V57" s="21"/>
      <c r="W57" s="21"/>
      <c r="X57" s="21"/>
      <c r="Y57" s="21"/>
      <c r="Z57" s="21"/>
    </row>
    <row r="58" spans="2:26" ht="31.5" customHeight="1" x14ac:dyDescent="0.3">
      <c r="B58" s="114">
        <v>7.2</v>
      </c>
      <c r="C58" s="34"/>
      <c r="D58" s="1059" t="str">
        <f ca="1">' '!A292</f>
        <v>Nous avons des ressources clés qui pourront être procuré auprès de partenaires</v>
      </c>
      <c r="E58" s="1059"/>
      <c r="G58" s="124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08"/>
      <c r="S58" s="125">
        <v>8</v>
      </c>
      <c r="T58" s="116"/>
      <c r="U58" s="117"/>
      <c r="V58" s="21"/>
      <c r="W58" s="21"/>
      <c r="X58" s="21"/>
      <c r="Y58" s="21"/>
      <c r="Z58" s="21"/>
    </row>
    <row r="59" spans="2:26" ht="31.5" customHeight="1" x14ac:dyDescent="0.3">
      <c r="B59" s="114">
        <v>7.3</v>
      </c>
      <c r="C59" s="34"/>
      <c r="D59" s="1059" t="str">
        <f ca="1">' '!A293</f>
        <v>Nous avons des ressources clés qui sont sous-exploitées</v>
      </c>
      <c r="E59" s="1059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08"/>
      <c r="S59" s="125">
        <v>7</v>
      </c>
      <c r="T59" s="116"/>
      <c r="U59" s="117"/>
      <c r="V59" s="21"/>
      <c r="W59" s="21"/>
      <c r="X59" s="21"/>
      <c r="Y59" s="21"/>
      <c r="Z59" s="21"/>
    </row>
    <row r="60" spans="2:26" ht="31.5" customHeight="1" x14ac:dyDescent="0.3">
      <c r="B60" s="114">
        <v>7.4</v>
      </c>
      <c r="C60" s="34"/>
      <c r="D60" s="1059" t="str">
        <f ca="1">' '!A294</f>
        <v>Nous avons des brevets ou d'autres découvertes inexploités qui pourraient avoir de la valeur pour d'autres</v>
      </c>
      <c r="E60" s="1059"/>
      <c r="G60" s="124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08"/>
      <c r="S60" s="125">
        <v>6</v>
      </c>
      <c r="T60" s="116"/>
      <c r="U60" s="117"/>
      <c r="V60" s="21"/>
      <c r="W60" s="21"/>
      <c r="X60" s="21"/>
      <c r="Y60" s="21"/>
      <c r="Z60" s="21"/>
    </row>
    <row r="61" spans="2:26" ht="31.5" customHeight="1" x14ac:dyDescent="0.3">
      <c r="B61" s="114">
        <v>7.5</v>
      </c>
      <c r="C61" s="34"/>
      <c r="D61" s="1059" t="str">
        <f ca="1">' '!A295</f>
        <v>Nous risquons d'être confrontés à une rupture de l'offre de certaines ressources</v>
      </c>
      <c r="E61" s="1059"/>
      <c r="G61" s="124"/>
      <c r="H61" s="124"/>
      <c r="I61" s="124"/>
      <c r="J61" s="124"/>
      <c r="K61" s="124"/>
      <c r="L61" s="124"/>
      <c r="M61" s="124"/>
      <c r="N61" s="124"/>
      <c r="O61" s="124"/>
      <c r="P61" s="124"/>
      <c r="Q61" s="124"/>
      <c r="R61" s="108"/>
      <c r="S61" s="125">
        <v>5</v>
      </c>
      <c r="T61" s="116"/>
      <c r="U61" s="117"/>
      <c r="V61" s="21"/>
      <c r="W61" s="21"/>
      <c r="X61" s="21"/>
      <c r="Y61" s="21"/>
      <c r="Z61" s="21"/>
    </row>
    <row r="62" spans="2:26" ht="31.5" customHeight="1" x14ac:dyDescent="0.3">
      <c r="B62" s="114">
        <v>7.6</v>
      </c>
      <c r="C62" s="34"/>
      <c r="D62" s="1059" t="str">
        <f ca="1">' '!A296</f>
        <v>La qualité de nos ressources est menacée</v>
      </c>
      <c r="E62" s="1059"/>
      <c r="G62" s="124"/>
      <c r="H62" s="124"/>
      <c r="I62" s="124"/>
      <c r="J62" s="124"/>
      <c r="K62" s="124"/>
      <c r="L62" s="124"/>
      <c r="M62" s="124"/>
      <c r="N62" s="124"/>
      <c r="O62" s="124"/>
      <c r="P62" s="124"/>
      <c r="Q62" s="124"/>
      <c r="R62" s="108"/>
      <c r="S62" s="125">
        <v>4</v>
      </c>
      <c r="T62" s="116"/>
      <c r="U62" s="117"/>
      <c r="V62" s="21"/>
      <c r="W62" s="21"/>
      <c r="X62" s="21"/>
      <c r="Y62" s="21"/>
      <c r="Z62" s="21"/>
    </row>
    <row r="63" spans="2:26" ht="15.6" x14ac:dyDescent="0.3">
      <c r="B63" s="101">
        <v>8</v>
      </c>
      <c r="C63" s="102"/>
      <c r="D63" s="1064" t="s">
        <v>553</v>
      </c>
      <c r="E63" s="1064"/>
      <c r="G63" s="104"/>
      <c r="H63" s="104"/>
      <c r="I63" s="104"/>
      <c r="J63" s="104"/>
      <c r="K63" s="104"/>
      <c r="L63" s="104"/>
      <c r="M63" s="104"/>
      <c r="N63" s="105">
        <f>SUM(B187:B191)</f>
        <v>15</v>
      </c>
      <c r="O63" s="106" t="s">
        <v>547</v>
      </c>
      <c r="P63" s="105">
        <v>25</v>
      </c>
      <c r="Q63" s="107"/>
      <c r="R63" s="108"/>
      <c r="S63" s="109"/>
      <c r="T63" s="116"/>
      <c r="U63" s="117"/>
      <c r="V63" s="21"/>
      <c r="W63" s="21"/>
      <c r="X63" s="21"/>
      <c r="Y63" s="21"/>
      <c r="Z63" s="21"/>
    </row>
    <row r="64" spans="2:26" ht="31.5" customHeight="1" x14ac:dyDescent="0.3">
      <c r="B64" s="119">
        <v>8.1</v>
      </c>
      <c r="C64" s="118"/>
      <c r="D64" s="1066" t="str">
        <f ca="1">' '!A298</f>
        <v>Nous pouvons standardiser certaines activités clés</v>
      </c>
      <c r="E64" s="1066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08"/>
      <c r="S64" s="121">
        <v>8</v>
      </c>
      <c r="T64" s="116"/>
      <c r="U64" s="117"/>
      <c r="V64" s="21"/>
      <c r="W64" s="21"/>
      <c r="X64" s="21"/>
      <c r="Y64" s="21"/>
      <c r="Z64" s="21"/>
    </row>
    <row r="65" spans="2:26" ht="31.5" customHeight="1" x14ac:dyDescent="0.3">
      <c r="B65" s="119">
        <v>8.1999999999999993</v>
      </c>
      <c r="C65" s="118"/>
      <c r="D65" s="1066" t="str">
        <f ca="1">' '!A299</f>
        <v>Nous pourrions améliorer notre performance de manière générale</v>
      </c>
      <c r="E65" s="1066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08"/>
      <c r="S65" s="121">
        <v>5</v>
      </c>
      <c r="T65" s="116"/>
      <c r="U65" s="117"/>
      <c r="V65" s="21"/>
      <c r="W65" s="21"/>
      <c r="X65" s="21"/>
      <c r="Y65" s="21"/>
      <c r="Z65" s="21"/>
    </row>
    <row r="66" spans="2:26" ht="31.5" customHeight="1" x14ac:dyDescent="0.3">
      <c r="B66" s="119">
        <v>8.3000000000000007</v>
      </c>
      <c r="C66" s="118"/>
      <c r="D66" s="1066" t="str">
        <f ca="1">' '!A300</f>
        <v>Un support informatique pourrait améliorer notre performance</v>
      </c>
      <c r="E66" s="1066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08"/>
      <c r="S66" s="121">
        <v>2</v>
      </c>
      <c r="T66" s="116"/>
      <c r="U66" s="117"/>
      <c r="V66" s="21"/>
      <c r="W66" s="21"/>
      <c r="X66" s="21"/>
      <c r="Y66" s="21"/>
      <c r="Z66" s="21"/>
    </row>
    <row r="67" spans="2:26" ht="31.5" customHeight="1" x14ac:dyDescent="0.3">
      <c r="B67" s="119">
        <v>8.4</v>
      </c>
      <c r="C67" s="118"/>
      <c r="D67" s="1066" t="str">
        <f ca="1">' '!A301</f>
        <v>Des activités clés pourraient être perturbées</v>
      </c>
      <c r="E67" s="1066"/>
      <c r="G67" s="120"/>
      <c r="H67" s="120"/>
      <c r="I67" s="120"/>
      <c r="J67" s="120"/>
      <c r="K67" s="120"/>
      <c r="L67" s="120"/>
      <c r="M67" s="120"/>
      <c r="N67" s="120"/>
      <c r="O67" s="120"/>
      <c r="P67" s="120"/>
      <c r="Q67" s="120"/>
      <c r="R67" s="108"/>
      <c r="S67" s="121">
        <v>6</v>
      </c>
      <c r="T67" s="116"/>
      <c r="U67" s="117"/>
      <c r="V67" s="21"/>
      <c r="W67" s="21"/>
      <c r="X67" s="21"/>
      <c r="Y67" s="21"/>
      <c r="Z67" s="21"/>
    </row>
    <row r="68" spans="2:26" ht="31.5" customHeight="1" x14ac:dyDescent="0.3">
      <c r="B68" s="119">
        <v>8.5</v>
      </c>
      <c r="C68" s="118"/>
      <c r="D68" s="1066" t="str">
        <f ca="1">' '!A302</f>
        <v>La qualité de nos activités est menacée</v>
      </c>
      <c r="E68" s="1066"/>
      <c r="G68" s="120"/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08"/>
      <c r="S68" s="121">
        <v>7</v>
      </c>
      <c r="T68" s="116"/>
      <c r="U68" s="117"/>
      <c r="V68" s="21"/>
      <c r="W68" s="21"/>
      <c r="X68" s="21"/>
      <c r="Y68" s="21"/>
      <c r="Z68" s="21"/>
    </row>
    <row r="69" spans="2:26" ht="15.6" x14ac:dyDescent="0.3">
      <c r="B69" s="101">
        <v>9</v>
      </c>
      <c r="C69" s="102"/>
      <c r="D69" s="1064" t="s">
        <v>554</v>
      </c>
      <c r="E69" s="1064"/>
      <c r="G69" s="104"/>
      <c r="H69" s="104"/>
      <c r="I69" s="104"/>
      <c r="J69" s="104"/>
      <c r="K69" s="104"/>
      <c r="L69" s="104"/>
      <c r="M69" s="104"/>
      <c r="N69" s="105">
        <f>SUM(B193:B200)</f>
        <v>33</v>
      </c>
      <c r="O69" s="106" t="s">
        <v>547</v>
      </c>
      <c r="P69" s="105">
        <v>40</v>
      </c>
      <c r="Q69" s="107"/>
      <c r="R69" s="108"/>
      <c r="S69" s="109"/>
      <c r="T69" s="116"/>
      <c r="U69" s="117"/>
      <c r="V69" s="21"/>
      <c r="W69" s="21"/>
      <c r="X69" s="21"/>
      <c r="Y69" s="21"/>
      <c r="Z69" s="21"/>
    </row>
    <row r="70" spans="2:26" ht="31.5" customHeight="1" x14ac:dyDescent="0.3">
      <c r="B70" s="114">
        <v>9.1</v>
      </c>
      <c r="C70" s="34"/>
      <c r="D70" s="1059" t="str">
        <f ca="1">' '!A304</f>
        <v>Des opportunités d'externationalisation (outsourcing) existent</v>
      </c>
      <c r="E70" s="1059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08"/>
      <c r="S70" s="125">
        <v>10</v>
      </c>
      <c r="T70" s="116"/>
      <c r="U70" s="117"/>
      <c r="V70" s="21"/>
      <c r="W70" s="21"/>
      <c r="X70" s="21"/>
      <c r="Y70" s="21"/>
      <c r="Z70" s="21"/>
    </row>
    <row r="71" spans="2:26" ht="31.5" customHeight="1" x14ac:dyDescent="0.3">
      <c r="B71" s="114">
        <v>9.1999999999999993</v>
      </c>
      <c r="C71" s="34"/>
      <c r="D71" s="1059" t="str">
        <f ca="1">' '!A305</f>
        <v>Une collaboration plus étroite avec nos partenaires nous aiderait à nous concentrer sur nos activités clés</v>
      </c>
      <c r="E71" s="1059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08"/>
      <c r="S71" s="125">
        <v>7</v>
      </c>
      <c r="T71" s="116"/>
      <c r="U71" s="117"/>
      <c r="V71" s="21"/>
      <c r="W71" s="21"/>
      <c r="X71" s="21"/>
      <c r="Y71" s="21"/>
      <c r="Z71" s="21"/>
    </row>
    <row r="72" spans="2:26" ht="31.5" customHeight="1" x14ac:dyDescent="0.3">
      <c r="B72" s="114">
        <v>9.3000000000000007</v>
      </c>
      <c r="C72" s="34"/>
      <c r="D72" s="1059" t="str">
        <f ca="1">' '!A306</f>
        <v>Il existe des opportunités de ventes-croisées/associées avec nos partenaires</v>
      </c>
      <c r="E72" s="1059"/>
      <c r="G72" s="124"/>
      <c r="H72" s="124"/>
      <c r="I72" s="124"/>
      <c r="J72" s="124"/>
      <c r="K72" s="124"/>
      <c r="L72" s="124"/>
      <c r="M72" s="124"/>
      <c r="N72" s="124"/>
      <c r="O72" s="124"/>
      <c r="P72" s="124"/>
      <c r="Q72" s="124"/>
      <c r="R72" s="108"/>
      <c r="S72" s="125">
        <v>5</v>
      </c>
      <c r="T72" s="116"/>
      <c r="U72" s="117"/>
      <c r="V72" s="21"/>
      <c r="W72" s="21"/>
      <c r="X72" s="21"/>
      <c r="Y72" s="21"/>
      <c r="Z72" s="21"/>
    </row>
    <row r="73" spans="2:26" ht="31.5" customHeight="1" x14ac:dyDescent="0.3">
      <c r="B73" s="114">
        <v>9.4</v>
      </c>
      <c r="C73" s="34"/>
      <c r="D73" s="1059" t="str">
        <f ca="1">' '!A307</f>
        <v>Les canaux de distribution de partenaires pourraient nous aider à toucher davantage de clients</v>
      </c>
      <c r="E73" s="1059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08"/>
      <c r="S73" s="125">
        <v>6</v>
      </c>
      <c r="T73" s="116"/>
      <c r="U73" s="117"/>
      <c r="V73" s="21"/>
      <c r="W73" s="21"/>
      <c r="X73" s="21"/>
      <c r="Y73" s="21"/>
      <c r="Z73" s="21"/>
    </row>
    <row r="74" spans="2:26" ht="31.5" customHeight="1" x14ac:dyDescent="0.3">
      <c r="B74" s="114">
        <v>9.5</v>
      </c>
      <c r="C74" s="34"/>
      <c r="D74" s="1059" t="str">
        <f ca="1">' '!A308</f>
        <v>Nos partenaires pourraient compléter notre proposition de valeur</v>
      </c>
      <c r="E74" s="1059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08"/>
      <c r="S74" s="125">
        <v>9</v>
      </c>
      <c r="T74" s="116"/>
      <c r="U74" s="117"/>
      <c r="V74" s="21"/>
      <c r="W74" s="21"/>
      <c r="X74" s="21"/>
      <c r="Y74" s="21"/>
      <c r="Z74" s="21"/>
    </row>
    <row r="75" spans="2:26" ht="31.5" customHeight="1" x14ac:dyDescent="0.3">
      <c r="B75" s="114">
        <v>9.6</v>
      </c>
      <c r="C75" s="34"/>
      <c r="D75" s="1059" t="str">
        <f ca="1">' '!A309</f>
        <v>Nous risquons de perdre des partenaires</v>
      </c>
      <c r="E75" s="1059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08"/>
      <c r="S75" s="125">
        <v>6</v>
      </c>
      <c r="T75" s="116"/>
      <c r="U75" s="117"/>
      <c r="V75" s="21"/>
      <c r="W75" s="21"/>
      <c r="X75" s="21"/>
      <c r="Y75" s="21"/>
      <c r="Z75" s="21"/>
    </row>
    <row r="76" spans="2:26" ht="31.5" customHeight="1" x14ac:dyDescent="0.3">
      <c r="B76" s="114">
        <v>9.6999999999999993</v>
      </c>
      <c r="C76" s="34"/>
      <c r="D76" s="1059" t="str">
        <f ca="1">' '!A310</f>
        <v>Nos partenaires pourraient collaborer avec des concurrents</v>
      </c>
      <c r="E76" s="1059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08"/>
      <c r="S76" s="125">
        <v>10</v>
      </c>
      <c r="T76" s="116"/>
      <c r="U76" s="117"/>
      <c r="V76" s="21"/>
      <c r="W76" s="21"/>
      <c r="X76" s="21"/>
      <c r="Y76" s="21"/>
      <c r="Z76" s="21"/>
    </row>
    <row r="77" spans="2:26" ht="31.5" customHeight="1" x14ac:dyDescent="0.3">
      <c r="B77" s="114">
        <v>9.8000000000000007</v>
      </c>
      <c r="C77" s="34"/>
      <c r="D77" s="1059" t="str">
        <f ca="1">' '!A311</f>
        <v>Nous sommes trop dépendants de certains partenaires</v>
      </c>
      <c r="E77" s="1059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08"/>
      <c r="S77" s="125">
        <v>10</v>
      </c>
      <c r="T77" s="116"/>
      <c r="U77" s="117"/>
      <c r="V77" s="21"/>
      <c r="W77" s="21"/>
      <c r="X77" s="21"/>
      <c r="Y77" s="21"/>
      <c r="Z77" s="21"/>
    </row>
    <row r="78" spans="2:26" ht="5.25" customHeight="1" x14ac:dyDescent="0.3">
      <c r="B78" s="131"/>
      <c r="D78" s="1067"/>
      <c r="E78" s="1067"/>
      <c r="F78" s="1067"/>
      <c r="G78" s="1067"/>
      <c r="H78" s="1067"/>
      <c r="I78" s="1067"/>
      <c r="J78" s="1067"/>
      <c r="K78" s="1067"/>
      <c r="L78" s="1067"/>
      <c r="M78" s="1067"/>
      <c r="N78" s="1067"/>
      <c r="O78" s="1067"/>
      <c r="P78" s="1067"/>
      <c r="Q78" s="1067"/>
      <c r="R78" s="1067"/>
      <c r="S78" s="1067"/>
      <c r="T78" s="1067"/>
      <c r="U78" s="1067"/>
      <c r="V78" s="132"/>
      <c r="Z78" s="177"/>
    </row>
    <row r="79" spans="2:26" ht="13.5" customHeight="1" x14ac:dyDescent="0.3">
      <c r="B79" s="335" t="s">
        <v>1776</v>
      </c>
      <c r="C79"/>
      <c r="D79" s="51"/>
      <c r="E79" s="133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134"/>
      <c r="V79" s="135"/>
      <c r="W79" s="136"/>
      <c r="X79" s="136"/>
      <c r="Z79" s="177"/>
    </row>
    <row r="80" spans="2:26" ht="8.25" customHeight="1" x14ac:dyDescent="0.3">
      <c r="B80" s="56"/>
      <c r="C80" s="56"/>
      <c r="D80" s="51"/>
      <c r="E80" s="51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134"/>
      <c r="V80" s="135"/>
      <c r="W80" s="136"/>
      <c r="X80" s="136"/>
    </row>
    <row r="81" spans="2:25" ht="14.25" customHeight="1" x14ac:dyDescent="0.3">
      <c r="B81" s="56"/>
      <c r="C81" s="56"/>
      <c r="D81" s="51"/>
      <c r="E81" s="51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134"/>
      <c r="V81" s="135"/>
      <c r="W81" s="136"/>
      <c r="X81" s="136"/>
    </row>
    <row r="82" spans="2:25" x14ac:dyDescent="0.3">
      <c r="B82" s="137" t="str">
        <f>D10</f>
        <v>CUSTOMER RELATIONSHIP</v>
      </c>
      <c r="C82" s="137">
        <f>5/P10*N10</f>
        <v>3.2857142857142856</v>
      </c>
      <c r="D82" s="1069"/>
      <c r="E82" s="1069"/>
      <c r="F82" s="1069"/>
      <c r="G82" s="1069"/>
      <c r="H82" s="1069"/>
      <c r="I82" s="1069"/>
      <c r="J82" s="1069"/>
      <c r="K82" s="1069"/>
      <c r="L82" s="1069"/>
      <c r="M82" s="1069"/>
      <c r="N82" s="1069"/>
      <c r="O82" s="1069"/>
      <c r="P82" s="1069"/>
      <c r="Q82" s="1069"/>
      <c r="R82" s="1069"/>
      <c r="S82" s="1069"/>
      <c r="T82" s="1069"/>
      <c r="U82" s="1069"/>
      <c r="V82" s="132"/>
    </row>
    <row r="83" spans="2:25" x14ac:dyDescent="0.3">
      <c r="B83" s="137" t="str">
        <f>D18</f>
        <v>REVENUE STREAMS</v>
      </c>
      <c r="C83" s="137">
        <f>5/P18*N18</f>
        <v>2.75</v>
      </c>
      <c r="D83" s="1069"/>
      <c r="E83" s="1069"/>
      <c r="F83" s="1069"/>
      <c r="G83" s="1069"/>
      <c r="H83" s="1069"/>
      <c r="I83" s="1069"/>
      <c r="J83" s="1069"/>
      <c r="K83" s="1069"/>
      <c r="L83" s="1069"/>
      <c r="M83" s="1069"/>
      <c r="N83" s="1069"/>
      <c r="O83" s="1069"/>
      <c r="P83" s="1069"/>
      <c r="Q83" s="1069"/>
      <c r="R83" s="1069"/>
      <c r="S83" s="1069"/>
      <c r="T83" s="1069"/>
      <c r="U83" s="1069"/>
      <c r="V83" s="132"/>
    </row>
    <row r="84" spans="2:25" x14ac:dyDescent="0.3">
      <c r="B84" s="137" t="str">
        <f>D27</f>
        <v>COST STRUCTURE</v>
      </c>
      <c r="C84" s="137">
        <f>5/P27*N27</f>
        <v>3</v>
      </c>
      <c r="D84" s="1069"/>
      <c r="E84" s="1069"/>
      <c r="F84" s="1069"/>
      <c r="G84" s="1069"/>
      <c r="H84" s="1069"/>
      <c r="I84" s="1069"/>
      <c r="J84" s="1069"/>
      <c r="K84" s="1069"/>
      <c r="L84" s="1069"/>
      <c r="M84" s="1069"/>
      <c r="N84" s="1069"/>
      <c r="O84" s="1069"/>
      <c r="P84" s="1069"/>
      <c r="Q84" s="1069"/>
      <c r="R84" s="1069"/>
      <c r="S84" s="1069"/>
      <c r="T84" s="1069"/>
      <c r="U84" s="1069"/>
      <c r="V84" s="132"/>
    </row>
    <row r="85" spans="2:25" x14ac:dyDescent="0.3">
      <c r="B85" s="137" t="str">
        <f>D31</f>
        <v>CUSTOMER SEGMENTS</v>
      </c>
      <c r="C85" s="137">
        <f>5/P31*N31</f>
        <v>3</v>
      </c>
      <c r="D85" s="1069"/>
      <c r="E85" s="1069"/>
      <c r="F85" s="1069"/>
      <c r="G85" s="1069"/>
      <c r="H85" s="1069"/>
      <c r="I85" s="1069"/>
      <c r="J85" s="1069"/>
      <c r="K85" s="1069"/>
      <c r="L85" s="1069"/>
      <c r="M85" s="1069"/>
      <c r="N85" s="1069"/>
      <c r="O85" s="1069"/>
      <c r="P85" s="1069"/>
      <c r="Q85" s="1069"/>
      <c r="R85" s="1069"/>
      <c r="S85" s="1069"/>
      <c r="T85" s="1069"/>
      <c r="U85" s="1069"/>
      <c r="V85" s="132"/>
    </row>
    <row r="86" spans="2:25" x14ac:dyDescent="0.3">
      <c r="B86" s="137" t="str">
        <f>D40</f>
        <v>CHANNELS</v>
      </c>
      <c r="C86" s="137">
        <f>5/P40*N40</f>
        <v>2.8571428571428568</v>
      </c>
      <c r="D86" s="1069"/>
      <c r="E86" s="1069"/>
      <c r="F86" s="1069"/>
      <c r="G86" s="1069"/>
      <c r="H86" s="1069"/>
      <c r="I86" s="1069"/>
      <c r="J86" s="1069"/>
      <c r="K86" s="1069"/>
      <c r="L86" s="1069"/>
      <c r="M86" s="1069"/>
      <c r="N86" s="1069"/>
      <c r="O86" s="1069"/>
      <c r="P86" s="1069"/>
      <c r="Q86" s="1069"/>
      <c r="R86" s="1069"/>
      <c r="S86" s="1069"/>
      <c r="T86" s="1069"/>
      <c r="U86" s="1069"/>
      <c r="V86" s="132"/>
    </row>
    <row r="87" spans="2:25" x14ac:dyDescent="0.3">
      <c r="B87" s="137" t="str">
        <f>D48</f>
        <v>CUSTOMER RELATIONSHIP</v>
      </c>
      <c r="C87" s="137">
        <f>5/40*23</f>
        <v>2.875</v>
      </c>
      <c r="D87" s="1069"/>
      <c r="E87" s="1069"/>
      <c r="F87" s="1069"/>
      <c r="G87" s="1069"/>
      <c r="H87" s="1069"/>
      <c r="I87" s="1069"/>
      <c r="J87" s="1069"/>
      <c r="K87" s="1069"/>
      <c r="L87" s="1069"/>
      <c r="M87" s="1069"/>
      <c r="N87" s="1069"/>
      <c r="O87" s="1069"/>
      <c r="P87" s="1069"/>
      <c r="Q87" s="1069"/>
      <c r="R87" s="1069"/>
      <c r="S87" s="1069"/>
      <c r="T87" s="1069"/>
      <c r="U87" s="1069"/>
      <c r="V87" s="132"/>
    </row>
    <row r="88" spans="2:25" x14ac:dyDescent="0.3">
      <c r="B88" s="137" t="str">
        <f>D56</f>
        <v>KEY RESSOURCES</v>
      </c>
      <c r="C88" s="137">
        <f>5/P56*N56</f>
        <v>2.833333333333333</v>
      </c>
      <c r="D88" s="1069"/>
      <c r="E88" s="1069"/>
      <c r="F88" s="1069"/>
      <c r="G88" s="1069"/>
      <c r="H88" s="1069"/>
      <c r="I88" s="1069"/>
      <c r="J88" s="1069"/>
      <c r="K88" s="1069"/>
      <c r="L88" s="1069"/>
      <c r="M88" s="1069"/>
      <c r="N88" s="1069"/>
      <c r="O88" s="1069"/>
      <c r="P88" s="1069"/>
      <c r="Q88" s="1069"/>
      <c r="R88" s="1069"/>
      <c r="S88" s="1069"/>
      <c r="T88" s="1069"/>
      <c r="U88" s="1069"/>
      <c r="V88" s="132"/>
    </row>
    <row r="89" spans="2:25" x14ac:dyDescent="0.3">
      <c r="B89" s="137" t="str">
        <f>D63</f>
        <v>KEY ACTIVITIES</v>
      </c>
      <c r="C89" s="137">
        <f>5/P63*N63</f>
        <v>3</v>
      </c>
      <c r="D89" s="1069"/>
      <c r="E89" s="1069"/>
      <c r="F89" s="1069"/>
      <c r="G89" s="1069"/>
      <c r="H89" s="1069"/>
      <c r="I89" s="1069"/>
      <c r="J89" s="1069"/>
      <c r="K89" s="1069"/>
      <c r="L89" s="1069"/>
      <c r="M89" s="1069"/>
      <c r="N89" s="1069"/>
      <c r="O89" s="1069"/>
      <c r="P89" s="1069"/>
      <c r="Q89" s="1069"/>
      <c r="R89" s="1069"/>
      <c r="S89" s="1069"/>
      <c r="T89" s="1069"/>
      <c r="U89" s="1069"/>
      <c r="V89" s="21"/>
      <c r="W89" s="21"/>
      <c r="X89" s="21"/>
      <c r="Y89" s="21"/>
    </row>
    <row r="90" spans="2:25" x14ac:dyDescent="0.3">
      <c r="B90" s="137" t="str">
        <f>D69</f>
        <v>KEY PARTNERSHIP</v>
      </c>
      <c r="C90" s="137">
        <f>5/P69*N69</f>
        <v>4.125</v>
      </c>
      <c r="D90" s="1069"/>
      <c r="E90" s="1069"/>
      <c r="F90" s="1069"/>
      <c r="G90" s="1069"/>
      <c r="H90" s="1069"/>
      <c r="I90" s="1069"/>
      <c r="J90" s="1069"/>
      <c r="K90" s="1069"/>
      <c r="L90" s="1069"/>
      <c r="M90" s="1069"/>
      <c r="N90" s="1069"/>
      <c r="O90" s="1069"/>
      <c r="P90" s="1069"/>
      <c r="Q90" s="1069"/>
      <c r="R90" s="1069"/>
      <c r="S90" s="1069"/>
      <c r="T90" s="1069"/>
      <c r="U90" s="1069"/>
      <c r="V90" s="21"/>
      <c r="W90" s="21"/>
      <c r="X90" s="21"/>
      <c r="Y90" s="21"/>
    </row>
    <row r="91" spans="2:25" x14ac:dyDescent="0.3">
      <c r="B91" s="138"/>
      <c r="C91" s="60"/>
      <c r="D91" s="1067"/>
      <c r="E91" s="1067"/>
      <c r="F91" s="1067"/>
      <c r="G91" s="1067"/>
      <c r="H91" s="1067"/>
      <c r="I91" s="1067"/>
      <c r="J91" s="1067"/>
      <c r="K91" s="1067"/>
      <c r="L91" s="1067"/>
      <c r="M91" s="1067"/>
      <c r="N91" s="1067"/>
      <c r="O91" s="1067"/>
      <c r="P91" s="1067"/>
      <c r="Q91" s="1067"/>
      <c r="R91" s="1067"/>
      <c r="S91" s="1067"/>
      <c r="T91" s="1067"/>
      <c r="U91" s="1067"/>
      <c r="V91" s="21"/>
      <c r="W91" s="21"/>
      <c r="X91" s="21"/>
      <c r="Y91" s="21"/>
    </row>
    <row r="92" spans="2:25" x14ac:dyDescent="0.3">
      <c r="B92" s="138"/>
      <c r="C92" s="60"/>
      <c r="D92" s="1067"/>
      <c r="E92" s="1067"/>
      <c r="F92" s="1067"/>
      <c r="G92" s="1067"/>
      <c r="H92" s="1067"/>
      <c r="I92" s="1067"/>
      <c r="J92" s="1067"/>
      <c r="K92" s="1067"/>
      <c r="L92" s="1067"/>
      <c r="M92" s="1067"/>
      <c r="N92" s="1067"/>
      <c r="O92" s="1067"/>
      <c r="P92" s="1067"/>
      <c r="Q92" s="1067"/>
      <c r="R92" s="1067"/>
      <c r="S92" s="1067"/>
      <c r="T92" s="1067"/>
      <c r="U92" s="1067"/>
      <c r="V92" s="21"/>
      <c r="W92" s="21"/>
      <c r="X92" s="21"/>
      <c r="Y92" s="21"/>
    </row>
    <row r="93" spans="2:25" x14ac:dyDescent="0.3">
      <c r="B93" s="138"/>
      <c r="C93" s="60"/>
      <c r="D93" s="1067"/>
      <c r="E93" s="1067"/>
      <c r="F93" s="1067"/>
      <c r="G93" s="1067"/>
      <c r="H93" s="1067"/>
      <c r="I93" s="1067"/>
      <c r="J93" s="1067"/>
      <c r="K93" s="1067"/>
      <c r="L93" s="1067"/>
      <c r="M93" s="1067"/>
      <c r="N93" s="1067"/>
      <c r="O93" s="1067"/>
      <c r="P93" s="1067"/>
      <c r="Q93" s="1067"/>
      <c r="R93" s="1067"/>
      <c r="S93" s="1067"/>
      <c r="T93" s="1067"/>
      <c r="U93" s="1067"/>
      <c r="V93" s="21"/>
      <c r="W93" s="21"/>
      <c r="X93" s="21"/>
      <c r="Y93" s="21"/>
    </row>
    <row r="94" spans="2:25" x14ac:dyDescent="0.3">
      <c r="B94" s="138"/>
      <c r="C94" s="60"/>
      <c r="D94" s="1067"/>
      <c r="E94" s="1067"/>
      <c r="F94" s="1067"/>
      <c r="G94" s="1067"/>
      <c r="H94" s="1067"/>
      <c r="I94" s="1067"/>
      <c r="J94" s="1067"/>
      <c r="K94" s="1067"/>
      <c r="L94" s="1067"/>
      <c r="M94" s="1067"/>
      <c r="N94" s="1067"/>
      <c r="O94" s="1067"/>
      <c r="P94" s="1067"/>
      <c r="Q94" s="1067"/>
      <c r="R94" s="1067"/>
      <c r="S94" s="1067"/>
      <c r="T94" s="1067"/>
      <c r="U94" s="1067"/>
      <c r="V94" s="21"/>
      <c r="W94" s="21"/>
      <c r="X94" s="21"/>
      <c r="Y94" s="21"/>
    </row>
    <row r="95" spans="2:25" x14ac:dyDescent="0.3">
      <c r="B95" s="137"/>
      <c r="C95" s="60"/>
    </row>
    <row r="96" spans="2:25" x14ac:dyDescent="0.3">
      <c r="B96" s="137"/>
      <c r="C96" s="60"/>
    </row>
    <row r="116" spans="1:27" ht="0.9" customHeight="1" x14ac:dyDescent="0.3">
      <c r="A116" s="96"/>
    </row>
    <row r="117" spans="1:27" x14ac:dyDescent="0.3">
      <c r="B117" s="18"/>
      <c r="Z117" s="139"/>
      <c r="AA117" s="140"/>
    </row>
    <row r="118" spans="1:27" x14ac:dyDescent="0.3">
      <c r="Z118" s="139"/>
      <c r="AA118" s="140"/>
    </row>
    <row r="119" spans="1:27" x14ac:dyDescent="0.3">
      <c r="Z119" s="139"/>
      <c r="AA119" s="140"/>
    </row>
    <row r="120" spans="1:27" x14ac:dyDescent="0.3">
      <c r="Z120" s="139"/>
      <c r="AA120" s="140"/>
    </row>
    <row r="121" spans="1:27" x14ac:dyDescent="0.3">
      <c r="Z121" s="139"/>
      <c r="AA121" s="140"/>
    </row>
    <row r="122" spans="1:27" x14ac:dyDescent="0.3">
      <c r="Z122" s="139"/>
      <c r="AA122" s="140"/>
    </row>
    <row r="123" spans="1:27" x14ac:dyDescent="0.3">
      <c r="Z123" s="139"/>
      <c r="AA123" s="140"/>
    </row>
    <row r="124" spans="1:27" x14ac:dyDescent="0.3">
      <c r="Z124" s="139"/>
      <c r="AA124" s="140"/>
    </row>
    <row r="125" spans="1:27" x14ac:dyDescent="0.3">
      <c r="A125" s="132"/>
      <c r="B125" s="100"/>
      <c r="C125" s="100"/>
      <c r="D125" s="60"/>
      <c r="Z125" s="139"/>
      <c r="AA125" s="140"/>
    </row>
    <row r="126" spans="1:27" x14ac:dyDescent="0.3">
      <c r="Z126" s="139"/>
      <c r="AA126" s="140"/>
    </row>
    <row r="127" spans="1:27" x14ac:dyDescent="0.3">
      <c r="Z127" s="139"/>
      <c r="AA127" s="140"/>
    </row>
    <row r="128" spans="1:27" x14ac:dyDescent="0.3">
      <c r="Z128" s="139"/>
      <c r="AA128" s="140"/>
    </row>
    <row r="129" spans="1:27" x14ac:dyDescent="0.3">
      <c r="Z129" s="139"/>
      <c r="AA129" s="140"/>
    </row>
    <row r="130" spans="1:27" x14ac:dyDescent="0.3">
      <c r="A130" s="178">
        <f>A133/590</f>
        <v>0.61016949152542377</v>
      </c>
      <c r="B130" s="179">
        <f>(B133/205)</f>
        <v>0.6</v>
      </c>
      <c r="C130" s="179" t="s">
        <v>555</v>
      </c>
      <c r="D130" s="179">
        <f>(D133/2950)</f>
        <v>0.38677966101694916</v>
      </c>
      <c r="E130" s="143"/>
      <c r="F130" s="144"/>
      <c r="G130" s="143"/>
      <c r="H130" s="143"/>
      <c r="I130" s="147"/>
      <c r="Z130" s="139"/>
      <c r="AA130" s="140"/>
    </row>
    <row r="131" spans="1:27" x14ac:dyDescent="0.3">
      <c r="A131" s="154"/>
      <c r="B131" s="156"/>
      <c r="C131" s="156"/>
      <c r="D131" s="156"/>
      <c r="E131" s="150"/>
      <c r="F131" s="139"/>
      <c r="G131" s="150"/>
      <c r="H131" s="150"/>
      <c r="I131" s="153"/>
      <c r="Z131" s="139"/>
      <c r="AA131" s="140"/>
    </row>
    <row r="132" spans="1:27" x14ac:dyDescent="0.3">
      <c r="A132" s="180"/>
      <c r="B132" s="160"/>
      <c r="C132" s="139"/>
      <c r="D132" s="139"/>
      <c r="E132" s="150"/>
      <c r="F132" s="139"/>
      <c r="G132" s="150"/>
      <c r="H132" s="150"/>
      <c r="I132" s="153"/>
      <c r="Z132" s="139"/>
      <c r="AA132" s="140"/>
    </row>
    <row r="133" spans="1:27" x14ac:dyDescent="0.3">
      <c r="A133" s="154">
        <f>SUM(A134:A200)</f>
        <v>360</v>
      </c>
      <c r="B133" s="156">
        <f>SUM(B134:B180)</f>
        <v>123</v>
      </c>
      <c r="C133" s="156"/>
      <c r="D133" s="156">
        <f>SUM(D134:D200)</f>
        <v>1141</v>
      </c>
      <c r="E133" s="139"/>
      <c r="F133" s="139" t="s">
        <v>556</v>
      </c>
      <c r="G133" s="150"/>
      <c r="H133" s="150"/>
      <c r="I133" s="153"/>
      <c r="Z133" s="139"/>
      <c r="AA133" s="140"/>
    </row>
    <row r="134" spans="1:27" x14ac:dyDescent="0.3">
      <c r="A134" s="154">
        <f t="shared" ref="A134:A140" si="0">S11</f>
        <v>9</v>
      </c>
      <c r="B134" s="156">
        <v>2</v>
      </c>
      <c r="C134" s="156">
        <v>1</v>
      </c>
      <c r="D134" s="156">
        <f t="shared" ref="D134:D140" si="1">B134*S11</f>
        <v>18</v>
      </c>
      <c r="E134" s="150">
        <v>1</v>
      </c>
      <c r="F134" s="150">
        <f>COUNTIF(B134:B200,1)</f>
        <v>5</v>
      </c>
      <c r="G134" s="150"/>
      <c r="H134" s="150"/>
      <c r="I134" s="153"/>
      <c r="Z134" s="139"/>
      <c r="AA134" s="140"/>
    </row>
    <row r="135" spans="1:27" x14ac:dyDescent="0.3">
      <c r="A135" s="154">
        <f t="shared" si="0"/>
        <v>8</v>
      </c>
      <c r="B135" s="156">
        <v>3</v>
      </c>
      <c r="C135" s="156">
        <v>1</v>
      </c>
      <c r="D135" s="156">
        <f t="shared" si="1"/>
        <v>24</v>
      </c>
      <c r="E135" s="150">
        <v>2</v>
      </c>
      <c r="F135" s="150">
        <f>COUNTIF(B134:B200,2)</f>
        <v>17</v>
      </c>
      <c r="G135" s="150"/>
      <c r="H135" s="150"/>
      <c r="I135" s="153"/>
      <c r="Z135" s="139"/>
      <c r="AA135" s="140"/>
    </row>
    <row r="136" spans="1:27" x14ac:dyDescent="0.3">
      <c r="A136" s="154">
        <f t="shared" si="0"/>
        <v>7</v>
      </c>
      <c r="B136" s="156">
        <v>4</v>
      </c>
      <c r="C136" s="156">
        <v>1</v>
      </c>
      <c r="D136" s="156">
        <f t="shared" si="1"/>
        <v>28</v>
      </c>
      <c r="E136" s="150">
        <v>3</v>
      </c>
      <c r="F136" s="150">
        <f>COUNTIF(B134:B200,3)</f>
        <v>15</v>
      </c>
      <c r="G136" s="150"/>
      <c r="H136" s="150"/>
      <c r="I136" s="153"/>
      <c r="Z136" s="139"/>
      <c r="AA136" s="140"/>
    </row>
    <row r="137" spans="1:27" x14ac:dyDescent="0.3">
      <c r="A137" s="154">
        <f t="shared" si="0"/>
        <v>6</v>
      </c>
      <c r="B137" s="156">
        <v>4</v>
      </c>
      <c r="C137" s="156">
        <v>1</v>
      </c>
      <c r="D137" s="156">
        <f t="shared" si="1"/>
        <v>24</v>
      </c>
      <c r="E137" s="150">
        <v>4</v>
      </c>
      <c r="F137" s="150">
        <f>COUNTIF(B134:B200,4)</f>
        <v>11</v>
      </c>
      <c r="G137" s="150"/>
      <c r="H137" s="150"/>
      <c r="I137" s="153"/>
      <c r="Z137" s="139"/>
      <c r="AA137" s="140"/>
    </row>
    <row r="138" spans="1:27" x14ac:dyDescent="0.3">
      <c r="A138" s="154">
        <f t="shared" si="0"/>
        <v>4</v>
      </c>
      <c r="B138" s="156">
        <v>3</v>
      </c>
      <c r="C138" s="156">
        <v>1</v>
      </c>
      <c r="D138" s="156">
        <f t="shared" si="1"/>
        <v>12</v>
      </c>
      <c r="E138" s="150">
        <v>5</v>
      </c>
      <c r="F138" s="150">
        <f>COUNTIF(B134:B200,5)</f>
        <v>11</v>
      </c>
      <c r="G138" s="150"/>
      <c r="H138" s="150"/>
      <c r="I138" s="153"/>
      <c r="Z138" s="139"/>
      <c r="AA138" s="140"/>
    </row>
    <row r="139" spans="1:27" x14ac:dyDescent="0.3">
      <c r="A139" s="154">
        <f t="shared" si="0"/>
        <v>3</v>
      </c>
      <c r="B139" s="156">
        <v>2</v>
      </c>
      <c r="C139" s="156">
        <v>1</v>
      </c>
      <c r="D139" s="156">
        <f t="shared" si="1"/>
        <v>6</v>
      </c>
      <c r="E139" s="150"/>
      <c r="F139" s="139"/>
      <c r="G139" s="150"/>
      <c r="H139" s="150"/>
      <c r="I139" s="153"/>
      <c r="Z139" s="139"/>
      <c r="AA139" s="140"/>
    </row>
    <row r="140" spans="1:27" x14ac:dyDescent="0.3">
      <c r="A140" s="154">
        <f t="shared" si="0"/>
        <v>3</v>
      </c>
      <c r="B140" s="156">
        <v>5</v>
      </c>
      <c r="C140" s="156">
        <v>1</v>
      </c>
      <c r="D140" s="156">
        <f t="shared" si="1"/>
        <v>15</v>
      </c>
      <c r="E140" s="150"/>
      <c r="F140" s="139"/>
      <c r="G140" s="150"/>
      <c r="H140" s="150"/>
      <c r="I140" s="153"/>
      <c r="Z140" s="139"/>
      <c r="AA140" s="140"/>
    </row>
    <row r="141" spans="1:27" x14ac:dyDescent="0.3">
      <c r="A141" s="154"/>
      <c r="B141" s="156"/>
      <c r="C141" s="156"/>
      <c r="D141" s="156"/>
      <c r="E141" s="150"/>
      <c r="F141" s="139"/>
      <c r="G141" s="150"/>
      <c r="H141" s="150"/>
      <c r="I141" s="153"/>
      <c r="V141" s="139"/>
      <c r="W141" s="160"/>
      <c r="X141" s="160"/>
      <c r="Y141" s="139"/>
      <c r="Z141" s="139"/>
      <c r="AA141" s="140"/>
    </row>
    <row r="142" spans="1:27" x14ac:dyDescent="0.3">
      <c r="A142" s="154">
        <f t="shared" ref="A142:A149" si="2">S19</f>
        <v>10</v>
      </c>
      <c r="B142" s="156">
        <v>1</v>
      </c>
      <c r="C142" s="156">
        <v>1</v>
      </c>
      <c r="D142" s="156">
        <f t="shared" ref="D142:D149" si="3">B142*S19</f>
        <v>10</v>
      </c>
      <c r="E142" s="150"/>
      <c r="F142" s="139"/>
      <c r="G142" s="150"/>
      <c r="H142" s="150"/>
      <c r="I142" s="153"/>
    </row>
    <row r="143" spans="1:27" x14ac:dyDescent="0.3">
      <c r="A143" s="154">
        <f t="shared" si="2"/>
        <v>9</v>
      </c>
      <c r="B143" s="156">
        <v>2</v>
      </c>
      <c r="C143" s="156">
        <v>1</v>
      </c>
      <c r="D143" s="156">
        <f t="shared" si="3"/>
        <v>18</v>
      </c>
      <c r="E143" s="150"/>
      <c r="F143" s="139"/>
      <c r="G143" s="150"/>
      <c r="H143" s="150"/>
      <c r="I143" s="153"/>
    </row>
    <row r="144" spans="1:27" x14ac:dyDescent="0.3">
      <c r="A144" s="154">
        <f t="shared" si="2"/>
        <v>8</v>
      </c>
      <c r="B144" s="156">
        <v>3</v>
      </c>
      <c r="C144" s="156">
        <v>1</v>
      </c>
      <c r="D144" s="156">
        <f t="shared" si="3"/>
        <v>24</v>
      </c>
      <c r="E144" s="150"/>
      <c r="F144" s="139"/>
      <c r="G144" s="150"/>
      <c r="H144" s="150"/>
      <c r="I144" s="153"/>
    </row>
    <row r="145" spans="1:9" x14ac:dyDescent="0.3">
      <c r="A145" s="154">
        <f t="shared" si="2"/>
        <v>7</v>
      </c>
      <c r="B145" s="156">
        <v>2</v>
      </c>
      <c r="C145" s="156">
        <v>1</v>
      </c>
      <c r="D145" s="156">
        <f t="shared" si="3"/>
        <v>14</v>
      </c>
      <c r="E145" s="150"/>
      <c r="F145" s="139"/>
      <c r="G145" s="150"/>
      <c r="H145" s="150"/>
      <c r="I145" s="153"/>
    </row>
    <row r="146" spans="1:9" x14ac:dyDescent="0.3">
      <c r="A146" s="154">
        <f t="shared" si="2"/>
        <v>6</v>
      </c>
      <c r="B146" s="156">
        <v>5</v>
      </c>
      <c r="C146" s="156">
        <v>1</v>
      </c>
      <c r="D146" s="156">
        <f t="shared" si="3"/>
        <v>30</v>
      </c>
      <c r="E146" s="150"/>
      <c r="F146" s="139"/>
      <c r="G146" s="150"/>
      <c r="H146" s="150"/>
      <c r="I146" s="153"/>
    </row>
    <row r="147" spans="1:9" x14ac:dyDescent="0.3">
      <c r="A147" s="154">
        <f t="shared" si="2"/>
        <v>5</v>
      </c>
      <c r="B147" s="156">
        <v>4</v>
      </c>
      <c r="C147" s="156">
        <v>1</v>
      </c>
      <c r="D147" s="156">
        <f t="shared" si="3"/>
        <v>20</v>
      </c>
      <c r="E147" s="150"/>
      <c r="F147" s="139"/>
      <c r="G147" s="150"/>
      <c r="H147" s="150"/>
      <c r="I147" s="153"/>
    </row>
    <row r="148" spans="1:9" x14ac:dyDescent="0.3">
      <c r="A148" s="154">
        <f t="shared" si="2"/>
        <v>4</v>
      </c>
      <c r="B148" s="156">
        <v>3</v>
      </c>
      <c r="C148" s="156">
        <v>1</v>
      </c>
      <c r="D148" s="156">
        <f t="shared" si="3"/>
        <v>12</v>
      </c>
      <c r="E148" s="150"/>
      <c r="F148" s="139"/>
      <c r="G148" s="150"/>
      <c r="H148" s="150"/>
      <c r="I148" s="153"/>
    </row>
    <row r="149" spans="1:9" x14ac:dyDescent="0.3">
      <c r="A149" s="154">
        <f t="shared" si="2"/>
        <v>3</v>
      </c>
      <c r="B149" s="156">
        <v>2</v>
      </c>
      <c r="C149" s="156">
        <v>1</v>
      </c>
      <c r="D149" s="156">
        <f t="shared" si="3"/>
        <v>6</v>
      </c>
      <c r="E149" s="150"/>
      <c r="F149" s="139"/>
      <c r="G149" s="150"/>
      <c r="H149" s="150"/>
      <c r="I149" s="153"/>
    </row>
    <row r="150" spans="1:9" x14ac:dyDescent="0.3">
      <c r="A150" s="154"/>
      <c r="B150" s="156"/>
      <c r="C150" s="156"/>
      <c r="D150" s="156"/>
      <c r="E150" s="150"/>
      <c r="F150" s="139"/>
      <c r="G150" s="150"/>
      <c r="H150" s="150"/>
      <c r="I150" s="153"/>
    </row>
    <row r="151" spans="1:9" x14ac:dyDescent="0.3">
      <c r="A151" s="154">
        <f>S28</f>
        <v>10</v>
      </c>
      <c r="B151" s="156">
        <v>3</v>
      </c>
      <c r="C151" s="156">
        <v>1</v>
      </c>
      <c r="D151" s="156">
        <f>B151*S28</f>
        <v>30</v>
      </c>
      <c r="E151" s="150"/>
      <c r="F151" s="139"/>
      <c r="G151" s="150"/>
      <c r="H151" s="150"/>
      <c r="I151" s="153"/>
    </row>
    <row r="152" spans="1:9" x14ac:dyDescent="0.3">
      <c r="A152" s="154">
        <f>S29</f>
        <v>4</v>
      </c>
      <c r="B152" s="156">
        <v>4</v>
      </c>
      <c r="C152" s="156">
        <v>1</v>
      </c>
      <c r="D152" s="156">
        <f>B152*S29</f>
        <v>16</v>
      </c>
      <c r="E152" s="150"/>
      <c r="F152" s="139"/>
      <c r="G152" s="150"/>
      <c r="H152" s="150"/>
      <c r="I152" s="153"/>
    </row>
    <row r="153" spans="1:9" x14ac:dyDescent="0.3">
      <c r="A153" s="154">
        <f>S30</f>
        <v>10</v>
      </c>
      <c r="B153" s="156">
        <v>2</v>
      </c>
      <c r="C153" s="156">
        <v>1</v>
      </c>
      <c r="D153" s="156">
        <f>B153*S30</f>
        <v>20</v>
      </c>
      <c r="E153" s="150"/>
      <c r="F153" s="139"/>
      <c r="G153" s="150"/>
      <c r="H153" s="150"/>
      <c r="I153" s="153"/>
    </row>
    <row r="154" spans="1:9" x14ac:dyDescent="0.3">
      <c r="A154" s="154"/>
      <c r="B154" s="156"/>
      <c r="C154" s="156"/>
      <c r="D154" s="156"/>
      <c r="E154" s="150"/>
      <c r="F154" s="139"/>
      <c r="G154" s="150"/>
      <c r="H154" s="150"/>
      <c r="I154" s="153"/>
    </row>
    <row r="155" spans="1:9" x14ac:dyDescent="0.3">
      <c r="A155" s="154">
        <f t="shared" ref="A155:A162" si="4">S32</f>
        <v>10</v>
      </c>
      <c r="B155" s="156">
        <v>5</v>
      </c>
      <c r="C155" s="156">
        <v>1</v>
      </c>
      <c r="D155" s="156">
        <f t="shared" ref="D155:D162" si="5">B155*S32</f>
        <v>50</v>
      </c>
      <c r="E155" s="150"/>
      <c r="F155" s="139"/>
      <c r="G155" s="150"/>
      <c r="H155" s="150"/>
      <c r="I155" s="153"/>
    </row>
    <row r="156" spans="1:9" x14ac:dyDescent="0.3">
      <c r="A156" s="154">
        <f t="shared" si="4"/>
        <v>9</v>
      </c>
      <c r="B156" s="156">
        <v>4</v>
      </c>
      <c r="C156" s="156">
        <v>1</v>
      </c>
      <c r="D156" s="156">
        <f t="shared" si="5"/>
        <v>36</v>
      </c>
      <c r="E156" s="150"/>
      <c r="F156" s="139"/>
      <c r="G156" s="150"/>
      <c r="H156" s="150"/>
      <c r="I156" s="153"/>
    </row>
    <row r="157" spans="1:9" x14ac:dyDescent="0.3">
      <c r="A157" s="154">
        <f t="shared" si="4"/>
        <v>8</v>
      </c>
      <c r="B157" s="156">
        <v>3</v>
      </c>
      <c r="C157" s="156">
        <v>1</v>
      </c>
      <c r="D157" s="156">
        <f t="shared" si="5"/>
        <v>24</v>
      </c>
      <c r="E157" s="150"/>
      <c r="F157" s="139"/>
      <c r="G157" s="150"/>
      <c r="H157" s="150"/>
      <c r="I157" s="153"/>
    </row>
    <row r="158" spans="1:9" x14ac:dyDescent="0.3">
      <c r="A158" s="154">
        <f t="shared" si="4"/>
        <v>7</v>
      </c>
      <c r="B158" s="156">
        <v>2</v>
      </c>
      <c r="C158" s="156">
        <v>1</v>
      </c>
      <c r="D158" s="156">
        <f t="shared" si="5"/>
        <v>14</v>
      </c>
      <c r="E158" s="150"/>
      <c r="F158" s="139"/>
      <c r="G158" s="150"/>
      <c r="H158" s="150"/>
      <c r="I158" s="153"/>
    </row>
    <row r="159" spans="1:9" x14ac:dyDescent="0.3">
      <c r="A159" s="154">
        <f t="shared" si="4"/>
        <v>6</v>
      </c>
      <c r="B159" s="156">
        <v>1</v>
      </c>
      <c r="C159" s="156">
        <v>1</v>
      </c>
      <c r="D159" s="156">
        <f t="shared" si="5"/>
        <v>6</v>
      </c>
      <c r="E159" s="150"/>
      <c r="F159" s="139"/>
      <c r="G159" s="150"/>
      <c r="H159" s="150"/>
      <c r="I159" s="153"/>
    </row>
    <row r="160" spans="1:9" x14ac:dyDescent="0.3">
      <c r="A160" s="154">
        <f t="shared" si="4"/>
        <v>5</v>
      </c>
      <c r="B160" s="156">
        <v>2</v>
      </c>
      <c r="C160" s="156">
        <v>1</v>
      </c>
      <c r="D160" s="156">
        <f t="shared" si="5"/>
        <v>10</v>
      </c>
      <c r="E160" s="150"/>
      <c r="F160" s="139"/>
      <c r="G160" s="150"/>
      <c r="H160" s="150"/>
      <c r="I160" s="153"/>
    </row>
    <row r="161" spans="1:9" x14ac:dyDescent="0.3">
      <c r="A161" s="154">
        <f t="shared" si="4"/>
        <v>4</v>
      </c>
      <c r="B161" s="156">
        <v>3</v>
      </c>
      <c r="C161" s="156">
        <v>1</v>
      </c>
      <c r="D161" s="156">
        <f t="shared" si="5"/>
        <v>12</v>
      </c>
      <c r="E161" s="150"/>
      <c r="F161" s="139"/>
      <c r="G161" s="150"/>
      <c r="H161" s="150"/>
      <c r="I161" s="153"/>
    </row>
    <row r="162" spans="1:9" x14ac:dyDescent="0.3">
      <c r="A162" s="154">
        <f t="shared" si="4"/>
        <v>3</v>
      </c>
      <c r="B162" s="156">
        <v>4</v>
      </c>
      <c r="C162" s="156">
        <v>1</v>
      </c>
      <c r="D162" s="156">
        <f t="shared" si="5"/>
        <v>12</v>
      </c>
      <c r="E162" s="150"/>
      <c r="F162" s="139"/>
      <c r="G162" s="150"/>
      <c r="H162" s="150"/>
      <c r="I162" s="153"/>
    </row>
    <row r="163" spans="1:9" x14ac:dyDescent="0.3">
      <c r="A163" s="154"/>
      <c r="B163" s="156"/>
      <c r="C163" s="156"/>
      <c r="D163" s="156"/>
      <c r="E163" s="150"/>
      <c r="F163" s="139"/>
      <c r="G163" s="150"/>
      <c r="H163" s="150"/>
      <c r="I163" s="153"/>
    </row>
    <row r="164" spans="1:9" x14ac:dyDescent="0.3">
      <c r="A164" s="154">
        <f t="shared" ref="A164:A170" si="6">S41</f>
        <v>1</v>
      </c>
      <c r="B164" s="156">
        <v>5</v>
      </c>
      <c r="C164" s="156">
        <v>1</v>
      </c>
      <c r="D164" s="156">
        <f t="shared" ref="D164:D170" si="7">B164*S41</f>
        <v>5</v>
      </c>
      <c r="E164" s="150"/>
      <c r="F164" s="139"/>
      <c r="G164" s="150"/>
      <c r="H164" s="150"/>
      <c r="I164" s="153"/>
    </row>
    <row r="165" spans="1:9" x14ac:dyDescent="0.3">
      <c r="A165" s="154">
        <f t="shared" si="6"/>
        <v>2</v>
      </c>
      <c r="B165" s="156">
        <v>4</v>
      </c>
      <c r="C165" s="156">
        <v>1</v>
      </c>
      <c r="D165" s="156">
        <f t="shared" si="7"/>
        <v>8</v>
      </c>
      <c r="E165" s="150"/>
      <c r="F165" s="139"/>
      <c r="G165" s="150"/>
      <c r="H165" s="150"/>
      <c r="I165" s="153"/>
    </row>
    <row r="166" spans="1:9" x14ac:dyDescent="0.3">
      <c r="A166" s="154">
        <f t="shared" si="6"/>
        <v>3</v>
      </c>
      <c r="B166" s="156">
        <v>3</v>
      </c>
      <c r="C166" s="156">
        <v>1</v>
      </c>
      <c r="D166" s="156">
        <f t="shared" si="7"/>
        <v>9</v>
      </c>
      <c r="E166" s="150"/>
      <c r="F166" s="139"/>
      <c r="G166" s="150"/>
      <c r="H166" s="150"/>
      <c r="I166" s="153"/>
    </row>
    <row r="167" spans="1:9" x14ac:dyDescent="0.3">
      <c r="A167" s="154">
        <f t="shared" si="6"/>
        <v>4</v>
      </c>
      <c r="B167" s="156">
        <v>2</v>
      </c>
      <c r="C167" s="156">
        <v>1</v>
      </c>
      <c r="D167" s="156">
        <f t="shared" si="7"/>
        <v>8</v>
      </c>
      <c r="E167" s="150"/>
      <c r="F167" s="139"/>
      <c r="G167" s="150"/>
      <c r="H167" s="150"/>
      <c r="I167" s="153"/>
    </row>
    <row r="168" spans="1:9" x14ac:dyDescent="0.3">
      <c r="A168" s="154">
        <f t="shared" si="6"/>
        <v>5</v>
      </c>
      <c r="B168" s="156">
        <v>1</v>
      </c>
      <c r="C168" s="156">
        <v>1</v>
      </c>
      <c r="D168" s="156">
        <f t="shared" si="7"/>
        <v>5</v>
      </c>
      <c r="E168" s="150"/>
      <c r="F168" s="139"/>
      <c r="G168" s="150"/>
      <c r="H168" s="150"/>
      <c r="I168" s="153"/>
    </row>
    <row r="169" spans="1:9" x14ac:dyDescent="0.3">
      <c r="A169" s="154">
        <f t="shared" si="6"/>
        <v>6</v>
      </c>
      <c r="B169" s="156">
        <v>2</v>
      </c>
      <c r="C169" s="156">
        <v>1</v>
      </c>
      <c r="D169" s="156">
        <f t="shared" si="7"/>
        <v>12</v>
      </c>
      <c r="E169" s="150"/>
      <c r="F169" s="139"/>
      <c r="G169" s="150"/>
      <c r="H169" s="150"/>
      <c r="I169" s="153"/>
    </row>
    <row r="170" spans="1:9" x14ac:dyDescent="0.3">
      <c r="A170" s="154">
        <f t="shared" si="6"/>
        <v>7</v>
      </c>
      <c r="B170" s="156">
        <v>3</v>
      </c>
      <c r="C170" s="156">
        <v>1</v>
      </c>
      <c r="D170" s="156">
        <f t="shared" si="7"/>
        <v>21</v>
      </c>
      <c r="E170" s="150"/>
      <c r="F170" s="139"/>
      <c r="G170" s="150"/>
      <c r="H170" s="150"/>
      <c r="I170" s="153"/>
    </row>
    <row r="171" spans="1:9" x14ac:dyDescent="0.3">
      <c r="A171" s="154"/>
      <c r="B171" s="156"/>
      <c r="C171" s="156"/>
      <c r="D171" s="156"/>
      <c r="E171" s="150"/>
      <c r="F171" s="139"/>
      <c r="G171" s="150"/>
      <c r="H171" s="150"/>
      <c r="I171" s="153"/>
    </row>
    <row r="172" spans="1:9" x14ac:dyDescent="0.3">
      <c r="A172" s="154">
        <f t="shared" ref="A172:A178" si="8">S49</f>
        <v>8</v>
      </c>
      <c r="B172" s="156">
        <v>5</v>
      </c>
      <c r="C172" s="156">
        <v>1</v>
      </c>
      <c r="D172" s="156">
        <f t="shared" ref="D172:D178" si="9">B172*S49</f>
        <v>40</v>
      </c>
      <c r="E172" s="150"/>
      <c r="F172" s="139"/>
      <c r="G172" s="150"/>
      <c r="H172" s="150"/>
      <c r="I172" s="153"/>
    </row>
    <row r="173" spans="1:9" x14ac:dyDescent="0.3">
      <c r="A173" s="154">
        <f t="shared" si="8"/>
        <v>7</v>
      </c>
      <c r="B173" s="156">
        <v>4</v>
      </c>
      <c r="C173" s="156">
        <v>1</v>
      </c>
      <c r="D173" s="156">
        <f t="shared" si="9"/>
        <v>28</v>
      </c>
      <c r="E173" s="150"/>
      <c r="F173" s="139"/>
      <c r="G173" s="150"/>
      <c r="H173" s="150"/>
      <c r="I173" s="153"/>
    </row>
    <row r="174" spans="1:9" x14ac:dyDescent="0.3">
      <c r="A174" s="154">
        <f t="shared" si="8"/>
        <v>6</v>
      </c>
      <c r="B174" s="156">
        <v>3</v>
      </c>
      <c r="C174" s="156">
        <v>1</v>
      </c>
      <c r="D174" s="156">
        <f t="shared" si="9"/>
        <v>18</v>
      </c>
      <c r="E174" s="150"/>
      <c r="F174" s="139"/>
      <c r="G174" s="150"/>
      <c r="H174" s="150"/>
      <c r="I174" s="153"/>
    </row>
    <row r="175" spans="1:9" x14ac:dyDescent="0.3">
      <c r="A175" s="154">
        <f t="shared" si="8"/>
        <v>5</v>
      </c>
      <c r="B175" s="156">
        <v>2</v>
      </c>
      <c r="C175" s="156">
        <v>1</v>
      </c>
      <c r="D175" s="156">
        <f t="shared" si="9"/>
        <v>10</v>
      </c>
      <c r="E175" s="150"/>
      <c r="F175" s="139"/>
      <c r="G175" s="150"/>
      <c r="H175" s="150"/>
      <c r="I175" s="153"/>
    </row>
    <row r="176" spans="1:9" x14ac:dyDescent="0.3">
      <c r="A176" s="154">
        <f t="shared" si="8"/>
        <v>4</v>
      </c>
      <c r="B176" s="156">
        <v>1</v>
      </c>
      <c r="C176" s="156">
        <v>1</v>
      </c>
      <c r="D176" s="156">
        <f t="shared" si="9"/>
        <v>4</v>
      </c>
      <c r="E176" s="150"/>
      <c r="F176" s="139"/>
      <c r="G176" s="150"/>
      <c r="H176" s="150"/>
      <c r="I176" s="153"/>
    </row>
    <row r="177" spans="1:9" x14ac:dyDescent="0.3">
      <c r="A177" s="154">
        <f t="shared" si="8"/>
        <v>3</v>
      </c>
      <c r="B177" s="156">
        <v>2</v>
      </c>
      <c r="C177" s="156">
        <v>1</v>
      </c>
      <c r="D177" s="156">
        <f t="shared" si="9"/>
        <v>6</v>
      </c>
      <c r="E177" s="150"/>
      <c r="F177" s="139"/>
      <c r="G177" s="150"/>
      <c r="H177" s="150"/>
      <c r="I177" s="153"/>
    </row>
    <row r="178" spans="1:9" x14ac:dyDescent="0.3">
      <c r="A178" s="154">
        <f t="shared" si="8"/>
        <v>1</v>
      </c>
      <c r="B178" s="156">
        <v>3</v>
      </c>
      <c r="C178" s="156">
        <v>1</v>
      </c>
      <c r="D178" s="156">
        <f t="shared" si="9"/>
        <v>3</v>
      </c>
      <c r="E178" s="150"/>
      <c r="F178" s="139"/>
      <c r="G178" s="150"/>
      <c r="H178" s="150"/>
      <c r="I178" s="153"/>
    </row>
    <row r="179" spans="1:9" x14ac:dyDescent="0.3">
      <c r="A179" s="154"/>
      <c r="B179" s="156"/>
      <c r="C179" s="156"/>
      <c r="D179" s="156"/>
      <c r="E179" s="150"/>
      <c r="F179" s="139"/>
      <c r="G179" s="150"/>
      <c r="H179" s="150"/>
      <c r="I179" s="153"/>
    </row>
    <row r="180" spans="1:9" x14ac:dyDescent="0.3">
      <c r="A180" s="154">
        <f t="shared" ref="A180:A185" si="10">S57</f>
        <v>9</v>
      </c>
      <c r="B180" s="156">
        <v>5</v>
      </c>
      <c r="C180" s="156">
        <v>1</v>
      </c>
      <c r="D180" s="156">
        <f t="shared" ref="D180:D185" si="11">B180*S57</f>
        <v>45</v>
      </c>
      <c r="E180" s="150"/>
      <c r="F180" s="139"/>
      <c r="G180" s="150"/>
      <c r="H180" s="150"/>
      <c r="I180" s="153"/>
    </row>
    <row r="181" spans="1:9" x14ac:dyDescent="0.3">
      <c r="A181" s="154">
        <f t="shared" si="10"/>
        <v>8</v>
      </c>
      <c r="B181" s="156">
        <v>4</v>
      </c>
      <c r="C181" s="156">
        <v>1</v>
      </c>
      <c r="D181" s="156">
        <f t="shared" si="11"/>
        <v>32</v>
      </c>
      <c r="E181" s="150"/>
      <c r="F181" s="139"/>
      <c r="G181" s="150"/>
      <c r="H181" s="150"/>
      <c r="I181" s="153"/>
    </row>
    <row r="182" spans="1:9" x14ac:dyDescent="0.3">
      <c r="A182" s="154">
        <f t="shared" si="10"/>
        <v>7</v>
      </c>
      <c r="B182" s="156">
        <v>3</v>
      </c>
      <c r="C182" s="156">
        <v>1</v>
      </c>
      <c r="D182" s="156">
        <f t="shared" si="11"/>
        <v>21</v>
      </c>
      <c r="E182" s="150"/>
      <c r="F182" s="139"/>
      <c r="G182" s="150"/>
      <c r="H182" s="150"/>
      <c r="I182" s="153"/>
    </row>
    <row r="183" spans="1:9" x14ac:dyDescent="0.3">
      <c r="A183" s="154">
        <f t="shared" si="10"/>
        <v>6</v>
      </c>
      <c r="B183" s="156">
        <v>2</v>
      </c>
      <c r="C183" s="156">
        <v>1</v>
      </c>
      <c r="D183" s="156">
        <f t="shared" si="11"/>
        <v>12</v>
      </c>
      <c r="E183" s="150"/>
      <c r="F183" s="139"/>
      <c r="G183" s="150"/>
      <c r="H183" s="150"/>
      <c r="I183" s="153"/>
    </row>
    <row r="184" spans="1:9" x14ac:dyDescent="0.3">
      <c r="A184" s="154">
        <f t="shared" si="10"/>
        <v>5</v>
      </c>
      <c r="B184" s="156">
        <v>1</v>
      </c>
      <c r="C184" s="156">
        <v>1</v>
      </c>
      <c r="D184" s="156">
        <f t="shared" si="11"/>
        <v>5</v>
      </c>
      <c r="E184" s="150"/>
      <c r="F184" s="139"/>
      <c r="G184" s="150"/>
      <c r="H184" s="150"/>
      <c r="I184" s="153"/>
    </row>
    <row r="185" spans="1:9" x14ac:dyDescent="0.3">
      <c r="A185" s="154">
        <f t="shared" si="10"/>
        <v>4</v>
      </c>
      <c r="B185" s="156">
        <v>2</v>
      </c>
      <c r="C185" s="156">
        <v>1</v>
      </c>
      <c r="D185" s="156">
        <f t="shared" si="11"/>
        <v>8</v>
      </c>
      <c r="E185" s="150"/>
      <c r="F185" s="139"/>
      <c r="G185" s="150"/>
      <c r="H185" s="150"/>
      <c r="I185" s="153"/>
    </row>
    <row r="186" spans="1:9" x14ac:dyDescent="0.3">
      <c r="A186" s="154"/>
      <c r="B186" s="156"/>
      <c r="C186" s="156"/>
      <c r="D186" s="156"/>
      <c r="E186" s="150"/>
      <c r="F186" s="139"/>
      <c r="G186" s="150"/>
      <c r="H186" s="150"/>
      <c r="I186" s="153"/>
    </row>
    <row r="187" spans="1:9" x14ac:dyDescent="0.3">
      <c r="A187" s="154">
        <f>S64</f>
        <v>8</v>
      </c>
      <c r="B187" s="156">
        <v>5</v>
      </c>
      <c r="C187" s="156">
        <v>1</v>
      </c>
      <c r="D187" s="156">
        <f>B187*S64</f>
        <v>40</v>
      </c>
      <c r="E187" s="150"/>
      <c r="F187" s="139"/>
      <c r="G187" s="150"/>
      <c r="H187" s="150"/>
      <c r="I187" s="153"/>
    </row>
    <row r="188" spans="1:9" x14ac:dyDescent="0.3">
      <c r="A188" s="154">
        <f>S65</f>
        <v>5</v>
      </c>
      <c r="B188" s="156">
        <v>3</v>
      </c>
      <c r="C188" s="156">
        <v>1</v>
      </c>
      <c r="D188" s="156">
        <f>B188*S65</f>
        <v>15</v>
      </c>
      <c r="E188" s="150"/>
      <c r="F188" s="139"/>
      <c r="G188" s="150"/>
      <c r="H188" s="150"/>
      <c r="I188" s="153"/>
    </row>
    <row r="189" spans="1:9" x14ac:dyDescent="0.3">
      <c r="A189" s="154">
        <f>S66</f>
        <v>2</v>
      </c>
      <c r="B189" s="156">
        <v>2</v>
      </c>
      <c r="C189" s="156">
        <v>1</v>
      </c>
      <c r="D189" s="156">
        <f>B189*S66</f>
        <v>4</v>
      </c>
      <c r="E189" s="150"/>
      <c r="F189" s="139"/>
      <c r="G189" s="150"/>
      <c r="H189" s="150"/>
      <c r="I189" s="153"/>
    </row>
    <row r="190" spans="1:9" x14ac:dyDescent="0.3">
      <c r="A190" s="154">
        <f>S67</f>
        <v>6</v>
      </c>
      <c r="B190" s="156">
        <v>3</v>
      </c>
      <c r="C190" s="156">
        <v>1</v>
      </c>
      <c r="D190" s="156">
        <f>B190*S67</f>
        <v>18</v>
      </c>
      <c r="E190" s="150"/>
      <c r="F190" s="139"/>
      <c r="G190" s="150"/>
      <c r="H190" s="150"/>
      <c r="I190" s="153"/>
    </row>
    <row r="191" spans="1:9" x14ac:dyDescent="0.3">
      <c r="A191" s="154">
        <f>S68</f>
        <v>7</v>
      </c>
      <c r="B191" s="156">
        <v>2</v>
      </c>
      <c r="C191" s="156">
        <v>1</v>
      </c>
      <c r="D191" s="156">
        <f>B191*S68</f>
        <v>14</v>
      </c>
      <c r="E191" s="150"/>
      <c r="F191" s="139"/>
      <c r="G191" s="150"/>
      <c r="H191" s="150"/>
      <c r="I191" s="153"/>
    </row>
    <row r="192" spans="1:9" x14ac:dyDescent="0.3">
      <c r="A192" s="154"/>
      <c r="B192" s="156"/>
      <c r="C192" s="156"/>
      <c r="D192" s="156"/>
      <c r="E192" s="150"/>
      <c r="F192" s="139"/>
      <c r="G192" s="150"/>
      <c r="H192" s="150"/>
      <c r="I192" s="153"/>
    </row>
    <row r="193" spans="1:9" x14ac:dyDescent="0.3">
      <c r="A193" s="154">
        <f t="shared" ref="A193:A200" si="12">S70</f>
        <v>10</v>
      </c>
      <c r="B193" s="156">
        <v>5</v>
      </c>
      <c r="C193" s="156">
        <v>1</v>
      </c>
      <c r="D193" s="156">
        <f t="shared" ref="D193:D200" si="13">B193*S70</f>
        <v>50</v>
      </c>
      <c r="E193" s="150"/>
      <c r="F193" s="139"/>
      <c r="G193" s="150"/>
      <c r="H193" s="150"/>
      <c r="I193" s="153"/>
    </row>
    <row r="194" spans="1:9" x14ac:dyDescent="0.3">
      <c r="A194" s="154">
        <f t="shared" si="12"/>
        <v>7</v>
      </c>
      <c r="B194" s="156">
        <v>3</v>
      </c>
      <c r="C194" s="156">
        <v>1</v>
      </c>
      <c r="D194" s="156">
        <f t="shared" si="13"/>
        <v>21</v>
      </c>
      <c r="E194" s="150"/>
      <c r="F194" s="139"/>
      <c r="G194" s="150"/>
      <c r="H194" s="150"/>
      <c r="I194" s="153"/>
    </row>
    <row r="195" spans="1:9" x14ac:dyDescent="0.3">
      <c r="A195" s="154">
        <f t="shared" si="12"/>
        <v>5</v>
      </c>
      <c r="B195" s="156">
        <v>5</v>
      </c>
      <c r="C195" s="156">
        <v>1</v>
      </c>
      <c r="D195" s="156">
        <f t="shared" si="13"/>
        <v>25</v>
      </c>
      <c r="E195" s="150"/>
      <c r="F195" s="139"/>
      <c r="G195" s="150"/>
      <c r="H195" s="150"/>
      <c r="I195" s="153"/>
    </row>
    <row r="196" spans="1:9" x14ac:dyDescent="0.3">
      <c r="A196" s="154">
        <f t="shared" si="12"/>
        <v>6</v>
      </c>
      <c r="B196" s="156">
        <v>4</v>
      </c>
      <c r="C196" s="156">
        <v>1</v>
      </c>
      <c r="D196" s="156">
        <f t="shared" si="13"/>
        <v>24</v>
      </c>
      <c r="E196" s="150"/>
      <c r="F196" s="139"/>
      <c r="G196" s="150"/>
      <c r="H196" s="150"/>
      <c r="I196" s="153"/>
    </row>
    <row r="197" spans="1:9" x14ac:dyDescent="0.3">
      <c r="A197" s="154">
        <f t="shared" si="12"/>
        <v>9</v>
      </c>
      <c r="B197" s="156">
        <v>5</v>
      </c>
      <c r="C197" s="156">
        <v>1</v>
      </c>
      <c r="D197" s="156">
        <f t="shared" si="13"/>
        <v>45</v>
      </c>
      <c r="E197" s="150"/>
      <c r="F197" s="139"/>
      <c r="G197" s="150"/>
      <c r="H197" s="150"/>
      <c r="I197" s="153"/>
    </row>
    <row r="198" spans="1:9" x14ac:dyDescent="0.3">
      <c r="A198" s="154">
        <f t="shared" si="12"/>
        <v>6</v>
      </c>
      <c r="B198" s="156">
        <v>4</v>
      </c>
      <c r="C198" s="156">
        <v>1</v>
      </c>
      <c r="D198" s="156">
        <f t="shared" si="13"/>
        <v>24</v>
      </c>
      <c r="E198" s="150"/>
      <c r="F198" s="139"/>
      <c r="G198" s="150"/>
      <c r="H198" s="150"/>
      <c r="I198" s="153"/>
    </row>
    <row r="199" spans="1:9" x14ac:dyDescent="0.3">
      <c r="A199" s="154">
        <f t="shared" si="12"/>
        <v>10</v>
      </c>
      <c r="B199" s="156">
        <v>5</v>
      </c>
      <c r="C199" s="156">
        <v>1</v>
      </c>
      <c r="D199" s="156">
        <f t="shared" si="13"/>
        <v>50</v>
      </c>
      <c r="E199" s="150"/>
      <c r="F199" s="139"/>
      <c r="G199" s="150"/>
      <c r="H199" s="150"/>
      <c r="I199" s="153"/>
    </row>
    <row r="200" spans="1:9" x14ac:dyDescent="0.3">
      <c r="A200" s="164">
        <f t="shared" si="12"/>
        <v>10</v>
      </c>
      <c r="B200" s="165">
        <v>2</v>
      </c>
      <c r="C200" s="165">
        <v>1</v>
      </c>
      <c r="D200" s="165">
        <f t="shared" si="13"/>
        <v>20</v>
      </c>
      <c r="E200" s="167"/>
      <c r="F200" s="168"/>
      <c r="G200" s="167"/>
      <c r="H200" s="167"/>
      <c r="I200" s="181"/>
    </row>
  </sheetData>
  <sheetProtection sheet="1" objects="1" scenarios="1" formatCells="0" formatColumns="0" formatRows="0" insertHyperlinks="0" selectLockedCells="1" sort="0" autoFilter="0"/>
  <mergeCells count="92">
    <mergeCell ref="D93:U93"/>
    <mergeCell ref="D94:U94"/>
    <mergeCell ref="D87:U87"/>
    <mergeCell ref="D88:U88"/>
    <mergeCell ref="D89:U89"/>
    <mergeCell ref="D90:U90"/>
    <mergeCell ref="D91:U91"/>
    <mergeCell ref="D92:U92"/>
    <mergeCell ref="D86:U86"/>
    <mergeCell ref="D72:E72"/>
    <mergeCell ref="D73:E73"/>
    <mergeCell ref="D74:E74"/>
    <mergeCell ref="D75:E75"/>
    <mergeCell ref="D76:E76"/>
    <mergeCell ref="D77:E77"/>
    <mergeCell ref="D78:U78"/>
    <mergeCell ref="D82:U82"/>
    <mergeCell ref="D83:U83"/>
    <mergeCell ref="D84:U84"/>
    <mergeCell ref="D85:U85"/>
    <mergeCell ref="D71:E71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59:E59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47:E47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S3:S6"/>
    <mergeCell ref="Y3:Y5"/>
    <mergeCell ref="D10:E10"/>
    <mergeCell ref="H10:I10"/>
    <mergeCell ref="L10:M10"/>
    <mergeCell ref="N3:N6"/>
    <mergeCell ref="P3:P6"/>
    <mergeCell ref="D11:E11"/>
    <mergeCell ref="G3:G6"/>
    <mergeCell ref="H3:H6"/>
    <mergeCell ref="J3:J6"/>
    <mergeCell ref="L3:L6"/>
  </mergeCells>
  <conditionalFormatting sqref="G79:G81">
    <cfRule type="iconSet" priority="12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H79:N81">
    <cfRule type="iconSet" priority="11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O79:R81 V79:V81">
    <cfRule type="iconSet" priority="14">
      <iconSet iconSet="5Rating">
        <cfvo type="percent" val="0"/>
        <cfvo type="num" val="1"/>
        <cfvo type="num" val="2"/>
        <cfvo type="num" val="3"/>
        <cfvo type="num" val="4"/>
      </iconSet>
    </cfRule>
  </conditionalFormatting>
  <conditionalFormatting sqref="S11:S17">
    <cfRule type="iconSet" priority="8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19:S26">
    <cfRule type="iconSet" priority="4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28:S30">
    <cfRule type="iconSet" priority="15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32:S39"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41:S47">
    <cfRule type="iconSet" priority="7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49:S55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57:S62">
    <cfRule type="iconSet" priority="6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64:S68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S70:S77">
    <cfRule type="iconSet" priority="5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5">
    <dataValidation type="custom" allowBlank="1" showInputMessage="1" showErrorMessage="1" sqref="R78" xr:uid="{00000000-0002-0000-1200-000000000000}">
      <formula1>AND(R78&gt;=1,(R78&lt;=6))</formula1>
    </dataValidation>
    <dataValidation type="custom" allowBlank="1" showInputMessage="1" showErrorMessage="1" errorTitle="Erreur  -  Fehler" error="Tous  les champs doivent être remplis et la note doit être entre 1.0 et 6.0!_x000a__x000a_Alle Felder müssen ausgefüllt und die  Note zwischen 1.0  un 6.0 sein!" sqref="V5" xr:uid="{00000000-0002-0000-1200-000001000000}">
      <formula1>AND(AND(V5&gt;=1,(V5&lt;=6)),(#REF!=14))</formula1>
    </dataValidation>
    <dataValidation type="list" allowBlank="1" showInputMessage="1" showErrorMessage="1" sqref="W79:X81" xr:uid="{00000000-0002-0000-1200-000002000000}">
      <formula1>"1,2,3,4,5,6,7,8,9,10,11"</formula1>
    </dataValidation>
    <dataValidation type="list" allowBlank="1" showInputMessage="1" showErrorMessage="1" sqref="S28:S30 S64:S68 S41:S47 S57:S62 S11:S17 S19:S26 S32:S39 S49:S55 S70:S77" xr:uid="{00000000-0002-0000-1200-000003000000}">
      <formula1>"1,2,3,4,5,6,7,8,9,10"</formula1>
    </dataValidation>
    <dataValidation type="list" allowBlank="1" showInputMessage="1" showErrorMessage="1" sqref="I79:I81 L79:L81" xr:uid="{00000000-0002-0000-1200-000004000000}">
      <formula1>"1,2,3"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orientation="portrait" r:id="rId1"/>
  <headerFooter>
    <oddFooter>&amp;R&amp;9&amp;K01+049&amp;P/&amp;N</oddFooter>
  </headerFooter>
  <rowBreaks count="1" manualBreakCount="1">
    <brk id="7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Group Box 1">
              <controlPr defaultSize="0" print="0" autoFill="0" autoPict="0">
                <anchor moveWithCells="1">
                  <from>
                    <xdr:col>6</xdr:col>
                    <xdr:colOff>68580</xdr:colOff>
                    <xdr:row>11</xdr:row>
                    <xdr:rowOff>22860</xdr:rowOff>
                  </from>
                  <to>
                    <xdr:col>16</xdr:col>
                    <xdr:colOff>76200</xdr:colOff>
                    <xdr:row>11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Option Button 2">
              <controlPr defaultSize="0" autoFill="0" autoLine="0" autoPict="0">
                <anchor moveWithCells="1">
                  <from>
                    <xdr:col>7</xdr:col>
                    <xdr:colOff>76200</xdr:colOff>
                    <xdr:row>11</xdr:row>
                    <xdr:rowOff>53340</xdr:rowOff>
                  </from>
                  <to>
                    <xdr:col>7</xdr:col>
                    <xdr:colOff>297180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9" r:id="rId6" name="Option Button 3">
              <controlPr defaultSize="0" autoFill="0" autoLine="0" autoPict="0">
                <anchor moveWithCells="1">
                  <from>
                    <xdr:col>9</xdr:col>
                    <xdr:colOff>68580</xdr:colOff>
                    <xdr:row>11</xdr:row>
                    <xdr:rowOff>53340</xdr:rowOff>
                  </from>
                  <to>
                    <xdr:col>9</xdr:col>
                    <xdr:colOff>289560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0" r:id="rId7" name="Option Button 4">
              <controlPr defaultSize="0" autoFill="0" autoLine="0" autoPict="0">
                <anchor moveWithCells="1">
                  <from>
                    <xdr:col>11</xdr:col>
                    <xdr:colOff>60960</xdr:colOff>
                    <xdr:row>11</xdr:row>
                    <xdr:rowOff>53340</xdr:rowOff>
                  </from>
                  <to>
                    <xdr:col>11</xdr:col>
                    <xdr:colOff>281940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1" r:id="rId8" name="Option Button 5">
              <controlPr defaultSize="0" autoFill="0" autoLine="0" autoPict="0">
                <anchor moveWithCells="1">
                  <from>
                    <xdr:col>13</xdr:col>
                    <xdr:colOff>53340</xdr:colOff>
                    <xdr:row>11</xdr:row>
                    <xdr:rowOff>53340</xdr:rowOff>
                  </from>
                  <to>
                    <xdr:col>13</xdr:col>
                    <xdr:colOff>266700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2" r:id="rId9" name="Option Button 6">
              <controlPr defaultSize="0" autoFill="0" autoLine="0" autoPict="0">
                <anchor moveWithCells="1">
                  <from>
                    <xdr:col>15</xdr:col>
                    <xdr:colOff>38100</xdr:colOff>
                    <xdr:row>11</xdr:row>
                    <xdr:rowOff>53340</xdr:rowOff>
                  </from>
                  <to>
                    <xdr:col>15</xdr:col>
                    <xdr:colOff>259080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3" r:id="rId10" name="Group Box 7">
              <controlPr defaultSize="0" print="0" autoFill="0" autoPict="0">
                <anchor moveWithCells="1">
                  <from>
                    <xdr:col>6</xdr:col>
                    <xdr:colOff>68580</xdr:colOff>
                    <xdr:row>12</xdr:row>
                    <xdr:rowOff>30480</xdr:rowOff>
                  </from>
                  <to>
                    <xdr:col>16</xdr:col>
                    <xdr:colOff>76200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4" r:id="rId11" name="Option Button 8">
              <controlPr defaultSize="0" autoFill="0" autoLine="0" autoPict="0">
                <anchor moveWithCells="1">
                  <from>
                    <xdr:col>7</xdr:col>
                    <xdr:colOff>76200</xdr:colOff>
                    <xdr:row>12</xdr:row>
                    <xdr:rowOff>60960</xdr:rowOff>
                  </from>
                  <to>
                    <xdr:col>7</xdr:col>
                    <xdr:colOff>297180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5" r:id="rId12" name="Option Button 9">
              <controlPr defaultSize="0" autoFill="0" autoLine="0" autoPict="0">
                <anchor moveWithCells="1">
                  <from>
                    <xdr:col>9</xdr:col>
                    <xdr:colOff>68580</xdr:colOff>
                    <xdr:row>12</xdr:row>
                    <xdr:rowOff>60960</xdr:rowOff>
                  </from>
                  <to>
                    <xdr:col>9</xdr:col>
                    <xdr:colOff>289560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6" r:id="rId13" name="Option Button 10">
              <controlPr defaultSize="0" autoFill="0" autoLine="0" autoPict="0">
                <anchor moveWithCells="1">
                  <from>
                    <xdr:col>11</xdr:col>
                    <xdr:colOff>60960</xdr:colOff>
                    <xdr:row>12</xdr:row>
                    <xdr:rowOff>60960</xdr:rowOff>
                  </from>
                  <to>
                    <xdr:col>11</xdr:col>
                    <xdr:colOff>281940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7" r:id="rId14" name="Option Button 11">
              <controlPr defaultSize="0" autoFill="0" autoLine="0" autoPict="0">
                <anchor moveWithCells="1">
                  <from>
                    <xdr:col>13</xdr:col>
                    <xdr:colOff>45720</xdr:colOff>
                    <xdr:row>12</xdr:row>
                    <xdr:rowOff>60960</xdr:rowOff>
                  </from>
                  <to>
                    <xdr:col>13</xdr:col>
                    <xdr:colOff>266700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8" r:id="rId15" name="Option Button 12">
              <controlPr defaultSize="0" autoFill="0" autoLine="0" autoPict="0">
                <anchor moveWithCells="1">
                  <from>
                    <xdr:col>15</xdr:col>
                    <xdr:colOff>38100</xdr:colOff>
                    <xdr:row>12</xdr:row>
                    <xdr:rowOff>60960</xdr:rowOff>
                  </from>
                  <to>
                    <xdr:col>15</xdr:col>
                    <xdr:colOff>259080</xdr:colOff>
                    <xdr:row>12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9" r:id="rId16" name="Group Box 13">
              <controlPr defaultSize="0" print="0" autoFill="0" autoPict="0">
                <anchor moveWithCells="1">
                  <from>
                    <xdr:col>6</xdr:col>
                    <xdr:colOff>68580</xdr:colOff>
                    <xdr:row>12</xdr:row>
                    <xdr:rowOff>388620</xdr:rowOff>
                  </from>
                  <to>
                    <xdr:col>16</xdr:col>
                    <xdr:colOff>76200</xdr:colOff>
                    <xdr:row>13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0" r:id="rId17" name="Option Button 14">
              <controlPr defaultSize="0" autoFill="0" autoLine="0" autoPict="0">
                <anchor moveWithCells="1">
                  <from>
                    <xdr:col>7</xdr:col>
                    <xdr:colOff>76200</xdr:colOff>
                    <xdr:row>13</xdr:row>
                    <xdr:rowOff>22860</xdr:rowOff>
                  </from>
                  <to>
                    <xdr:col>7</xdr:col>
                    <xdr:colOff>297180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1" r:id="rId18" name="Option Button 15">
              <controlPr defaultSize="0" autoFill="0" autoLine="0" autoPict="0">
                <anchor moveWithCells="1">
                  <from>
                    <xdr:col>9</xdr:col>
                    <xdr:colOff>68580</xdr:colOff>
                    <xdr:row>13</xdr:row>
                    <xdr:rowOff>22860</xdr:rowOff>
                  </from>
                  <to>
                    <xdr:col>9</xdr:col>
                    <xdr:colOff>289560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2" r:id="rId19" name="Option Button 16">
              <controlPr defaultSize="0" autoFill="0" autoLine="0" autoPict="0">
                <anchor moveWithCells="1">
                  <from>
                    <xdr:col>11</xdr:col>
                    <xdr:colOff>60960</xdr:colOff>
                    <xdr:row>13</xdr:row>
                    <xdr:rowOff>22860</xdr:rowOff>
                  </from>
                  <to>
                    <xdr:col>11</xdr:col>
                    <xdr:colOff>281940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3" r:id="rId20" name="Option Button 17">
              <controlPr defaultSize="0" autoFill="0" autoLine="0" autoPict="0">
                <anchor moveWithCells="1">
                  <from>
                    <xdr:col>13</xdr:col>
                    <xdr:colOff>53340</xdr:colOff>
                    <xdr:row>13</xdr:row>
                    <xdr:rowOff>22860</xdr:rowOff>
                  </from>
                  <to>
                    <xdr:col>13</xdr:col>
                    <xdr:colOff>266700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4" r:id="rId21" name="Option Button 18">
              <controlPr defaultSize="0" autoFill="0" autoLine="0" autoPict="0">
                <anchor moveWithCells="1">
                  <from>
                    <xdr:col>15</xdr:col>
                    <xdr:colOff>38100</xdr:colOff>
                    <xdr:row>13</xdr:row>
                    <xdr:rowOff>22860</xdr:rowOff>
                  </from>
                  <to>
                    <xdr:col>15</xdr:col>
                    <xdr:colOff>259080</xdr:colOff>
                    <xdr:row>13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5" r:id="rId22" name="Group Box 19">
              <controlPr defaultSize="0" print="0" autoFill="0" autoPict="0">
                <anchor moveWithCells="1">
                  <from>
                    <xdr:col>6</xdr:col>
                    <xdr:colOff>68580</xdr:colOff>
                    <xdr:row>29</xdr:row>
                    <xdr:rowOff>15240</xdr:rowOff>
                  </from>
                  <to>
                    <xdr:col>16</xdr:col>
                    <xdr:colOff>76200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6" r:id="rId23" name="Option Button 20">
              <controlPr defaultSize="0" autoFill="0" autoLine="0" autoPict="0">
                <anchor moveWithCells="1">
                  <from>
                    <xdr:col>7</xdr:col>
                    <xdr:colOff>76200</xdr:colOff>
                    <xdr:row>29</xdr:row>
                    <xdr:rowOff>45720</xdr:rowOff>
                  </from>
                  <to>
                    <xdr:col>7</xdr:col>
                    <xdr:colOff>297180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7" r:id="rId24" name="Option Button 21">
              <controlPr defaultSize="0" autoFill="0" autoLine="0" autoPict="0">
                <anchor moveWithCells="1">
                  <from>
                    <xdr:col>9</xdr:col>
                    <xdr:colOff>68580</xdr:colOff>
                    <xdr:row>29</xdr:row>
                    <xdr:rowOff>45720</xdr:rowOff>
                  </from>
                  <to>
                    <xdr:col>9</xdr:col>
                    <xdr:colOff>289560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8" r:id="rId25" name="Option Button 22">
              <controlPr defaultSize="0" autoFill="0" autoLine="0" autoPict="0">
                <anchor moveWithCells="1">
                  <from>
                    <xdr:col>11</xdr:col>
                    <xdr:colOff>60960</xdr:colOff>
                    <xdr:row>29</xdr:row>
                    <xdr:rowOff>45720</xdr:rowOff>
                  </from>
                  <to>
                    <xdr:col>11</xdr:col>
                    <xdr:colOff>281940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9" r:id="rId26" name="Option Button 23">
              <controlPr defaultSize="0" autoFill="0" autoLine="0" autoPict="0">
                <anchor moveWithCells="1">
                  <from>
                    <xdr:col>13</xdr:col>
                    <xdr:colOff>53340</xdr:colOff>
                    <xdr:row>29</xdr:row>
                    <xdr:rowOff>45720</xdr:rowOff>
                  </from>
                  <to>
                    <xdr:col>13</xdr:col>
                    <xdr:colOff>266700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0" r:id="rId27" name="Option Button 24">
              <controlPr defaultSize="0" autoFill="0" autoLine="0" autoPict="0">
                <anchor moveWithCells="1">
                  <from>
                    <xdr:col>15</xdr:col>
                    <xdr:colOff>38100</xdr:colOff>
                    <xdr:row>29</xdr:row>
                    <xdr:rowOff>45720</xdr:rowOff>
                  </from>
                  <to>
                    <xdr:col>15</xdr:col>
                    <xdr:colOff>259080</xdr:colOff>
                    <xdr:row>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1" r:id="rId28" name="Group Box 25">
              <controlPr defaultSize="0" print="0" autoFill="0" autoPict="0">
                <anchor moveWithCells="1">
                  <from>
                    <xdr:col>6</xdr:col>
                    <xdr:colOff>60960</xdr:colOff>
                    <xdr:row>10</xdr:row>
                    <xdr:rowOff>15240</xdr:rowOff>
                  </from>
                  <to>
                    <xdr:col>16</xdr:col>
                    <xdr:colOff>68580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2" r:id="rId29" name="Option Button 26">
              <controlPr defaultSize="0" autoFill="0" autoLine="0" autoPict="0">
                <anchor moveWithCells="1">
                  <from>
                    <xdr:col>7</xdr:col>
                    <xdr:colOff>68580</xdr:colOff>
                    <xdr:row>10</xdr:row>
                    <xdr:rowOff>53340</xdr:rowOff>
                  </from>
                  <to>
                    <xdr:col>7</xdr:col>
                    <xdr:colOff>289560</xdr:colOff>
                    <xdr:row>10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3" r:id="rId30" name="Option Button 27">
              <controlPr defaultSize="0" autoFill="0" autoLine="0" autoPict="0">
                <anchor moveWithCells="1">
                  <from>
                    <xdr:col>9</xdr:col>
                    <xdr:colOff>60960</xdr:colOff>
                    <xdr:row>10</xdr:row>
                    <xdr:rowOff>53340</xdr:rowOff>
                  </from>
                  <to>
                    <xdr:col>9</xdr:col>
                    <xdr:colOff>281940</xdr:colOff>
                    <xdr:row>10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4" r:id="rId31" name="Option Button 28">
              <controlPr defaultSize="0" autoFill="0" autoLine="0" autoPict="0">
                <anchor moveWithCells="1">
                  <from>
                    <xdr:col>11</xdr:col>
                    <xdr:colOff>53340</xdr:colOff>
                    <xdr:row>10</xdr:row>
                    <xdr:rowOff>53340</xdr:rowOff>
                  </from>
                  <to>
                    <xdr:col>11</xdr:col>
                    <xdr:colOff>266700</xdr:colOff>
                    <xdr:row>10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5" r:id="rId32" name="Option Button 29">
              <controlPr defaultSize="0" autoFill="0" autoLine="0" autoPict="0">
                <anchor moveWithCells="1">
                  <from>
                    <xdr:col>13</xdr:col>
                    <xdr:colOff>38100</xdr:colOff>
                    <xdr:row>10</xdr:row>
                    <xdr:rowOff>53340</xdr:rowOff>
                  </from>
                  <to>
                    <xdr:col>13</xdr:col>
                    <xdr:colOff>259080</xdr:colOff>
                    <xdr:row>10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6" r:id="rId33" name="Option Button 30">
              <controlPr defaultSize="0" autoFill="0" autoLine="0" autoPict="0">
                <anchor moveWithCells="1">
                  <from>
                    <xdr:col>15</xdr:col>
                    <xdr:colOff>30480</xdr:colOff>
                    <xdr:row>10</xdr:row>
                    <xdr:rowOff>53340</xdr:rowOff>
                  </from>
                  <to>
                    <xdr:col>15</xdr:col>
                    <xdr:colOff>251460</xdr:colOff>
                    <xdr:row>10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7" r:id="rId34" name="Group Box 31">
              <controlPr defaultSize="0" print="0" autoFill="0" autoPict="0">
                <anchor moveWithCells="1">
                  <from>
                    <xdr:col>6</xdr:col>
                    <xdr:colOff>68580</xdr:colOff>
                    <xdr:row>23</xdr:row>
                    <xdr:rowOff>22860</xdr:rowOff>
                  </from>
                  <to>
                    <xdr:col>16</xdr:col>
                    <xdr:colOff>76200</xdr:colOff>
                    <xdr:row>23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8" r:id="rId35" name="Option Button 32">
              <controlPr defaultSize="0" autoFill="0" autoLine="0" autoPict="0">
                <anchor moveWithCells="1">
                  <from>
                    <xdr:col>7</xdr:col>
                    <xdr:colOff>76200</xdr:colOff>
                    <xdr:row>23</xdr:row>
                    <xdr:rowOff>53340</xdr:rowOff>
                  </from>
                  <to>
                    <xdr:col>7</xdr:col>
                    <xdr:colOff>297180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9" r:id="rId36" name="Option Button 33">
              <controlPr defaultSize="0" autoFill="0" autoLine="0" autoPict="0">
                <anchor moveWithCells="1">
                  <from>
                    <xdr:col>9</xdr:col>
                    <xdr:colOff>68580</xdr:colOff>
                    <xdr:row>23</xdr:row>
                    <xdr:rowOff>53340</xdr:rowOff>
                  </from>
                  <to>
                    <xdr:col>9</xdr:col>
                    <xdr:colOff>289560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0" r:id="rId37" name="Option Button 34">
              <controlPr defaultSize="0" autoFill="0" autoLine="0" autoPict="0">
                <anchor moveWithCells="1">
                  <from>
                    <xdr:col>11</xdr:col>
                    <xdr:colOff>60960</xdr:colOff>
                    <xdr:row>23</xdr:row>
                    <xdr:rowOff>53340</xdr:rowOff>
                  </from>
                  <to>
                    <xdr:col>11</xdr:col>
                    <xdr:colOff>281940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1" r:id="rId38" name="Option Button 35">
              <controlPr defaultSize="0" autoFill="0" autoLine="0" autoPict="0">
                <anchor moveWithCells="1">
                  <from>
                    <xdr:col>13</xdr:col>
                    <xdr:colOff>53340</xdr:colOff>
                    <xdr:row>23</xdr:row>
                    <xdr:rowOff>53340</xdr:rowOff>
                  </from>
                  <to>
                    <xdr:col>13</xdr:col>
                    <xdr:colOff>266700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2" r:id="rId39" name="Option Button 36">
              <controlPr defaultSize="0" autoFill="0" autoLine="0" autoPict="0">
                <anchor moveWithCells="1">
                  <from>
                    <xdr:col>15</xdr:col>
                    <xdr:colOff>38100</xdr:colOff>
                    <xdr:row>23</xdr:row>
                    <xdr:rowOff>53340</xdr:rowOff>
                  </from>
                  <to>
                    <xdr:col>15</xdr:col>
                    <xdr:colOff>259080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3" r:id="rId40" name="Group Box 37">
              <controlPr defaultSize="0" print="0" autoFill="0" autoPict="0">
                <anchor moveWithCells="1">
                  <from>
                    <xdr:col>6</xdr:col>
                    <xdr:colOff>68580</xdr:colOff>
                    <xdr:row>24</xdr:row>
                    <xdr:rowOff>7620</xdr:rowOff>
                  </from>
                  <to>
                    <xdr:col>16</xdr:col>
                    <xdr:colOff>76200</xdr:colOff>
                    <xdr:row>24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4" r:id="rId41" name="Option Button 38">
              <controlPr defaultSize="0" autoFill="0" autoLine="0" autoPict="0">
                <anchor moveWithCells="1">
                  <from>
                    <xdr:col>7</xdr:col>
                    <xdr:colOff>76200</xdr:colOff>
                    <xdr:row>24</xdr:row>
                    <xdr:rowOff>45720</xdr:rowOff>
                  </from>
                  <to>
                    <xdr:col>7</xdr:col>
                    <xdr:colOff>297180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5" r:id="rId42" name="Option Button 39">
              <controlPr defaultSize="0" autoFill="0" autoLine="0" autoPict="0">
                <anchor moveWithCells="1">
                  <from>
                    <xdr:col>9</xdr:col>
                    <xdr:colOff>68580</xdr:colOff>
                    <xdr:row>24</xdr:row>
                    <xdr:rowOff>45720</xdr:rowOff>
                  </from>
                  <to>
                    <xdr:col>9</xdr:col>
                    <xdr:colOff>289560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6" r:id="rId43" name="Option Button 40">
              <controlPr defaultSize="0" autoFill="0" autoLine="0" autoPict="0">
                <anchor moveWithCells="1">
                  <from>
                    <xdr:col>11</xdr:col>
                    <xdr:colOff>60960</xdr:colOff>
                    <xdr:row>24</xdr:row>
                    <xdr:rowOff>45720</xdr:rowOff>
                  </from>
                  <to>
                    <xdr:col>11</xdr:col>
                    <xdr:colOff>281940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7" r:id="rId44" name="Option Button 41">
              <controlPr defaultSize="0" autoFill="0" autoLine="0" autoPict="0">
                <anchor moveWithCells="1">
                  <from>
                    <xdr:col>13</xdr:col>
                    <xdr:colOff>53340</xdr:colOff>
                    <xdr:row>24</xdr:row>
                    <xdr:rowOff>45720</xdr:rowOff>
                  </from>
                  <to>
                    <xdr:col>13</xdr:col>
                    <xdr:colOff>266700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8" r:id="rId45" name="Option Button 42">
              <controlPr defaultSize="0" autoFill="0" autoLine="0" autoPict="0">
                <anchor moveWithCells="1">
                  <from>
                    <xdr:col>15</xdr:col>
                    <xdr:colOff>38100</xdr:colOff>
                    <xdr:row>24</xdr:row>
                    <xdr:rowOff>45720</xdr:rowOff>
                  </from>
                  <to>
                    <xdr:col>15</xdr:col>
                    <xdr:colOff>259080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9" r:id="rId46" name="Group Box 43">
              <controlPr defaultSize="0" print="0" autoFill="0" autoPict="0">
                <anchor moveWithCells="1">
                  <from>
                    <xdr:col>6</xdr:col>
                    <xdr:colOff>68580</xdr:colOff>
                    <xdr:row>25</xdr:row>
                    <xdr:rowOff>7620</xdr:rowOff>
                  </from>
                  <to>
                    <xdr:col>16</xdr:col>
                    <xdr:colOff>76200</xdr:colOff>
                    <xdr:row>25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0" r:id="rId47" name="Option Button 44">
              <controlPr defaultSize="0" autoFill="0" autoLine="0" autoPict="0">
                <anchor moveWithCells="1">
                  <from>
                    <xdr:col>7</xdr:col>
                    <xdr:colOff>76200</xdr:colOff>
                    <xdr:row>25</xdr:row>
                    <xdr:rowOff>45720</xdr:rowOff>
                  </from>
                  <to>
                    <xdr:col>7</xdr:col>
                    <xdr:colOff>297180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1" r:id="rId48" name="Option Button 45">
              <controlPr defaultSize="0" autoFill="0" autoLine="0" autoPict="0">
                <anchor moveWithCells="1">
                  <from>
                    <xdr:col>9</xdr:col>
                    <xdr:colOff>68580</xdr:colOff>
                    <xdr:row>25</xdr:row>
                    <xdr:rowOff>45720</xdr:rowOff>
                  </from>
                  <to>
                    <xdr:col>9</xdr:col>
                    <xdr:colOff>289560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2" r:id="rId49" name="Option Button 46">
              <controlPr defaultSize="0" autoFill="0" autoLine="0" autoPict="0">
                <anchor moveWithCells="1">
                  <from>
                    <xdr:col>11</xdr:col>
                    <xdr:colOff>60960</xdr:colOff>
                    <xdr:row>25</xdr:row>
                    <xdr:rowOff>45720</xdr:rowOff>
                  </from>
                  <to>
                    <xdr:col>11</xdr:col>
                    <xdr:colOff>281940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3" r:id="rId50" name="Option Button 47">
              <controlPr defaultSize="0" autoFill="0" autoLine="0" autoPict="0">
                <anchor moveWithCells="1">
                  <from>
                    <xdr:col>13</xdr:col>
                    <xdr:colOff>53340</xdr:colOff>
                    <xdr:row>25</xdr:row>
                    <xdr:rowOff>45720</xdr:rowOff>
                  </from>
                  <to>
                    <xdr:col>13</xdr:col>
                    <xdr:colOff>266700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4" r:id="rId51" name="Option Button 48">
              <controlPr defaultSize="0" autoFill="0" autoLine="0" autoPict="0">
                <anchor moveWithCells="1">
                  <from>
                    <xdr:col>15</xdr:col>
                    <xdr:colOff>38100</xdr:colOff>
                    <xdr:row>25</xdr:row>
                    <xdr:rowOff>45720</xdr:rowOff>
                  </from>
                  <to>
                    <xdr:col>15</xdr:col>
                    <xdr:colOff>259080</xdr:colOff>
                    <xdr:row>25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5" r:id="rId52" name="Group Box 49">
              <controlPr defaultSize="0" print="0" autoFill="0" autoPict="0">
                <anchor moveWithCells="1">
                  <from>
                    <xdr:col>6</xdr:col>
                    <xdr:colOff>68580</xdr:colOff>
                    <xdr:row>38</xdr:row>
                    <xdr:rowOff>7620</xdr:rowOff>
                  </from>
                  <to>
                    <xdr:col>16</xdr:col>
                    <xdr:colOff>76200</xdr:colOff>
                    <xdr:row>38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6" r:id="rId53" name="Option Button 50">
              <controlPr defaultSize="0" autoFill="0" autoLine="0" autoPict="0">
                <anchor moveWithCells="1">
                  <from>
                    <xdr:col>7</xdr:col>
                    <xdr:colOff>76200</xdr:colOff>
                    <xdr:row>38</xdr:row>
                    <xdr:rowOff>45720</xdr:rowOff>
                  </from>
                  <to>
                    <xdr:col>7</xdr:col>
                    <xdr:colOff>297180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7" r:id="rId54" name="Option Button 51">
              <controlPr defaultSize="0" autoFill="0" autoLine="0" autoPict="0">
                <anchor moveWithCells="1">
                  <from>
                    <xdr:col>9</xdr:col>
                    <xdr:colOff>68580</xdr:colOff>
                    <xdr:row>38</xdr:row>
                    <xdr:rowOff>45720</xdr:rowOff>
                  </from>
                  <to>
                    <xdr:col>9</xdr:col>
                    <xdr:colOff>289560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8" r:id="rId55" name="Option Button 52">
              <controlPr defaultSize="0" autoFill="0" autoLine="0" autoPict="0">
                <anchor moveWithCells="1">
                  <from>
                    <xdr:col>11</xdr:col>
                    <xdr:colOff>60960</xdr:colOff>
                    <xdr:row>38</xdr:row>
                    <xdr:rowOff>45720</xdr:rowOff>
                  </from>
                  <to>
                    <xdr:col>11</xdr:col>
                    <xdr:colOff>281940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9" r:id="rId56" name="Option Button 53">
              <controlPr defaultSize="0" autoFill="0" autoLine="0" autoPict="0">
                <anchor moveWithCells="1">
                  <from>
                    <xdr:col>13</xdr:col>
                    <xdr:colOff>53340</xdr:colOff>
                    <xdr:row>38</xdr:row>
                    <xdr:rowOff>45720</xdr:rowOff>
                  </from>
                  <to>
                    <xdr:col>13</xdr:col>
                    <xdr:colOff>266700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0" r:id="rId57" name="Option Button 54">
              <controlPr defaultSize="0" autoFill="0" autoLine="0" autoPict="0">
                <anchor moveWithCells="1">
                  <from>
                    <xdr:col>15</xdr:col>
                    <xdr:colOff>38100</xdr:colOff>
                    <xdr:row>38</xdr:row>
                    <xdr:rowOff>45720</xdr:rowOff>
                  </from>
                  <to>
                    <xdr:col>15</xdr:col>
                    <xdr:colOff>259080</xdr:colOff>
                    <xdr:row>38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1" r:id="rId58" name="Group Box 55">
              <controlPr defaultSize="0" print="0" autoFill="0" autoPict="0">
                <anchor moveWithCells="1">
                  <from>
                    <xdr:col>6</xdr:col>
                    <xdr:colOff>68580</xdr:colOff>
                    <xdr:row>43</xdr:row>
                    <xdr:rowOff>22860</xdr:rowOff>
                  </from>
                  <to>
                    <xdr:col>16</xdr:col>
                    <xdr:colOff>76200</xdr:colOff>
                    <xdr:row>43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2" r:id="rId59" name="Option Button 56">
              <controlPr defaultSize="0" autoFill="0" autoLine="0" autoPict="0">
                <anchor moveWithCells="1">
                  <from>
                    <xdr:col>7</xdr:col>
                    <xdr:colOff>76200</xdr:colOff>
                    <xdr:row>43</xdr:row>
                    <xdr:rowOff>45720</xdr:rowOff>
                  </from>
                  <to>
                    <xdr:col>7</xdr:col>
                    <xdr:colOff>297180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3" r:id="rId60" name="Option Button 57">
              <controlPr defaultSize="0" autoFill="0" autoLine="0" autoPict="0">
                <anchor moveWithCells="1">
                  <from>
                    <xdr:col>9</xdr:col>
                    <xdr:colOff>68580</xdr:colOff>
                    <xdr:row>43</xdr:row>
                    <xdr:rowOff>45720</xdr:rowOff>
                  </from>
                  <to>
                    <xdr:col>9</xdr:col>
                    <xdr:colOff>289560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4" r:id="rId61" name="Option Button 58">
              <controlPr defaultSize="0" autoFill="0" autoLine="0" autoPict="0">
                <anchor moveWithCells="1">
                  <from>
                    <xdr:col>11</xdr:col>
                    <xdr:colOff>60960</xdr:colOff>
                    <xdr:row>43</xdr:row>
                    <xdr:rowOff>45720</xdr:rowOff>
                  </from>
                  <to>
                    <xdr:col>11</xdr:col>
                    <xdr:colOff>281940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5" r:id="rId62" name="Option Button 59">
              <controlPr defaultSize="0" autoFill="0" autoLine="0" autoPict="0">
                <anchor moveWithCells="1">
                  <from>
                    <xdr:col>13</xdr:col>
                    <xdr:colOff>45720</xdr:colOff>
                    <xdr:row>43</xdr:row>
                    <xdr:rowOff>45720</xdr:rowOff>
                  </from>
                  <to>
                    <xdr:col>13</xdr:col>
                    <xdr:colOff>266700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6" r:id="rId63" name="Option Button 60">
              <controlPr defaultSize="0" autoFill="0" autoLine="0" autoPict="0">
                <anchor moveWithCells="1">
                  <from>
                    <xdr:col>15</xdr:col>
                    <xdr:colOff>38100</xdr:colOff>
                    <xdr:row>43</xdr:row>
                    <xdr:rowOff>45720</xdr:rowOff>
                  </from>
                  <to>
                    <xdr:col>15</xdr:col>
                    <xdr:colOff>259080</xdr:colOff>
                    <xdr:row>43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7" r:id="rId64" name="Group Box 61">
              <controlPr defaultSize="0" print="0" autoFill="0" autoPict="0">
                <anchor moveWithCells="1">
                  <from>
                    <xdr:col>6</xdr:col>
                    <xdr:colOff>68580</xdr:colOff>
                    <xdr:row>46</xdr:row>
                    <xdr:rowOff>30480</xdr:rowOff>
                  </from>
                  <to>
                    <xdr:col>16</xdr:col>
                    <xdr:colOff>76200</xdr:colOff>
                    <xdr:row>46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8" r:id="rId65" name="Option Button 62">
              <controlPr defaultSize="0" autoFill="0" autoLine="0" autoPict="0">
                <anchor moveWithCells="1">
                  <from>
                    <xdr:col>7</xdr:col>
                    <xdr:colOff>76200</xdr:colOff>
                    <xdr:row>46</xdr:row>
                    <xdr:rowOff>60960</xdr:rowOff>
                  </from>
                  <to>
                    <xdr:col>7</xdr:col>
                    <xdr:colOff>297180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9" r:id="rId66" name="Option Button 63">
              <controlPr defaultSize="0" autoFill="0" autoLine="0" autoPict="0">
                <anchor moveWithCells="1">
                  <from>
                    <xdr:col>9</xdr:col>
                    <xdr:colOff>68580</xdr:colOff>
                    <xdr:row>46</xdr:row>
                    <xdr:rowOff>60960</xdr:rowOff>
                  </from>
                  <to>
                    <xdr:col>9</xdr:col>
                    <xdr:colOff>289560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0" r:id="rId67" name="Option Button 64">
              <controlPr defaultSize="0" autoFill="0" autoLine="0" autoPict="0">
                <anchor moveWithCells="1">
                  <from>
                    <xdr:col>11</xdr:col>
                    <xdr:colOff>60960</xdr:colOff>
                    <xdr:row>46</xdr:row>
                    <xdr:rowOff>60960</xdr:rowOff>
                  </from>
                  <to>
                    <xdr:col>11</xdr:col>
                    <xdr:colOff>281940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1" r:id="rId68" name="Option Button 65">
              <controlPr defaultSize="0" autoFill="0" autoLine="0" autoPict="0">
                <anchor moveWithCells="1">
                  <from>
                    <xdr:col>13</xdr:col>
                    <xdr:colOff>45720</xdr:colOff>
                    <xdr:row>46</xdr:row>
                    <xdr:rowOff>60960</xdr:rowOff>
                  </from>
                  <to>
                    <xdr:col>13</xdr:col>
                    <xdr:colOff>266700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2" r:id="rId69" name="Option Button 66">
              <controlPr defaultSize="0" autoFill="0" autoLine="0" autoPict="0">
                <anchor moveWithCells="1">
                  <from>
                    <xdr:col>15</xdr:col>
                    <xdr:colOff>38100</xdr:colOff>
                    <xdr:row>46</xdr:row>
                    <xdr:rowOff>60960</xdr:rowOff>
                  </from>
                  <to>
                    <xdr:col>15</xdr:col>
                    <xdr:colOff>259080</xdr:colOff>
                    <xdr:row>46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3" r:id="rId70" name="Group Box 67">
              <controlPr defaultSize="0" print="0" autoFill="0" autoPict="0">
                <anchor moveWithCells="1">
                  <from>
                    <xdr:col>6</xdr:col>
                    <xdr:colOff>68580</xdr:colOff>
                    <xdr:row>49</xdr:row>
                    <xdr:rowOff>7620</xdr:rowOff>
                  </from>
                  <to>
                    <xdr:col>16</xdr:col>
                    <xdr:colOff>76200</xdr:colOff>
                    <xdr:row>49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4" r:id="rId71" name="Option Button 68">
              <controlPr defaultSize="0" autoFill="0" autoLine="0" autoPict="0">
                <anchor moveWithCells="1">
                  <from>
                    <xdr:col>7</xdr:col>
                    <xdr:colOff>76200</xdr:colOff>
                    <xdr:row>49</xdr:row>
                    <xdr:rowOff>45720</xdr:rowOff>
                  </from>
                  <to>
                    <xdr:col>7</xdr:col>
                    <xdr:colOff>297180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5" r:id="rId72" name="Option Button 69">
              <controlPr defaultSize="0" autoFill="0" autoLine="0" autoPict="0">
                <anchor moveWithCells="1">
                  <from>
                    <xdr:col>9</xdr:col>
                    <xdr:colOff>68580</xdr:colOff>
                    <xdr:row>49</xdr:row>
                    <xdr:rowOff>45720</xdr:rowOff>
                  </from>
                  <to>
                    <xdr:col>9</xdr:col>
                    <xdr:colOff>289560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6" r:id="rId73" name="Option Button 70">
              <controlPr defaultSize="0" autoFill="0" autoLine="0" autoPict="0">
                <anchor moveWithCells="1">
                  <from>
                    <xdr:col>11</xdr:col>
                    <xdr:colOff>60960</xdr:colOff>
                    <xdr:row>49</xdr:row>
                    <xdr:rowOff>45720</xdr:rowOff>
                  </from>
                  <to>
                    <xdr:col>11</xdr:col>
                    <xdr:colOff>281940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7" r:id="rId74" name="Option Button 71">
              <controlPr defaultSize="0" autoFill="0" autoLine="0" autoPict="0">
                <anchor moveWithCells="1">
                  <from>
                    <xdr:col>13</xdr:col>
                    <xdr:colOff>53340</xdr:colOff>
                    <xdr:row>49</xdr:row>
                    <xdr:rowOff>45720</xdr:rowOff>
                  </from>
                  <to>
                    <xdr:col>13</xdr:col>
                    <xdr:colOff>266700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8" r:id="rId75" name="Option Button 72">
              <controlPr defaultSize="0" autoFill="0" autoLine="0" autoPict="0">
                <anchor moveWithCells="1">
                  <from>
                    <xdr:col>15</xdr:col>
                    <xdr:colOff>38100</xdr:colOff>
                    <xdr:row>49</xdr:row>
                    <xdr:rowOff>45720</xdr:rowOff>
                  </from>
                  <to>
                    <xdr:col>15</xdr:col>
                    <xdr:colOff>259080</xdr:colOff>
                    <xdr:row>49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9" r:id="rId76" name="Group Box 73">
              <controlPr defaultSize="0" print="0" autoFill="0" autoPict="0">
                <anchor moveWithCells="1">
                  <from>
                    <xdr:col>6</xdr:col>
                    <xdr:colOff>68580</xdr:colOff>
                    <xdr:row>50</xdr:row>
                    <xdr:rowOff>0</xdr:rowOff>
                  </from>
                  <to>
                    <xdr:col>16</xdr:col>
                    <xdr:colOff>76200</xdr:colOff>
                    <xdr:row>50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0" r:id="rId77" name="Option Button 74">
              <controlPr defaultSize="0" autoFill="0" autoLine="0" autoPict="0">
                <anchor moveWithCells="1">
                  <from>
                    <xdr:col>7</xdr:col>
                    <xdr:colOff>76200</xdr:colOff>
                    <xdr:row>50</xdr:row>
                    <xdr:rowOff>30480</xdr:rowOff>
                  </from>
                  <to>
                    <xdr:col>7</xdr:col>
                    <xdr:colOff>297180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1" r:id="rId78" name="Option Button 75">
              <controlPr defaultSize="0" autoFill="0" autoLine="0" autoPict="0">
                <anchor moveWithCells="1">
                  <from>
                    <xdr:col>9</xdr:col>
                    <xdr:colOff>68580</xdr:colOff>
                    <xdr:row>50</xdr:row>
                    <xdr:rowOff>30480</xdr:rowOff>
                  </from>
                  <to>
                    <xdr:col>9</xdr:col>
                    <xdr:colOff>289560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2" r:id="rId79" name="Option Button 76">
              <controlPr defaultSize="0" autoFill="0" autoLine="0" autoPict="0">
                <anchor moveWithCells="1">
                  <from>
                    <xdr:col>11</xdr:col>
                    <xdr:colOff>60960</xdr:colOff>
                    <xdr:row>50</xdr:row>
                    <xdr:rowOff>30480</xdr:rowOff>
                  </from>
                  <to>
                    <xdr:col>11</xdr:col>
                    <xdr:colOff>281940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3" r:id="rId80" name="Option Button 77">
              <controlPr defaultSize="0" autoFill="0" autoLine="0" autoPict="0">
                <anchor moveWithCells="1">
                  <from>
                    <xdr:col>13</xdr:col>
                    <xdr:colOff>53340</xdr:colOff>
                    <xdr:row>50</xdr:row>
                    <xdr:rowOff>30480</xdr:rowOff>
                  </from>
                  <to>
                    <xdr:col>13</xdr:col>
                    <xdr:colOff>266700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4" r:id="rId81" name="Option Button 78">
              <controlPr defaultSize="0" autoFill="0" autoLine="0" autoPict="0">
                <anchor moveWithCells="1">
                  <from>
                    <xdr:col>15</xdr:col>
                    <xdr:colOff>38100</xdr:colOff>
                    <xdr:row>50</xdr:row>
                    <xdr:rowOff>30480</xdr:rowOff>
                  </from>
                  <to>
                    <xdr:col>15</xdr:col>
                    <xdr:colOff>259080</xdr:colOff>
                    <xdr:row>50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5" r:id="rId82" name="Group Box 79">
              <controlPr defaultSize="0" print="0" autoFill="0" autoPict="0">
                <anchor moveWithCells="1">
                  <from>
                    <xdr:col>6</xdr:col>
                    <xdr:colOff>68580</xdr:colOff>
                    <xdr:row>54</xdr:row>
                    <xdr:rowOff>7620</xdr:rowOff>
                  </from>
                  <to>
                    <xdr:col>16</xdr:col>
                    <xdr:colOff>76200</xdr:colOff>
                    <xdr:row>54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6" r:id="rId83" name="Option Button 80">
              <controlPr defaultSize="0" autoFill="0" autoLine="0" autoPict="0">
                <anchor moveWithCells="1">
                  <from>
                    <xdr:col>7</xdr:col>
                    <xdr:colOff>76200</xdr:colOff>
                    <xdr:row>54</xdr:row>
                    <xdr:rowOff>45720</xdr:rowOff>
                  </from>
                  <to>
                    <xdr:col>7</xdr:col>
                    <xdr:colOff>297180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7" r:id="rId84" name="Option Button 81">
              <controlPr defaultSize="0" autoFill="0" autoLine="0" autoPict="0">
                <anchor moveWithCells="1">
                  <from>
                    <xdr:col>9</xdr:col>
                    <xdr:colOff>68580</xdr:colOff>
                    <xdr:row>54</xdr:row>
                    <xdr:rowOff>45720</xdr:rowOff>
                  </from>
                  <to>
                    <xdr:col>9</xdr:col>
                    <xdr:colOff>289560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8" r:id="rId85" name="Option Button 82">
              <controlPr defaultSize="0" autoFill="0" autoLine="0" autoPict="0">
                <anchor moveWithCells="1">
                  <from>
                    <xdr:col>11</xdr:col>
                    <xdr:colOff>60960</xdr:colOff>
                    <xdr:row>54</xdr:row>
                    <xdr:rowOff>45720</xdr:rowOff>
                  </from>
                  <to>
                    <xdr:col>11</xdr:col>
                    <xdr:colOff>281940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9" r:id="rId86" name="Option Button 83">
              <controlPr defaultSize="0" autoFill="0" autoLine="0" autoPict="0">
                <anchor moveWithCells="1">
                  <from>
                    <xdr:col>13</xdr:col>
                    <xdr:colOff>53340</xdr:colOff>
                    <xdr:row>54</xdr:row>
                    <xdr:rowOff>45720</xdr:rowOff>
                  </from>
                  <to>
                    <xdr:col>13</xdr:col>
                    <xdr:colOff>266700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0" r:id="rId87" name="Option Button 84">
              <controlPr defaultSize="0" autoFill="0" autoLine="0" autoPict="0">
                <anchor moveWithCells="1">
                  <from>
                    <xdr:col>15</xdr:col>
                    <xdr:colOff>38100</xdr:colOff>
                    <xdr:row>54</xdr:row>
                    <xdr:rowOff>45720</xdr:rowOff>
                  </from>
                  <to>
                    <xdr:col>15</xdr:col>
                    <xdr:colOff>259080</xdr:colOff>
                    <xdr:row>54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1" r:id="rId88" name="Group Box 85">
              <controlPr defaultSize="0" print="0" autoFill="0" autoPict="0">
                <anchor moveWithCells="1">
                  <from>
                    <xdr:col>6</xdr:col>
                    <xdr:colOff>68580</xdr:colOff>
                    <xdr:row>56</xdr:row>
                    <xdr:rowOff>30480</xdr:rowOff>
                  </from>
                  <to>
                    <xdr:col>16</xdr:col>
                    <xdr:colOff>76200</xdr:colOff>
                    <xdr:row>56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2" r:id="rId89" name="Option Button 86">
              <controlPr defaultSize="0" autoFill="0" autoLine="0" autoPict="0">
                <anchor moveWithCells="1">
                  <from>
                    <xdr:col>7</xdr:col>
                    <xdr:colOff>76200</xdr:colOff>
                    <xdr:row>56</xdr:row>
                    <xdr:rowOff>60960</xdr:rowOff>
                  </from>
                  <to>
                    <xdr:col>7</xdr:col>
                    <xdr:colOff>297180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3" r:id="rId90" name="Option Button 87">
              <controlPr defaultSize="0" autoFill="0" autoLine="0" autoPict="0">
                <anchor moveWithCells="1">
                  <from>
                    <xdr:col>9</xdr:col>
                    <xdr:colOff>68580</xdr:colOff>
                    <xdr:row>56</xdr:row>
                    <xdr:rowOff>60960</xdr:rowOff>
                  </from>
                  <to>
                    <xdr:col>9</xdr:col>
                    <xdr:colOff>289560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4" r:id="rId91" name="Option Button 88">
              <controlPr defaultSize="0" autoFill="0" autoLine="0" autoPict="0">
                <anchor moveWithCells="1">
                  <from>
                    <xdr:col>11</xdr:col>
                    <xdr:colOff>60960</xdr:colOff>
                    <xdr:row>56</xdr:row>
                    <xdr:rowOff>60960</xdr:rowOff>
                  </from>
                  <to>
                    <xdr:col>11</xdr:col>
                    <xdr:colOff>281940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5" r:id="rId92" name="Option Button 89">
              <controlPr defaultSize="0" autoFill="0" autoLine="0" autoPict="0">
                <anchor moveWithCells="1">
                  <from>
                    <xdr:col>13</xdr:col>
                    <xdr:colOff>45720</xdr:colOff>
                    <xdr:row>56</xdr:row>
                    <xdr:rowOff>60960</xdr:rowOff>
                  </from>
                  <to>
                    <xdr:col>13</xdr:col>
                    <xdr:colOff>266700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6" r:id="rId93" name="Option Button 90">
              <controlPr defaultSize="0" autoFill="0" autoLine="0" autoPict="0">
                <anchor moveWithCells="1">
                  <from>
                    <xdr:col>15</xdr:col>
                    <xdr:colOff>38100</xdr:colOff>
                    <xdr:row>56</xdr:row>
                    <xdr:rowOff>60960</xdr:rowOff>
                  </from>
                  <to>
                    <xdr:col>15</xdr:col>
                    <xdr:colOff>259080</xdr:colOff>
                    <xdr:row>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7" r:id="rId94" name="Group Box 91">
              <controlPr defaultSize="0" print="0" autoFill="0" autoPict="0">
                <anchor moveWithCells="1">
                  <from>
                    <xdr:col>6</xdr:col>
                    <xdr:colOff>68580</xdr:colOff>
                    <xdr:row>61</xdr:row>
                    <xdr:rowOff>30480</xdr:rowOff>
                  </from>
                  <to>
                    <xdr:col>16</xdr:col>
                    <xdr:colOff>76200</xdr:colOff>
                    <xdr:row>61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8" r:id="rId95" name="Option Button 92">
              <controlPr defaultSize="0" autoFill="0" autoLine="0" autoPict="0">
                <anchor moveWithCells="1">
                  <from>
                    <xdr:col>7</xdr:col>
                    <xdr:colOff>76200</xdr:colOff>
                    <xdr:row>61</xdr:row>
                    <xdr:rowOff>60960</xdr:rowOff>
                  </from>
                  <to>
                    <xdr:col>7</xdr:col>
                    <xdr:colOff>297180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9" r:id="rId96" name="Option Button 93">
              <controlPr defaultSize="0" autoFill="0" autoLine="0" autoPict="0">
                <anchor moveWithCells="1">
                  <from>
                    <xdr:col>9</xdr:col>
                    <xdr:colOff>68580</xdr:colOff>
                    <xdr:row>61</xdr:row>
                    <xdr:rowOff>60960</xdr:rowOff>
                  </from>
                  <to>
                    <xdr:col>9</xdr:col>
                    <xdr:colOff>289560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0" r:id="rId97" name="Option Button 94">
              <controlPr defaultSize="0" autoFill="0" autoLine="0" autoPict="0">
                <anchor moveWithCells="1">
                  <from>
                    <xdr:col>11</xdr:col>
                    <xdr:colOff>60960</xdr:colOff>
                    <xdr:row>61</xdr:row>
                    <xdr:rowOff>60960</xdr:rowOff>
                  </from>
                  <to>
                    <xdr:col>11</xdr:col>
                    <xdr:colOff>281940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1" r:id="rId98" name="Option Button 95">
              <controlPr defaultSize="0" autoFill="0" autoLine="0" autoPict="0">
                <anchor moveWithCells="1">
                  <from>
                    <xdr:col>13</xdr:col>
                    <xdr:colOff>45720</xdr:colOff>
                    <xdr:row>61</xdr:row>
                    <xdr:rowOff>60960</xdr:rowOff>
                  </from>
                  <to>
                    <xdr:col>13</xdr:col>
                    <xdr:colOff>266700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2" r:id="rId99" name="Option Button 96">
              <controlPr defaultSize="0" autoFill="0" autoLine="0" autoPict="0">
                <anchor moveWithCells="1">
                  <from>
                    <xdr:col>15</xdr:col>
                    <xdr:colOff>38100</xdr:colOff>
                    <xdr:row>61</xdr:row>
                    <xdr:rowOff>60960</xdr:rowOff>
                  </from>
                  <to>
                    <xdr:col>15</xdr:col>
                    <xdr:colOff>259080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3" r:id="rId100" name="Group Box 97">
              <controlPr defaultSize="0" print="0" autoFill="0" autoPict="0">
                <anchor moveWithCells="1">
                  <from>
                    <xdr:col>6</xdr:col>
                    <xdr:colOff>68580</xdr:colOff>
                    <xdr:row>69</xdr:row>
                    <xdr:rowOff>30480</xdr:rowOff>
                  </from>
                  <to>
                    <xdr:col>16</xdr:col>
                    <xdr:colOff>76200</xdr:colOff>
                    <xdr:row>69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4" r:id="rId101" name="Option Button 98">
              <controlPr defaultSize="0" autoFill="0" autoLine="0" autoPict="0">
                <anchor moveWithCells="1">
                  <from>
                    <xdr:col>7</xdr:col>
                    <xdr:colOff>76200</xdr:colOff>
                    <xdr:row>69</xdr:row>
                    <xdr:rowOff>60960</xdr:rowOff>
                  </from>
                  <to>
                    <xdr:col>7</xdr:col>
                    <xdr:colOff>297180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5" r:id="rId102" name="Option Button 99">
              <controlPr defaultSize="0" autoFill="0" autoLine="0" autoPict="0">
                <anchor moveWithCells="1">
                  <from>
                    <xdr:col>9</xdr:col>
                    <xdr:colOff>68580</xdr:colOff>
                    <xdr:row>69</xdr:row>
                    <xdr:rowOff>60960</xdr:rowOff>
                  </from>
                  <to>
                    <xdr:col>9</xdr:col>
                    <xdr:colOff>289560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6" r:id="rId103" name="Option Button 100">
              <controlPr defaultSize="0" autoFill="0" autoLine="0" autoPict="0">
                <anchor moveWithCells="1">
                  <from>
                    <xdr:col>11</xdr:col>
                    <xdr:colOff>60960</xdr:colOff>
                    <xdr:row>69</xdr:row>
                    <xdr:rowOff>60960</xdr:rowOff>
                  </from>
                  <to>
                    <xdr:col>11</xdr:col>
                    <xdr:colOff>281940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7" r:id="rId104" name="Option Button 101">
              <controlPr defaultSize="0" autoFill="0" autoLine="0" autoPict="0">
                <anchor moveWithCells="1">
                  <from>
                    <xdr:col>13</xdr:col>
                    <xdr:colOff>45720</xdr:colOff>
                    <xdr:row>69</xdr:row>
                    <xdr:rowOff>60960</xdr:rowOff>
                  </from>
                  <to>
                    <xdr:col>13</xdr:col>
                    <xdr:colOff>266700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8" r:id="rId105" name="Option Button 102">
              <controlPr defaultSize="0" autoFill="0" autoLine="0" autoPict="0">
                <anchor moveWithCells="1">
                  <from>
                    <xdr:col>15</xdr:col>
                    <xdr:colOff>38100</xdr:colOff>
                    <xdr:row>69</xdr:row>
                    <xdr:rowOff>60960</xdr:rowOff>
                  </from>
                  <to>
                    <xdr:col>15</xdr:col>
                    <xdr:colOff>259080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9" r:id="rId106" name="Group Box 103">
              <controlPr defaultSize="0" print="0" autoFill="0" autoPict="0">
                <anchor moveWithCells="1">
                  <from>
                    <xdr:col>6</xdr:col>
                    <xdr:colOff>68580</xdr:colOff>
                    <xdr:row>76</xdr:row>
                    <xdr:rowOff>30480</xdr:rowOff>
                  </from>
                  <to>
                    <xdr:col>16</xdr:col>
                    <xdr:colOff>76200</xdr:colOff>
                    <xdr:row>76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0" r:id="rId107" name="Option Button 104">
              <controlPr defaultSize="0" autoFill="0" autoLine="0" autoPict="0">
                <anchor moveWithCells="1">
                  <from>
                    <xdr:col>7</xdr:col>
                    <xdr:colOff>76200</xdr:colOff>
                    <xdr:row>76</xdr:row>
                    <xdr:rowOff>60960</xdr:rowOff>
                  </from>
                  <to>
                    <xdr:col>7</xdr:col>
                    <xdr:colOff>297180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1" r:id="rId108" name="Option Button 105">
              <controlPr defaultSize="0" autoFill="0" autoLine="0" autoPict="0">
                <anchor moveWithCells="1">
                  <from>
                    <xdr:col>9</xdr:col>
                    <xdr:colOff>68580</xdr:colOff>
                    <xdr:row>76</xdr:row>
                    <xdr:rowOff>60960</xdr:rowOff>
                  </from>
                  <to>
                    <xdr:col>9</xdr:col>
                    <xdr:colOff>289560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2" r:id="rId109" name="Option Button 106">
              <controlPr defaultSize="0" autoFill="0" autoLine="0" autoPict="0">
                <anchor moveWithCells="1">
                  <from>
                    <xdr:col>11</xdr:col>
                    <xdr:colOff>60960</xdr:colOff>
                    <xdr:row>76</xdr:row>
                    <xdr:rowOff>60960</xdr:rowOff>
                  </from>
                  <to>
                    <xdr:col>11</xdr:col>
                    <xdr:colOff>281940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3" r:id="rId110" name="Option Button 107">
              <controlPr defaultSize="0" autoFill="0" autoLine="0" autoPict="0">
                <anchor moveWithCells="1">
                  <from>
                    <xdr:col>13</xdr:col>
                    <xdr:colOff>45720</xdr:colOff>
                    <xdr:row>76</xdr:row>
                    <xdr:rowOff>60960</xdr:rowOff>
                  </from>
                  <to>
                    <xdr:col>13</xdr:col>
                    <xdr:colOff>266700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4" r:id="rId111" name="Option Button 108">
              <controlPr defaultSize="0" autoFill="0" autoLine="0" autoPict="0">
                <anchor moveWithCells="1">
                  <from>
                    <xdr:col>15</xdr:col>
                    <xdr:colOff>38100</xdr:colOff>
                    <xdr:row>76</xdr:row>
                    <xdr:rowOff>60960</xdr:rowOff>
                  </from>
                  <to>
                    <xdr:col>15</xdr:col>
                    <xdr:colOff>259080</xdr:colOff>
                    <xdr:row>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5" r:id="rId112" name="Group Box 109">
              <controlPr defaultSize="0" print="0" autoFill="0" autoPict="0">
                <anchor moveWithCells="1">
                  <from>
                    <xdr:col>6</xdr:col>
                    <xdr:colOff>68580</xdr:colOff>
                    <xdr:row>14</xdr:row>
                    <xdr:rowOff>7620</xdr:rowOff>
                  </from>
                  <to>
                    <xdr:col>16</xdr:col>
                    <xdr:colOff>76200</xdr:colOff>
                    <xdr:row>14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6" r:id="rId113" name="Option Button 110">
              <controlPr defaultSize="0" autoFill="0" autoLine="0" autoPict="0">
                <anchor moveWithCells="1">
                  <from>
                    <xdr:col>7</xdr:col>
                    <xdr:colOff>76200</xdr:colOff>
                    <xdr:row>14</xdr:row>
                    <xdr:rowOff>45720</xdr:rowOff>
                  </from>
                  <to>
                    <xdr:col>7</xdr:col>
                    <xdr:colOff>297180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7" r:id="rId114" name="Option Button 111">
              <controlPr defaultSize="0" autoFill="0" autoLine="0" autoPict="0">
                <anchor moveWithCells="1">
                  <from>
                    <xdr:col>9</xdr:col>
                    <xdr:colOff>68580</xdr:colOff>
                    <xdr:row>14</xdr:row>
                    <xdr:rowOff>45720</xdr:rowOff>
                  </from>
                  <to>
                    <xdr:col>9</xdr:col>
                    <xdr:colOff>289560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8" r:id="rId115" name="Option Button 112">
              <controlPr defaultSize="0" autoFill="0" autoLine="0" autoPict="0">
                <anchor moveWithCells="1">
                  <from>
                    <xdr:col>11</xdr:col>
                    <xdr:colOff>60960</xdr:colOff>
                    <xdr:row>14</xdr:row>
                    <xdr:rowOff>45720</xdr:rowOff>
                  </from>
                  <to>
                    <xdr:col>11</xdr:col>
                    <xdr:colOff>281940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9" r:id="rId116" name="Option Button 113">
              <controlPr defaultSize="0" autoFill="0" autoLine="0" autoPict="0">
                <anchor moveWithCells="1">
                  <from>
                    <xdr:col>13</xdr:col>
                    <xdr:colOff>53340</xdr:colOff>
                    <xdr:row>14</xdr:row>
                    <xdr:rowOff>45720</xdr:rowOff>
                  </from>
                  <to>
                    <xdr:col>13</xdr:col>
                    <xdr:colOff>266700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0" r:id="rId117" name="Option Button 114">
              <controlPr defaultSize="0" autoFill="0" autoLine="0" autoPict="0">
                <anchor moveWithCells="1">
                  <from>
                    <xdr:col>15</xdr:col>
                    <xdr:colOff>38100</xdr:colOff>
                    <xdr:row>14</xdr:row>
                    <xdr:rowOff>45720</xdr:rowOff>
                  </from>
                  <to>
                    <xdr:col>15</xdr:col>
                    <xdr:colOff>259080</xdr:colOff>
                    <xdr:row>14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1" r:id="rId118" name="Group Box 115">
              <controlPr defaultSize="0" print="0" autoFill="0" autoPict="0">
                <anchor moveWithCells="1">
                  <from>
                    <xdr:col>6</xdr:col>
                    <xdr:colOff>68580</xdr:colOff>
                    <xdr:row>15</xdr:row>
                    <xdr:rowOff>7620</xdr:rowOff>
                  </from>
                  <to>
                    <xdr:col>16</xdr:col>
                    <xdr:colOff>76200</xdr:colOff>
                    <xdr:row>15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2" r:id="rId119" name="Option Button 116">
              <controlPr defaultSize="0" autoFill="0" autoLine="0" autoPict="0">
                <anchor moveWithCells="1">
                  <from>
                    <xdr:col>7</xdr:col>
                    <xdr:colOff>76200</xdr:colOff>
                    <xdr:row>15</xdr:row>
                    <xdr:rowOff>45720</xdr:rowOff>
                  </from>
                  <to>
                    <xdr:col>7</xdr:col>
                    <xdr:colOff>297180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3" r:id="rId120" name="Option Button 117">
              <controlPr defaultSize="0" autoFill="0" autoLine="0" autoPict="0">
                <anchor moveWithCells="1">
                  <from>
                    <xdr:col>9</xdr:col>
                    <xdr:colOff>68580</xdr:colOff>
                    <xdr:row>15</xdr:row>
                    <xdr:rowOff>45720</xdr:rowOff>
                  </from>
                  <to>
                    <xdr:col>9</xdr:col>
                    <xdr:colOff>289560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4" r:id="rId121" name="Option Button 118">
              <controlPr defaultSize="0" autoFill="0" autoLine="0" autoPict="0">
                <anchor moveWithCells="1">
                  <from>
                    <xdr:col>11</xdr:col>
                    <xdr:colOff>60960</xdr:colOff>
                    <xdr:row>15</xdr:row>
                    <xdr:rowOff>45720</xdr:rowOff>
                  </from>
                  <to>
                    <xdr:col>11</xdr:col>
                    <xdr:colOff>281940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5" r:id="rId122" name="Option Button 119">
              <controlPr defaultSize="0" autoFill="0" autoLine="0" autoPict="0">
                <anchor moveWithCells="1">
                  <from>
                    <xdr:col>13</xdr:col>
                    <xdr:colOff>53340</xdr:colOff>
                    <xdr:row>15</xdr:row>
                    <xdr:rowOff>45720</xdr:rowOff>
                  </from>
                  <to>
                    <xdr:col>13</xdr:col>
                    <xdr:colOff>266700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6" r:id="rId123" name="Option Button 120">
              <controlPr defaultSize="0" autoFill="0" autoLine="0" autoPict="0">
                <anchor moveWithCells="1">
                  <from>
                    <xdr:col>15</xdr:col>
                    <xdr:colOff>38100</xdr:colOff>
                    <xdr:row>15</xdr:row>
                    <xdr:rowOff>45720</xdr:rowOff>
                  </from>
                  <to>
                    <xdr:col>15</xdr:col>
                    <xdr:colOff>259080</xdr:colOff>
                    <xdr:row>15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7" r:id="rId124" name="Group Box 121">
              <controlPr defaultSize="0" print="0" autoFill="0" autoPict="0">
                <anchor moveWithCells="1">
                  <from>
                    <xdr:col>6</xdr:col>
                    <xdr:colOff>68580</xdr:colOff>
                    <xdr:row>16</xdr:row>
                    <xdr:rowOff>7620</xdr:rowOff>
                  </from>
                  <to>
                    <xdr:col>16</xdr:col>
                    <xdr:colOff>76200</xdr:colOff>
                    <xdr:row>16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8" r:id="rId125" name="Option Button 122">
              <controlPr defaultSize="0" autoFill="0" autoLine="0" autoPict="0">
                <anchor moveWithCells="1">
                  <from>
                    <xdr:col>7</xdr:col>
                    <xdr:colOff>76200</xdr:colOff>
                    <xdr:row>16</xdr:row>
                    <xdr:rowOff>45720</xdr:rowOff>
                  </from>
                  <to>
                    <xdr:col>7</xdr:col>
                    <xdr:colOff>297180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9" r:id="rId126" name="Option Button 123">
              <controlPr defaultSize="0" autoFill="0" autoLine="0" autoPict="0">
                <anchor moveWithCells="1">
                  <from>
                    <xdr:col>9</xdr:col>
                    <xdr:colOff>68580</xdr:colOff>
                    <xdr:row>16</xdr:row>
                    <xdr:rowOff>45720</xdr:rowOff>
                  </from>
                  <to>
                    <xdr:col>9</xdr:col>
                    <xdr:colOff>289560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0" r:id="rId127" name="Option Button 124">
              <controlPr defaultSize="0" autoFill="0" autoLine="0" autoPict="0">
                <anchor moveWithCells="1">
                  <from>
                    <xdr:col>11</xdr:col>
                    <xdr:colOff>60960</xdr:colOff>
                    <xdr:row>16</xdr:row>
                    <xdr:rowOff>45720</xdr:rowOff>
                  </from>
                  <to>
                    <xdr:col>11</xdr:col>
                    <xdr:colOff>281940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1" r:id="rId128" name="Option Button 125">
              <controlPr defaultSize="0" autoFill="0" autoLine="0" autoPict="0">
                <anchor moveWithCells="1">
                  <from>
                    <xdr:col>13</xdr:col>
                    <xdr:colOff>53340</xdr:colOff>
                    <xdr:row>16</xdr:row>
                    <xdr:rowOff>45720</xdr:rowOff>
                  </from>
                  <to>
                    <xdr:col>13</xdr:col>
                    <xdr:colOff>266700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2" r:id="rId129" name="Option Button 126">
              <controlPr defaultSize="0" autoFill="0" autoLine="0" autoPict="0">
                <anchor moveWithCells="1">
                  <from>
                    <xdr:col>15</xdr:col>
                    <xdr:colOff>38100</xdr:colOff>
                    <xdr:row>16</xdr:row>
                    <xdr:rowOff>45720</xdr:rowOff>
                  </from>
                  <to>
                    <xdr:col>15</xdr:col>
                    <xdr:colOff>259080</xdr:colOff>
                    <xdr:row>16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3" r:id="rId130" name="Group Box 127">
              <controlPr defaultSize="0" print="0" autoFill="0" autoPict="0">
                <anchor moveWithCells="1">
                  <from>
                    <xdr:col>6</xdr:col>
                    <xdr:colOff>68580</xdr:colOff>
                    <xdr:row>18</xdr:row>
                    <xdr:rowOff>7620</xdr:rowOff>
                  </from>
                  <to>
                    <xdr:col>16</xdr:col>
                    <xdr:colOff>76200</xdr:colOff>
                    <xdr:row>18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4" r:id="rId131" name="Option Button 128">
              <controlPr defaultSize="0" autoFill="0" autoLine="0" autoPict="0">
                <anchor moveWithCells="1">
                  <from>
                    <xdr:col>7</xdr:col>
                    <xdr:colOff>76200</xdr:colOff>
                    <xdr:row>18</xdr:row>
                    <xdr:rowOff>45720</xdr:rowOff>
                  </from>
                  <to>
                    <xdr:col>7</xdr:col>
                    <xdr:colOff>297180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5" r:id="rId132" name="Option Button 129">
              <controlPr defaultSize="0" autoFill="0" autoLine="0" autoPict="0">
                <anchor moveWithCells="1">
                  <from>
                    <xdr:col>9</xdr:col>
                    <xdr:colOff>68580</xdr:colOff>
                    <xdr:row>18</xdr:row>
                    <xdr:rowOff>45720</xdr:rowOff>
                  </from>
                  <to>
                    <xdr:col>9</xdr:col>
                    <xdr:colOff>289560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6" r:id="rId133" name="Option Button 130">
              <controlPr defaultSize="0" autoFill="0" autoLine="0" autoPict="0">
                <anchor moveWithCells="1">
                  <from>
                    <xdr:col>11</xdr:col>
                    <xdr:colOff>60960</xdr:colOff>
                    <xdr:row>18</xdr:row>
                    <xdr:rowOff>45720</xdr:rowOff>
                  </from>
                  <to>
                    <xdr:col>11</xdr:col>
                    <xdr:colOff>281940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7" r:id="rId134" name="Option Button 131">
              <controlPr defaultSize="0" autoFill="0" autoLine="0" autoPict="0">
                <anchor moveWithCells="1">
                  <from>
                    <xdr:col>13</xdr:col>
                    <xdr:colOff>53340</xdr:colOff>
                    <xdr:row>18</xdr:row>
                    <xdr:rowOff>45720</xdr:rowOff>
                  </from>
                  <to>
                    <xdr:col>13</xdr:col>
                    <xdr:colOff>266700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8" r:id="rId135" name="Option Button 132">
              <controlPr defaultSize="0" autoFill="0" autoLine="0" autoPict="0">
                <anchor moveWithCells="1">
                  <from>
                    <xdr:col>15</xdr:col>
                    <xdr:colOff>38100</xdr:colOff>
                    <xdr:row>18</xdr:row>
                    <xdr:rowOff>45720</xdr:rowOff>
                  </from>
                  <to>
                    <xdr:col>15</xdr:col>
                    <xdr:colOff>259080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9" r:id="rId136" name="Group Box 133">
              <controlPr defaultSize="0" print="0" autoFill="0" autoPict="0">
                <anchor moveWithCells="1">
                  <from>
                    <xdr:col>6</xdr:col>
                    <xdr:colOff>68580</xdr:colOff>
                    <xdr:row>19</xdr:row>
                    <xdr:rowOff>7620</xdr:rowOff>
                  </from>
                  <to>
                    <xdr:col>16</xdr:col>
                    <xdr:colOff>76200</xdr:colOff>
                    <xdr:row>19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0" r:id="rId137" name="Option Button 134">
              <controlPr defaultSize="0" autoFill="0" autoLine="0" autoPict="0">
                <anchor moveWithCells="1">
                  <from>
                    <xdr:col>7</xdr:col>
                    <xdr:colOff>76200</xdr:colOff>
                    <xdr:row>19</xdr:row>
                    <xdr:rowOff>45720</xdr:rowOff>
                  </from>
                  <to>
                    <xdr:col>7</xdr:col>
                    <xdr:colOff>297180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1" r:id="rId138" name="Option Button 135">
              <controlPr defaultSize="0" autoFill="0" autoLine="0" autoPict="0">
                <anchor moveWithCells="1">
                  <from>
                    <xdr:col>9</xdr:col>
                    <xdr:colOff>68580</xdr:colOff>
                    <xdr:row>19</xdr:row>
                    <xdr:rowOff>45720</xdr:rowOff>
                  </from>
                  <to>
                    <xdr:col>9</xdr:col>
                    <xdr:colOff>289560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2" r:id="rId139" name="Option Button 136">
              <controlPr defaultSize="0" autoFill="0" autoLine="0" autoPict="0">
                <anchor moveWithCells="1">
                  <from>
                    <xdr:col>11</xdr:col>
                    <xdr:colOff>60960</xdr:colOff>
                    <xdr:row>19</xdr:row>
                    <xdr:rowOff>45720</xdr:rowOff>
                  </from>
                  <to>
                    <xdr:col>11</xdr:col>
                    <xdr:colOff>281940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3" r:id="rId140" name="Option Button 137">
              <controlPr defaultSize="0" autoFill="0" autoLine="0" autoPict="0">
                <anchor moveWithCells="1">
                  <from>
                    <xdr:col>13</xdr:col>
                    <xdr:colOff>53340</xdr:colOff>
                    <xdr:row>19</xdr:row>
                    <xdr:rowOff>45720</xdr:rowOff>
                  </from>
                  <to>
                    <xdr:col>13</xdr:col>
                    <xdr:colOff>266700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4" r:id="rId141" name="Option Button 138">
              <controlPr defaultSize="0" autoFill="0" autoLine="0" autoPict="0">
                <anchor moveWithCells="1">
                  <from>
                    <xdr:col>15</xdr:col>
                    <xdr:colOff>38100</xdr:colOff>
                    <xdr:row>19</xdr:row>
                    <xdr:rowOff>45720</xdr:rowOff>
                  </from>
                  <to>
                    <xdr:col>15</xdr:col>
                    <xdr:colOff>259080</xdr:colOff>
                    <xdr:row>19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5" r:id="rId142" name="Group Box 139">
              <controlPr defaultSize="0" print="0" autoFill="0" autoPict="0">
                <anchor moveWithCells="1">
                  <from>
                    <xdr:col>6</xdr:col>
                    <xdr:colOff>68580</xdr:colOff>
                    <xdr:row>20</xdr:row>
                    <xdr:rowOff>7620</xdr:rowOff>
                  </from>
                  <to>
                    <xdr:col>16</xdr:col>
                    <xdr:colOff>76200</xdr:colOff>
                    <xdr:row>20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6" r:id="rId143" name="Option Button 140">
              <controlPr defaultSize="0" autoFill="0" autoLine="0" autoPict="0">
                <anchor moveWithCells="1">
                  <from>
                    <xdr:col>7</xdr:col>
                    <xdr:colOff>76200</xdr:colOff>
                    <xdr:row>20</xdr:row>
                    <xdr:rowOff>45720</xdr:rowOff>
                  </from>
                  <to>
                    <xdr:col>7</xdr:col>
                    <xdr:colOff>297180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7" r:id="rId144" name="Option Button 141">
              <controlPr defaultSize="0" autoFill="0" autoLine="0" autoPict="0">
                <anchor moveWithCells="1">
                  <from>
                    <xdr:col>9</xdr:col>
                    <xdr:colOff>68580</xdr:colOff>
                    <xdr:row>20</xdr:row>
                    <xdr:rowOff>45720</xdr:rowOff>
                  </from>
                  <to>
                    <xdr:col>9</xdr:col>
                    <xdr:colOff>289560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8" r:id="rId145" name="Option Button 142">
              <controlPr defaultSize="0" autoFill="0" autoLine="0" autoPict="0">
                <anchor moveWithCells="1">
                  <from>
                    <xdr:col>11</xdr:col>
                    <xdr:colOff>60960</xdr:colOff>
                    <xdr:row>20</xdr:row>
                    <xdr:rowOff>45720</xdr:rowOff>
                  </from>
                  <to>
                    <xdr:col>11</xdr:col>
                    <xdr:colOff>281940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9" r:id="rId146" name="Option Button 143">
              <controlPr defaultSize="0" autoFill="0" autoLine="0" autoPict="0">
                <anchor moveWithCells="1">
                  <from>
                    <xdr:col>13</xdr:col>
                    <xdr:colOff>53340</xdr:colOff>
                    <xdr:row>20</xdr:row>
                    <xdr:rowOff>45720</xdr:rowOff>
                  </from>
                  <to>
                    <xdr:col>13</xdr:col>
                    <xdr:colOff>266700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0" r:id="rId147" name="Option Button 144">
              <controlPr defaultSize="0" autoFill="0" autoLine="0" autoPict="0">
                <anchor moveWithCells="1">
                  <from>
                    <xdr:col>15</xdr:col>
                    <xdr:colOff>38100</xdr:colOff>
                    <xdr:row>20</xdr:row>
                    <xdr:rowOff>45720</xdr:rowOff>
                  </from>
                  <to>
                    <xdr:col>15</xdr:col>
                    <xdr:colOff>259080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1" r:id="rId148" name="Group Box 145">
              <controlPr defaultSize="0" print="0" autoFill="0" autoPict="0">
                <anchor moveWithCells="1">
                  <from>
                    <xdr:col>6</xdr:col>
                    <xdr:colOff>68580</xdr:colOff>
                    <xdr:row>21</xdr:row>
                    <xdr:rowOff>0</xdr:rowOff>
                  </from>
                  <to>
                    <xdr:col>16</xdr:col>
                    <xdr:colOff>76200</xdr:colOff>
                    <xdr:row>21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2" r:id="rId149" name="Option Button 146">
              <controlPr defaultSize="0" autoFill="0" autoLine="0" autoPict="0">
                <anchor moveWithCells="1">
                  <from>
                    <xdr:col>7</xdr:col>
                    <xdr:colOff>76200</xdr:colOff>
                    <xdr:row>21</xdr:row>
                    <xdr:rowOff>30480</xdr:rowOff>
                  </from>
                  <to>
                    <xdr:col>7</xdr:col>
                    <xdr:colOff>297180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3" r:id="rId150" name="Option Button 147">
              <controlPr defaultSize="0" autoFill="0" autoLine="0" autoPict="0">
                <anchor moveWithCells="1">
                  <from>
                    <xdr:col>9</xdr:col>
                    <xdr:colOff>68580</xdr:colOff>
                    <xdr:row>21</xdr:row>
                    <xdr:rowOff>30480</xdr:rowOff>
                  </from>
                  <to>
                    <xdr:col>9</xdr:col>
                    <xdr:colOff>289560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4" r:id="rId151" name="Option Button 148">
              <controlPr defaultSize="0" autoFill="0" autoLine="0" autoPict="0">
                <anchor moveWithCells="1">
                  <from>
                    <xdr:col>11</xdr:col>
                    <xdr:colOff>60960</xdr:colOff>
                    <xdr:row>21</xdr:row>
                    <xdr:rowOff>30480</xdr:rowOff>
                  </from>
                  <to>
                    <xdr:col>11</xdr:col>
                    <xdr:colOff>281940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5" r:id="rId152" name="Option Button 149">
              <controlPr defaultSize="0" autoFill="0" autoLine="0" autoPict="0">
                <anchor moveWithCells="1">
                  <from>
                    <xdr:col>13</xdr:col>
                    <xdr:colOff>53340</xdr:colOff>
                    <xdr:row>21</xdr:row>
                    <xdr:rowOff>30480</xdr:rowOff>
                  </from>
                  <to>
                    <xdr:col>13</xdr:col>
                    <xdr:colOff>266700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6" r:id="rId153" name="Option Button 150">
              <controlPr defaultSize="0" autoFill="0" autoLine="0" autoPict="0">
                <anchor moveWithCells="1">
                  <from>
                    <xdr:col>15</xdr:col>
                    <xdr:colOff>38100</xdr:colOff>
                    <xdr:row>21</xdr:row>
                    <xdr:rowOff>30480</xdr:rowOff>
                  </from>
                  <to>
                    <xdr:col>15</xdr:col>
                    <xdr:colOff>259080</xdr:colOff>
                    <xdr:row>21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7" r:id="rId154" name="Group Box 151">
              <controlPr defaultSize="0" print="0" autoFill="0" autoPict="0">
                <anchor moveWithCells="1">
                  <from>
                    <xdr:col>6</xdr:col>
                    <xdr:colOff>68580</xdr:colOff>
                    <xdr:row>22</xdr:row>
                    <xdr:rowOff>0</xdr:rowOff>
                  </from>
                  <to>
                    <xdr:col>16</xdr:col>
                    <xdr:colOff>76200</xdr:colOff>
                    <xdr:row>22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8" r:id="rId155" name="Option Button 152">
              <controlPr defaultSize="0" autoFill="0" autoLine="0" autoPict="0">
                <anchor moveWithCells="1">
                  <from>
                    <xdr:col>7</xdr:col>
                    <xdr:colOff>76200</xdr:colOff>
                    <xdr:row>22</xdr:row>
                    <xdr:rowOff>30480</xdr:rowOff>
                  </from>
                  <to>
                    <xdr:col>7</xdr:col>
                    <xdr:colOff>297180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9" r:id="rId156" name="Option Button 153">
              <controlPr defaultSize="0" autoFill="0" autoLine="0" autoPict="0">
                <anchor moveWithCells="1">
                  <from>
                    <xdr:col>9</xdr:col>
                    <xdr:colOff>68580</xdr:colOff>
                    <xdr:row>22</xdr:row>
                    <xdr:rowOff>30480</xdr:rowOff>
                  </from>
                  <to>
                    <xdr:col>9</xdr:col>
                    <xdr:colOff>289560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0" r:id="rId157" name="Option Button 154">
              <controlPr defaultSize="0" autoFill="0" autoLine="0" autoPict="0">
                <anchor moveWithCells="1">
                  <from>
                    <xdr:col>11</xdr:col>
                    <xdr:colOff>60960</xdr:colOff>
                    <xdr:row>22</xdr:row>
                    <xdr:rowOff>30480</xdr:rowOff>
                  </from>
                  <to>
                    <xdr:col>11</xdr:col>
                    <xdr:colOff>281940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1" r:id="rId158" name="Option Button 155">
              <controlPr defaultSize="0" autoFill="0" autoLine="0" autoPict="0">
                <anchor moveWithCells="1">
                  <from>
                    <xdr:col>13</xdr:col>
                    <xdr:colOff>53340</xdr:colOff>
                    <xdr:row>22</xdr:row>
                    <xdr:rowOff>30480</xdr:rowOff>
                  </from>
                  <to>
                    <xdr:col>13</xdr:col>
                    <xdr:colOff>266700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2" r:id="rId159" name="Option Button 156">
              <controlPr defaultSize="0" autoFill="0" autoLine="0" autoPict="0">
                <anchor moveWithCells="1">
                  <from>
                    <xdr:col>15</xdr:col>
                    <xdr:colOff>38100</xdr:colOff>
                    <xdr:row>22</xdr:row>
                    <xdr:rowOff>30480</xdr:rowOff>
                  </from>
                  <to>
                    <xdr:col>15</xdr:col>
                    <xdr:colOff>259080</xdr:colOff>
                    <xdr:row>22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3" r:id="rId160" name="Group Box 157">
              <controlPr defaultSize="0" print="0" autoFill="0" autoPict="0">
                <anchor moveWithCells="1">
                  <from>
                    <xdr:col>6</xdr:col>
                    <xdr:colOff>68580</xdr:colOff>
                    <xdr:row>27</xdr:row>
                    <xdr:rowOff>15240</xdr:rowOff>
                  </from>
                  <to>
                    <xdr:col>16</xdr:col>
                    <xdr:colOff>76200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4" r:id="rId161" name="Option Button 158">
              <controlPr defaultSize="0" autoFill="0" autoLine="0" autoPict="0">
                <anchor moveWithCells="1">
                  <from>
                    <xdr:col>7</xdr:col>
                    <xdr:colOff>76200</xdr:colOff>
                    <xdr:row>27</xdr:row>
                    <xdr:rowOff>45720</xdr:rowOff>
                  </from>
                  <to>
                    <xdr:col>7</xdr:col>
                    <xdr:colOff>297180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5" r:id="rId162" name="Option Button 159">
              <controlPr defaultSize="0" autoFill="0" autoLine="0" autoPict="0">
                <anchor moveWithCells="1">
                  <from>
                    <xdr:col>9</xdr:col>
                    <xdr:colOff>68580</xdr:colOff>
                    <xdr:row>27</xdr:row>
                    <xdr:rowOff>45720</xdr:rowOff>
                  </from>
                  <to>
                    <xdr:col>9</xdr:col>
                    <xdr:colOff>289560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6" r:id="rId163" name="Option Button 160">
              <controlPr defaultSize="0" autoFill="0" autoLine="0" autoPict="0">
                <anchor moveWithCells="1">
                  <from>
                    <xdr:col>11</xdr:col>
                    <xdr:colOff>60960</xdr:colOff>
                    <xdr:row>27</xdr:row>
                    <xdr:rowOff>45720</xdr:rowOff>
                  </from>
                  <to>
                    <xdr:col>11</xdr:col>
                    <xdr:colOff>281940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7" r:id="rId164" name="Option Button 161">
              <controlPr defaultSize="0" autoFill="0" autoLine="0" autoPict="0">
                <anchor moveWithCells="1">
                  <from>
                    <xdr:col>13</xdr:col>
                    <xdr:colOff>53340</xdr:colOff>
                    <xdr:row>27</xdr:row>
                    <xdr:rowOff>45720</xdr:rowOff>
                  </from>
                  <to>
                    <xdr:col>13</xdr:col>
                    <xdr:colOff>266700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8" r:id="rId165" name="Option Button 162">
              <controlPr defaultSize="0" autoFill="0" autoLine="0" autoPict="0">
                <anchor moveWithCells="1">
                  <from>
                    <xdr:col>15</xdr:col>
                    <xdr:colOff>38100</xdr:colOff>
                    <xdr:row>27</xdr:row>
                    <xdr:rowOff>45720</xdr:rowOff>
                  </from>
                  <to>
                    <xdr:col>15</xdr:col>
                    <xdr:colOff>259080</xdr:colOff>
                    <xdr:row>27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9" r:id="rId166" name="Group Box 163">
              <controlPr defaultSize="0" print="0" autoFill="0" autoPict="0">
                <anchor moveWithCells="1">
                  <from>
                    <xdr:col>6</xdr:col>
                    <xdr:colOff>68580</xdr:colOff>
                    <xdr:row>28</xdr:row>
                    <xdr:rowOff>7620</xdr:rowOff>
                  </from>
                  <to>
                    <xdr:col>16</xdr:col>
                    <xdr:colOff>76200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0" r:id="rId167" name="Option Button 164">
              <controlPr defaultSize="0" autoFill="0" autoLine="0" autoPict="0">
                <anchor moveWithCells="1">
                  <from>
                    <xdr:col>7</xdr:col>
                    <xdr:colOff>76200</xdr:colOff>
                    <xdr:row>28</xdr:row>
                    <xdr:rowOff>38100</xdr:rowOff>
                  </from>
                  <to>
                    <xdr:col>7</xdr:col>
                    <xdr:colOff>297180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1" r:id="rId168" name="Option Button 165">
              <controlPr defaultSize="0" autoFill="0" autoLine="0" autoPict="0">
                <anchor moveWithCells="1">
                  <from>
                    <xdr:col>9</xdr:col>
                    <xdr:colOff>68580</xdr:colOff>
                    <xdr:row>28</xdr:row>
                    <xdr:rowOff>38100</xdr:rowOff>
                  </from>
                  <to>
                    <xdr:col>9</xdr:col>
                    <xdr:colOff>289560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2" r:id="rId169" name="Option Button 166">
              <controlPr defaultSize="0" autoFill="0" autoLine="0" autoPict="0">
                <anchor moveWithCells="1">
                  <from>
                    <xdr:col>11</xdr:col>
                    <xdr:colOff>60960</xdr:colOff>
                    <xdr:row>28</xdr:row>
                    <xdr:rowOff>38100</xdr:rowOff>
                  </from>
                  <to>
                    <xdr:col>11</xdr:col>
                    <xdr:colOff>281940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3" r:id="rId170" name="Option Button 167">
              <controlPr defaultSize="0" autoFill="0" autoLine="0" autoPict="0">
                <anchor moveWithCells="1">
                  <from>
                    <xdr:col>13</xdr:col>
                    <xdr:colOff>53340</xdr:colOff>
                    <xdr:row>28</xdr:row>
                    <xdr:rowOff>38100</xdr:rowOff>
                  </from>
                  <to>
                    <xdr:col>13</xdr:col>
                    <xdr:colOff>266700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4" r:id="rId171" name="Option Button 168">
              <controlPr defaultSize="0" autoFill="0" autoLine="0" autoPict="0">
                <anchor moveWithCells="1">
                  <from>
                    <xdr:col>15</xdr:col>
                    <xdr:colOff>38100</xdr:colOff>
                    <xdr:row>28</xdr:row>
                    <xdr:rowOff>38100</xdr:rowOff>
                  </from>
                  <to>
                    <xdr:col>15</xdr:col>
                    <xdr:colOff>259080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5" r:id="rId172" name="Group Box 169">
              <controlPr defaultSize="0" print="0" autoFill="0" autoPict="0">
                <anchor moveWithCells="1">
                  <from>
                    <xdr:col>6</xdr:col>
                    <xdr:colOff>68580</xdr:colOff>
                    <xdr:row>31</xdr:row>
                    <xdr:rowOff>7620</xdr:rowOff>
                  </from>
                  <to>
                    <xdr:col>16</xdr:col>
                    <xdr:colOff>76200</xdr:colOff>
                    <xdr:row>31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6" r:id="rId173" name="Option Button 170">
              <controlPr defaultSize="0" autoFill="0" autoLine="0" autoPict="0">
                <anchor moveWithCells="1">
                  <from>
                    <xdr:col>7</xdr:col>
                    <xdr:colOff>76200</xdr:colOff>
                    <xdr:row>31</xdr:row>
                    <xdr:rowOff>45720</xdr:rowOff>
                  </from>
                  <to>
                    <xdr:col>7</xdr:col>
                    <xdr:colOff>297180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7" r:id="rId174" name="Option Button 171">
              <controlPr defaultSize="0" autoFill="0" autoLine="0" autoPict="0">
                <anchor moveWithCells="1">
                  <from>
                    <xdr:col>9</xdr:col>
                    <xdr:colOff>68580</xdr:colOff>
                    <xdr:row>31</xdr:row>
                    <xdr:rowOff>45720</xdr:rowOff>
                  </from>
                  <to>
                    <xdr:col>9</xdr:col>
                    <xdr:colOff>289560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8" r:id="rId175" name="Option Button 172">
              <controlPr defaultSize="0" autoFill="0" autoLine="0" autoPict="0">
                <anchor moveWithCells="1">
                  <from>
                    <xdr:col>11</xdr:col>
                    <xdr:colOff>60960</xdr:colOff>
                    <xdr:row>31</xdr:row>
                    <xdr:rowOff>45720</xdr:rowOff>
                  </from>
                  <to>
                    <xdr:col>11</xdr:col>
                    <xdr:colOff>281940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9" r:id="rId176" name="Option Button 173">
              <controlPr defaultSize="0" autoFill="0" autoLine="0" autoPict="0">
                <anchor moveWithCells="1">
                  <from>
                    <xdr:col>13</xdr:col>
                    <xdr:colOff>53340</xdr:colOff>
                    <xdr:row>31</xdr:row>
                    <xdr:rowOff>45720</xdr:rowOff>
                  </from>
                  <to>
                    <xdr:col>13</xdr:col>
                    <xdr:colOff>266700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0" r:id="rId177" name="Option Button 174">
              <controlPr defaultSize="0" autoFill="0" autoLine="0" autoPict="0">
                <anchor moveWithCells="1">
                  <from>
                    <xdr:col>15</xdr:col>
                    <xdr:colOff>38100</xdr:colOff>
                    <xdr:row>31</xdr:row>
                    <xdr:rowOff>45720</xdr:rowOff>
                  </from>
                  <to>
                    <xdr:col>15</xdr:col>
                    <xdr:colOff>259080</xdr:colOff>
                    <xdr:row>31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1" r:id="rId178" name="Group Box 175">
              <controlPr defaultSize="0" print="0" autoFill="0" autoPict="0">
                <anchor moveWithCells="1">
                  <from>
                    <xdr:col>6</xdr:col>
                    <xdr:colOff>68580</xdr:colOff>
                    <xdr:row>32</xdr:row>
                    <xdr:rowOff>0</xdr:rowOff>
                  </from>
                  <to>
                    <xdr:col>16</xdr:col>
                    <xdr:colOff>76200</xdr:colOff>
                    <xdr:row>32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2" r:id="rId179" name="Option Button 176">
              <controlPr defaultSize="0" autoFill="0" autoLine="0" autoPict="0">
                <anchor moveWithCells="1">
                  <from>
                    <xdr:col>7</xdr:col>
                    <xdr:colOff>76200</xdr:colOff>
                    <xdr:row>32</xdr:row>
                    <xdr:rowOff>30480</xdr:rowOff>
                  </from>
                  <to>
                    <xdr:col>7</xdr:col>
                    <xdr:colOff>297180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3" r:id="rId180" name="Option Button 177">
              <controlPr defaultSize="0" autoFill="0" autoLine="0" autoPict="0">
                <anchor moveWithCells="1">
                  <from>
                    <xdr:col>9</xdr:col>
                    <xdr:colOff>68580</xdr:colOff>
                    <xdr:row>32</xdr:row>
                    <xdr:rowOff>30480</xdr:rowOff>
                  </from>
                  <to>
                    <xdr:col>9</xdr:col>
                    <xdr:colOff>289560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4" r:id="rId181" name="Option Button 178">
              <controlPr defaultSize="0" autoFill="0" autoLine="0" autoPict="0">
                <anchor moveWithCells="1">
                  <from>
                    <xdr:col>11</xdr:col>
                    <xdr:colOff>60960</xdr:colOff>
                    <xdr:row>32</xdr:row>
                    <xdr:rowOff>30480</xdr:rowOff>
                  </from>
                  <to>
                    <xdr:col>11</xdr:col>
                    <xdr:colOff>281940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5" r:id="rId182" name="Option Button 179">
              <controlPr defaultSize="0" autoFill="0" autoLine="0" autoPict="0">
                <anchor moveWithCells="1">
                  <from>
                    <xdr:col>13</xdr:col>
                    <xdr:colOff>53340</xdr:colOff>
                    <xdr:row>32</xdr:row>
                    <xdr:rowOff>30480</xdr:rowOff>
                  </from>
                  <to>
                    <xdr:col>13</xdr:col>
                    <xdr:colOff>266700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6" r:id="rId183" name="Option Button 180">
              <controlPr defaultSize="0" autoFill="0" autoLine="0" autoPict="0">
                <anchor moveWithCells="1">
                  <from>
                    <xdr:col>15</xdr:col>
                    <xdr:colOff>38100</xdr:colOff>
                    <xdr:row>32</xdr:row>
                    <xdr:rowOff>30480</xdr:rowOff>
                  </from>
                  <to>
                    <xdr:col>15</xdr:col>
                    <xdr:colOff>259080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7" r:id="rId184" name="Group Box 181">
              <controlPr defaultSize="0" print="0" autoFill="0" autoPict="0">
                <anchor moveWithCells="1">
                  <from>
                    <xdr:col>6</xdr:col>
                    <xdr:colOff>68580</xdr:colOff>
                    <xdr:row>33</xdr:row>
                    <xdr:rowOff>22860</xdr:rowOff>
                  </from>
                  <to>
                    <xdr:col>16</xdr:col>
                    <xdr:colOff>76200</xdr:colOff>
                    <xdr:row>33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8" r:id="rId185" name="Option Button 182">
              <controlPr defaultSize="0" autoFill="0" autoLine="0" autoPict="0">
                <anchor moveWithCells="1">
                  <from>
                    <xdr:col>7</xdr:col>
                    <xdr:colOff>76200</xdr:colOff>
                    <xdr:row>33</xdr:row>
                    <xdr:rowOff>53340</xdr:rowOff>
                  </from>
                  <to>
                    <xdr:col>7</xdr:col>
                    <xdr:colOff>297180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9" r:id="rId186" name="Option Button 183">
              <controlPr defaultSize="0" autoFill="0" autoLine="0" autoPict="0">
                <anchor moveWithCells="1">
                  <from>
                    <xdr:col>9</xdr:col>
                    <xdr:colOff>68580</xdr:colOff>
                    <xdr:row>33</xdr:row>
                    <xdr:rowOff>53340</xdr:rowOff>
                  </from>
                  <to>
                    <xdr:col>9</xdr:col>
                    <xdr:colOff>289560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0" r:id="rId187" name="Option Button 184">
              <controlPr defaultSize="0" autoFill="0" autoLine="0" autoPict="0">
                <anchor moveWithCells="1">
                  <from>
                    <xdr:col>11</xdr:col>
                    <xdr:colOff>60960</xdr:colOff>
                    <xdr:row>33</xdr:row>
                    <xdr:rowOff>53340</xdr:rowOff>
                  </from>
                  <to>
                    <xdr:col>11</xdr:col>
                    <xdr:colOff>281940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1" r:id="rId188" name="Option Button 185">
              <controlPr defaultSize="0" autoFill="0" autoLine="0" autoPict="0">
                <anchor moveWithCells="1">
                  <from>
                    <xdr:col>13</xdr:col>
                    <xdr:colOff>53340</xdr:colOff>
                    <xdr:row>33</xdr:row>
                    <xdr:rowOff>53340</xdr:rowOff>
                  </from>
                  <to>
                    <xdr:col>13</xdr:col>
                    <xdr:colOff>266700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2" r:id="rId189" name="Option Button 186">
              <controlPr defaultSize="0" autoFill="0" autoLine="0" autoPict="0">
                <anchor moveWithCells="1">
                  <from>
                    <xdr:col>15</xdr:col>
                    <xdr:colOff>38100</xdr:colOff>
                    <xdr:row>33</xdr:row>
                    <xdr:rowOff>53340</xdr:rowOff>
                  </from>
                  <to>
                    <xdr:col>15</xdr:col>
                    <xdr:colOff>259080</xdr:colOff>
                    <xdr:row>33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3" r:id="rId190" name="Group Box 187">
              <controlPr defaultSize="0" print="0" autoFill="0" autoPict="0">
                <anchor moveWithCells="1">
                  <from>
                    <xdr:col>6</xdr:col>
                    <xdr:colOff>68580</xdr:colOff>
                    <xdr:row>34</xdr:row>
                    <xdr:rowOff>7620</xdr:rowOff>
                  </from>
                  <to>
                    <xdr:col>16</xdr:col>
                    <xdr:colOff>76200</xdr:colOff>
                    <xdr:row>34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4" r:id="rId191" name="Option Button 188">
              <controlPr defaultSize="0" autoFill="0" autoLine="0" autoPict="0">
                <anchor moveWithCells="1">
                  <from>
                    <xdr:col>7</xdr:col>
                    <xdr:colOff>76200</xdr:colOff>
                    <xdr:row>34</xdr:row>
                    <xdr:rowOff>45720</xdr:rowOff>
                  </from>
                  <to>
                    <xdr:col>7</xdr:col>
                    <xdr:colOff>297180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5" r:id="rId192" name="Option Button 189">
              <controlPr defaultSize="0" autoFill="0" autoLine="0" autoPict="0">
                <anchor moveWithCells="1">
                  <from>
                    <xdr:col>9</xdr:col>
                    <xdr:colOff>68580</xdr:colOff>
                    <xdr:row>34</xdr:row>
                    <xdr:rowOff>45720</xdr:rowOff>
                  </from>
                  <to>
                    <xdr:col>9</xdr:col>
                    <xdr:colOff>289560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6" r:id="rId193" name="Option Button 190">
              <controlPr defaultSize="0" autoFill="0" autoLine="0" autoPict="0">
                <anchor moveWithCells="1">
                  <from>
                    <xdr:col>11</xdr:col>
                    <xdr:colOff>60960</xdr:colOff>
                    <xdr:row>34</xdr:row>
                    <xdr:rowOff>45720</xdr:rowOff>
                  </from>
                  <to>
                    <xdr:col>11</xdr:col>
                    <xdr:colOff>281940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7" r:id="rId194" name="Option Button 191">
              <controlPr defaultSize="0" autoFill="0" autoLine="0" autoPict="0">
                <anchor moveWithCells="1">
                  <from>
                    <xdr:col>13</xdr:col>
                    <xdr:colOff>53340</xdr:colOff>
                    <xdr:row>34</xdr:row>
                    <xdr:rowOff>45720</xdr:rowOff>
                  </from>
                  <to>
                    <xdr:col>13</xdr:col>
                    <xdr:colOff>266700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8" r:id="rId195" name="Option Button 192">
              <controlPr defaultSize="0" autoFill="0" autoLine="0" autoPict="0">
                <anchor moveWithCells="1">
                  <from>
                    <xdr:col>15</xdr:col>
                    <xdr:colOff>38100</xdr:colOff>
                    <xdr:row>34</xdr:row>
                    <xdr:rowOff>45720</xdr:rowOff>
                  </from>
                  <to>
                    <xdr:col>15</xdr:col>
                    <xdr:colOff>259080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9" r:id="rId196" name="Group Box 193">
              <controlPr defaultSize="0" print="0" autoFill="0" autoPict="0">
                <anchor moveWithCells="1">
                  <from>
                    <xdr:col>6</xdr:col>
                    <xdr:colOff>68580</xdr:colOff>
                    <xdr:row>35</xdr:row>
                    <xdr:rowOff>0</xdr:rowOff>
                  </from>
                  <to>
                    <xdr:col>16</xdr:col>
                    <xdr:colOff>76200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0" r:id="rId197" name="Option Button 194">
              <controlPr defaultSize="0" autoFill="0" autoLine="0" autoPict="0">
                <anchor moveWithCells="1">
                  <from>
                    <xdr:col>7</xdr:col>
                    <xdr:colOff>76200</xdr:colOff>
                    <xdr:row>35</xdr:row>
                    <xdr:rowOff>30480</xdr:rowOff>
                  </from>
                  <to>
                    <xdr:col>7</xdr:col>
                    <xdr:colOff>297180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1" r:id="rId198" name="Option Button 195">
              <controlPr defaultSize="0" autoFill="0" autoLine="0" autoPict="0">
                <anchor moveWithCells="1">
                  <from>
                    <xdr:col>9</xdr:col>
                    <xdr:colOff>68580</xdr:colOff>
                    <xdr:row>35</xdr:row>
                    <xdr:rowOff>30480</xdr:rowOff>
                  </from>
                  <to>
                    <xdr:col>9</xdr:col>
                    <xdr:colOff>289560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2" r:id="rId199" name="Option Button 196">
              <controlPr defaultSize="0" autoFill="0" autoLine="0" autoPict="0">
                <anchor moveWithCells="1">
                  <from>
                    <xdr:col>11</xdr:col>
                    <xdr:colOff>60960</xdr:colOff>
                    <xdr:row>35</xdr:row>
                    <xdr:rowOff>30480</xdr:rowOff>
                  </from>
                  <to>
                    <xdr:col>11</xdr:col>
                    <xdr:colOff>281940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3" r:id="rId200" name="Option Button 197">
              <controlPr defaultSize="0" autoFill="0" autoLine="0" autoPict="0">
                <anchor moveWithCells="1">
                  <from>
                    <xdr:col>13</xdr:col>
                    <xdr:colOff>53340</xdr:colOff>
                    <xdr:row>35</xdr:row>
                    <xdr:rowOff>30480</xdr:rowOff>
                  </from>
                  <to>
                    <xdr:col>13</xdr:col>
                    <xdr:colOff>266700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4" r:id="rId201" name="Option Button 198">
              <controlPr defaultSize="0" autoFill="0" autoLine="0" autoPict="0">
                <anchor moveWithCells="1">
                  <from>
                    <xdr:col>15</xdr:col>
                    <xdr:colOff>38100</xdr:colOff>
                    <xdr:row>35</xdr:row>
                    <xdr:rowOff>30480</xdr:rowOff>
                  </from>
                  <to>
                    <xdr:col>15</xdr:col>
                    <xdr:colOff>259080</xdr:colOff>
                    <xdr:row>35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5" r:id="rId202" name="Group Box 199">
              <controlPr defaultSize="0" print="0" autoFill="0" autoPict="0">
                <anchor moveWithCells="1">
                  <from>
                    <xdr:col>6</xdr:col>
                    <xdr:colOff>68580</xdr:colOff>
                    <xdr:row>36</xdr:row>
                    <xdr:rowOff>7620</xdr:rowOff>
                  </from>
                  <to>
                    <xdr:col>16</xdr:col>
                    <xdr:colOff>76200</xdr:colOff>
                    <xdr:row>36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6" r:id="rId203" name="Option Button 200">
              <controlPr defaultSize="0" autoFill="0" autoLine="0" autoPict="0">
                <anchor moveWithCells="1">
                  <from>
                    <xdr:col>7</xdr:col>
                    <xdr:colOff>76200</xdr:colOff>
                    <xdr:row>36</xdr:row>
                    <xdr:rowOff>45720</xdr:rowOff>
                  </from>
                  <to>
                    <xdr:col>7</xdr:col>
                    <xdr:colOff>297180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7" r:id="rId204" name="Option Button 201">
              <controlPr defaultSize="0" autoFill="0" autoLine="0" autoPict="0">
                <anchor moveWithCells="1">
                  <from>
                    <xdr:col>9</xdr:col>
                    <xdr:colOff>68580</xdr:colOff>
                    <xdr:row>36</xdr:row>
                    <xdr:rowOff>45720</xdr:rowOff>
                  </from>
                  <to>
                    <xdr:col>9</xdr:col>
                    <xdr:colOff>289560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8" r:id="rId205" name="Option Button 202">
              <controlPr defaultSize="0" autoFill="0" autoLine="0" autoPict="0">
                <anchor moveWithCells="1">
                  <from>
                    <xdr:col>11</xdr:col>
                    <xdr:colOff>60960</xdr:colOff>
                    <xdr:row>36</xdr:row>
                    <xdr:rowOff>45720</xdr:rowOff>
                  </from>
                  <to>
                    <xdr:col>11</xdr:col>
                    <xdr:colOff>281940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9" r:id="rId206" name="Option Button 203">
              <controlPr defaultSize="0" autoFill="0" autoLine="0" autoPict="0">
                <anchor moveWithCells="1">
                  <from>
                    <xdr:col>13</xdr:col>
                    <xdr:colOff>53340</xdr:colOff>
                    <xdr:row>36</xdr:row>
                    <xdr:rowOff>45720</xdr:rowOff>
                  </from>
                  <to>
                    <xdr:col>13</xdr:col>
                    <xdr:colOff>266700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0" r:id="rId207" name="Option Button 204">
              <controlPr defaultSize="0" autoFill="0" autoLine="0" autoPict="0">
                <anchor moveWithCells="1">
                  <from>
                    <xdr:col>15</xdr:col>
                    <xdr:colOff>38100</xdr:colOff>
                    <xdr:row>36</xdr:row>
                    <xdr:rowOff>45720</xdr:rowOff>
                  </from>
                  <to>
                    <xdr:col>15</xdr:col>
                    <xdr:colOff>259080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1" r:id="rId208" name="Group Box 205">
              <controlPr defaultSize="0" print="0" autoFill="0" autoPict="0">
                <anchor moveWithCells="1">
                  <from>
                    <xdr:col>6</xdr:col>
                    <xdr:colOff>68580</xdr:colOff>
                    <xdr:row>37</xdr:row>
                    <xdr:rowOff>0</xdr:rowOff>
                  </from>
                  <to>
                    <xdr:col>16</xdr:col>
                    <xdr:colOff>76200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2" r:id="rId209" name="Option Button 206">
              <controlPr defaultSize="0" autoFill="0" autoLine="0" autoPict="0">
                <anchor moveWithCells="1">
                  <from>
                    <xdr:col>7</xdr:col>
                    <xdr:colOff>76200</xdr:colOff>
                    <xdr:row>37</xdr:row>
                    <xdr:rowOff>30480</xdr:rowOff>
                  </from>
                  <to>
                    <xdr:col>7</xdr:col>
                    <xdr:colOff>297180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3" r:id="rId210" name="Option Button 207">
              <controlPr defaultSize="0" autoFill="0" autoLine="0" autoPict="0">
                <anchor moveWithCells="1">
                  <from>
                    <xdr:col>9</xdr:col>
                    <xdr:colOff>68580</xdr:colOff>
                    <xdr:row>37</xdr:row>
                    <xdr:rowOff>30480</xdr:rowOff>
                  </from>
                  <to>
                    <xdr:col>9</xdr:col>
                    <xdr:colOff>289560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4" r:id="rId211" name="Option Button 208">
              <controlPr defaultSize="0" autoFill="0" autoLine="0" autoPict="0">
                <anchor moveWithCells="1">
                  <from>
                    <xdr:col>11</xdr:col>
                    <xdr:colOff>60960</xdr:colOff>
                    <xdr:row>37</xdr:row>
                    <xdr:rowOff>30480</xdr:rowOff>
                  </from>
                  <to>
                    <xdr:col>11</xdr:col>
                    <xdr:colOff>281940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5" r:id="rId212" name="Option Button 209">
              <controlPr defaultSize="0" autoFill="0" autoLine="0" autoPict="0">
                <anchor moveWithCells="1">
                  <from>
                    <xdr:col>13</xdr:col>
                    <xdr:colOff>53340</xdr:colOff>
                    <xdr:row>37</xdr:row>
                    <xdr:rowOff>30480</xdr:rowOff>
                  </from>
                  <to>
                    <xdr:col>13</xdr:col>
                    <xdr:colOff>266700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6" r:id="rId213" name="Option Button 210">
              <controlPr defaultSize="0" autoFill="0" autoLine="0" autoPict="0">
                <anchor moveWithCells="1">
                  <from>
                    <xdr:col>15</xdr:col>
                    <xdr:colOff>38100</xdr:colOff>
                    <xdr:row>37</xdr:row>
                    <xdr:rowOff>30480</xdr:rowOff>
                  </from>
                  <to>
                    <xdr:col>15</xdr:col>
                    <xdr:colOff>259080</xdr:colOff>
                    <xdr:row>37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7" r:id="rId214" name="Group Box 211">
              <controlPr defaultSize="0" print="0" autoFill="0" autoPict="0">
                <anchor moveWithCells="1">
                  <from>
                    <xdr:col>6</xdr:col>
                    <xdr:colOff>68580</xdr:colOff>
                    <xdr:row>40</xdr:row>
                    <xdr:rowOff>30480</xdr:rowOff>
                  </from>
                  <to>
                    <xdr:col>16</xdr:col>
                    <xdr:colOff>76200</xdr:colOff>
                    <xdr:row>40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8" r:id="rId215" name="Option Button 212">
              <controlPr defaultSize="0" autoFill="0" autoLine="0" autoPict="0">
                <anchor moveWithCells="1">
                  <from>
                    <xdr:col>7</xdr:col>
                    <xdr:colOff>76200</xdr:colOff>
                    <xdr:row>40</xdr:row>
                    <xdr:rowOff>60960</xdr:rowOff>
                  </from>
                  <to>
                    <xdr:col>7</xdr:col>
                    <xdr:colOff>297180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9" r:id="rId216" name="Option Button 213">
              <controlPr defaultSize="0" autoFill="0" autoLine="0" autoPict="0">
                <anchor moveWithCells="1">
                  <from>
                    <xdr:col>9</xdr:col>
                    <xdr:colOff>68580</xdr:colOff>
                    <xdr:row>40</xdr:row>
                    <xdr:rowOff>60960</xdr:rowOff>
                  </from>
                  <to>
                    <xdr:col>9</xdr:col>
                    <xdr:colOff>289560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0" r:id="rId217" name="Option Button 214">
              <controlPr defaultSize="0" autoFill="0" autoLine="0" autoPict="0">
                <anchor moveWithCells="1">
                  <from>
                    <xdr:col>11</xdr:col>
                    <xdr:colOff>60960</xdr:colOff>
                    <xdr:row>40</xdr:row>
                    <xdr:rowOff>60960</xdr:rowOff>
                  </from>
                  <to>
                    <xdr:col>11</xdr:col>
                    <xdr:colOff>281940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1" r:id="rId218" name="Option Button 215">
              <controlPr defaultSize="0" autoFill="0" autoLine="0" autoPict="0">
                <anchor moveWithCells="1">
                  <from>
                    <xdr:col>13</xdr:col>
                    <xdr:colOff>45720</xdr:colOff>
                    <xdr:row>40</xdr:row>
                    <xdr:rowOff>60960</xdr:rowOff>
                  </from>
                  <to>
                    <xdr:col>13</xdr:col>
                    <xdr:colOff>266700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2" r:id="rId219" name="Option Button 216">
              <controlPr defaultSize="0" autoFill="0" autoLine="0" autoPict="0">
                <anchor moveWithCells="1">
                  <from>
                    <xdr:col>15</xdr:col>
                    <xdr:colOff>38100</xdr:colOff>
                    <xdr:row>40</xdr:row>
                    <xdr:rowOff>60960</xdr:rowOff>
                  </from>
                  <to>
                    <xdr:col>15</xdr:col>
                    <xdr:colOff>259080</xdr:colOff>
                    <xdr:row>40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3" r:id="rId220" name="Group Box 217">
              <controlPr defaultSize="0" print="0" autoFill="0" autoPict="0">
                <anchor moveWithCells="1">
                  <from>
                    <xdr:col>6</xdr:col>
                    <xdr:colOff>68580</xdr:colOff>
                    <xdr:row>41</xdr:row>
                    <xdr:rowOff>22860</xdr:rowOff>
                  </from>
                  <to>
                    <xdr:col>16</xdr:col>
                    <xdr:colOff>76200</xdr:colOff>
                    <xdr:row>41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4" r:id="rId221" name="Option Button 218">
              <controlPr defaultSize="0" autoFill="0" autoLine="0" autoPict="0">
                <anchor moveWithCells="1">
                  <from>
                    <xdr:col>7</xdr:col>
                    <xdr:colOff>76200</xdr:colOff>
                    <xdr:row>41</xdr:row>
                    <xdr:rowOff>45720</xdr:rowOff>
                  </from>
                  <to>
                    <xdr:col>7</xdr:col>
                    <xdr:colOff>297180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5" r:id="rId222" name="Option Button 219">
              <controlPr defaultSize="0" autoFill="0" autoLine="0" autoPict="0">
                <anchor moveWithCells="1">
                  <from>
                    <xdr:col>9</xdr:col>
                    <xdr:colOff>68580</xdr:colOff>
                    <xdr:row>41</xdr:row>
                    <xdr:rowOff>45720</xdr:rowOff>
                  </from>
                  <to>
                    <xdr:col>9</xdr:col>
                    <xdr:colOff>289560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6" r:id="rId223" name="Option Button 220">
              <controlPr defaultSize="0" autoFill="0" autoLine="0" autoPict="0">
                <anchor moveWithCells="1">
                  <from>
                    <xdr:col>11</xdr:col>
                    <xdr:colOff>60960</xdr:colOff>
                    <xdr:row>41</xdr:row>
                    <xdr:rowOff>45720</xdr:rowOff>
                  </from>
                  <to>
                    <xdr:col>11</xdr:col>
                    <xdr:colOff>281940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7" r:id="rId224" name="Option Button 221">
              <controlPr defaultSize="0" autoFill="0" autoLine="0" autoPict="0">
                <anchor moveWithCells="1">
                  <from>
                    <xdr:col>13</xdr:col>
                    <xdr:colOff>45720</xdr:colOff>
                    <xdr:row>41</xdr:row>
                    <xdr:rowOff>45720</xdr:rowOff>
                  </from>
                  <to>
                    <xdr:col>13</xdr:col>
                    <xdr:colOff>266700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8" r:id="rId225" name="Option Button 222">
              <controlPr defaultSize="0" autoFill="0" autoLine="0" autoPict="0">
                <anchor moveWithCells="1">
                  <from>
                    <xdr:col>15</xdr:col>
                    <xdr:colOff>38100</xdr:colOff>
                    <xdr:row>41</xdr:row>
                    <xdr:rowOff>45720</xdr:rowOff>
                  </from>
                  <to>
                    <xdr:col>15</xdr:col>
                    <xdr:colOff>259080</xdr:colOff>
                    <xdr:row>41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9" r:id="rId226" name="Group Box 223">
              <controlPr defaultSize="0" print="0" autoFill="0" autoPict="0">
                <anchor moveWithCells="1">
                  <from>
                    <xdr:col>6</xdr:col>
                    <xdr:colOff>68580</xdr:colOff>
                    <xdr:row>42</xdr:row>
                    <xdr:rowOff>30480</xdr:rowOff>
                  </from>
                  <to>
                    <xdr:col>16</xdr:col>
                    <xdr:colOff>76200</xdr:colOff>
                    <xdr:row>42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0" r:id="rId227" name="Option Button 224">
              <controlPr defaultSize="0" autoFill="0" autoLine="0" autoPict="0">
                <anchor moveWithCells="1">
                  <from>
                    <xdr:col>7</xdr:col>
                    <xdr:colOff>76200</xdr:colOff>
                    <xdr:row>42</xdr:row>
                    <xdr:rowOff>60960</xdr:rowOff>
                  </from>
                  <to>
                    <xdr:col>7</xdr:col>
                    <xdr:colOff>297180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1" r:id="rId228" name="Option Button 225">
              <controlPr defaultSize="0" autoFill="0" autoLine="0" autoPict="0">
                <anchor moveWithCells="1">
                  <from>
                    <xdr:col>9</xdr:col>
                    <xdr:colOff>68580</xdr:colOff>
                    <xdr:row>42</xdr:row>
                    <xdr:rowOff>60960</xdr:rowOff>
                  </from>
                  <to>
                    <xdr:col>9</xdr:col>
                    <xdr:colOff>289560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2" r:id="rId229" name="Option Button 226">
              <controlPr defaultSize="0" autoFill="0" autoLine="0" autoPict="0">
                <anchor moveWithCells="1">
                  <from>
                    <xdr:col>11</xdr:col>
                    <xdr:colOff>60960</xdr:colOff>
                    <xdr:row>42</xdr:row>
                    <xdr:rowOff>60960</xdr:rowOff>
                  </from>
                  <to>
                    <xdr:col>11</xdr:col>
                    <xdr:colOff>281940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3" r:id="rId230" name="Option Button 227">
              <controlPr defaultSize="0" autoFill="0" autoLine="0" autoPict="0">
                <anchor moveWithCells="1">
                  <from>
                    <xdr:col>13</xdr:col>
                    <xdr:colOff>45720</xdr:colOff>
                    <xdr:row>42</xdr:row>
                    <xdr:rowOff>60960</xdr:rowOff>
                  </from>
                  <to>
                    <xdr:col>13</xdr:col>
                    <xdr:colOff>266700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4" r:id="rId231" name="Option Button 228">
              <controlPr defaultSize="0" autoFill="0" autoLine="0" autoPict="0">
                <anchor moveWithCells="1">
                  <from>
                    <xdr:col>15</xdr:col>
                    <xdr:colOff>38100</xdr:colOff>
                    <xdr:row>42</xdr:row>
                    <xdr:rowOff>60960</xdr:rowOff>
                  </from>
                  <to>
                    <xdr:col>15</xdr:col>
                    <xdr:colOff>259080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5" r:id="rId232" name="Group Box 229">
              <controlPr defaultSize="0" print="0" autoFill="0" autoPict="0">
                <anchor moveWithCells="1">
                  <from>
                    <xdr:col>6</xdr:col>
                    <xdr:colOff>68580</xdr:colOff>
                    <xdr:row>44</xdr:row>
                    <xdr:rowOff>30480</xdr:rowOff>
                  </from>
                  <to>
                    <xdr:col>16</xdr:col>
                    <xdr:colOff>76200</xdr:colOff>
                    <xdr:row>44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6" r:id="rId233" name="Option Button 230">
              <controlPr defaultSize="0" autoFill="0" autoLine="0" autoPict="0">
                <anchor moveWithCells="1">
                  <from>
                    <xdr:col>7</xdr:col>
                    <xdr:colOff>76200</xdr:colOff>
                    <xdr:row>44</xdr:row>
                    <xdr:rowOff>60960</xdr:rowOff>
                  </from>
                  <to>
                    <xdr:col>7</xdr:col>
                    <xdr:colOff>297180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7" r:id="rId234" name="Option Button 231">
              <controlPr defaultSize="0" autoFill="0" autoLine="0" autoPict="0">
                <anchor moveWithCells="1">
                  <from>
                    <xdr:col>9</xdr:col>
                    <xdr:colOff>68580</xdr:colOff>
                    <xdr:row>44</xdr:row>
                    <xdr:rowOff>60960</xdr:rowOff>
                  </from>
                  <to>
                    <xdr:col>9</xdr:col>
                    <xdr:colOff>289560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8" r:id="rId235" name="Option Button 232">
              <controlPr defaultSize="0" autoFill="0" autoLine="0" autoPict="0">
                <anchor moveWithCells="1">
                  <from>
                    <xdr:col>11</xdr:col>
                    <xdr:colOff>60960</xdr:colOff>
                    <xdr:row>44</xdr:row>
                    <xdr:rowOff>60960</xdr:rowOff>
                  </from>
                  <to>
                    <xdr:col>11</xdr:col>
                    <xdr:colOff>281940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9" r:id="rId236" name="Option Button 233">
              <controlPr defaultSize="0" autoFill="0" autoLine="0" autoPict="0">
                <anchor moveWithCells="1">
                  <from>
                    <xdr:col>13</xdr:col>
                    <xdr:colOff>45720</xdr:colOff>
                    <xdr:row>44</xdr:row>
                    <xdr:rowOff>60960</xdr:rowOff>
                  </from>
                  <to>
                    <xdr:col>13</xdr:col>
                    <xdr:colOff>266700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0" r:id="rId237" name="Option Button 234">
              <controlPr defaultSize="0" autoFill="0" autoLine="0" autoPict="0">
                <anchor moveWithCells="1">
                  <from>
                    <xdr:col>15</xdr:col>
                    <xdr:colOff>38100</xdr:colOff>
                    <xdr:row>44</xdr:row>
                    <xdr:rowOff>60960</xdr:rowOff>
                  </from>
                  <to>
                    <xdr:col>15</xdr:col>
                    <xdr:colOff>259080</xdr:colOff>
                    <xdr:row>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1" r:id="rId238" name="Group Box 235">
              <controlPr defaultSize="0" print="0" autoFill="0" autoPict="0">
                <anchor moveWithCells="1">
                  <from>
                    <xdr:col>6</xdr:col>
                    <xdr:colOff>68580</xdr:colOff>
                    <xdr:row>45</xdr:row>
                    <xdr:rowOff>38100</xdr:rowOff>
                  </from>
                  <to>
                    <xdr:col>16</xdr:col>
                    <xdr:colOff>76200</xdr:colOff>
                    <xdr:row>45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2" r:id="rId239" name="Option Button 236">
              <controlPr defaultSize="0" autoFill="0" autoLine="0" autoPict="0">
                <anchor moveWithCells="1">
                  <from>
                    <xdr:col>7</xdr:col>
                    <xdr:colOff>76200</xdr:colOff>
                    <xdr:row>45</xdr:row>
                    <xdr:rowOff>68580</xdr:rowOff>
                  </from>
                  <to>
                    <xdr:col>7</xdr:col>
                    <xdr:colOff>297180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3" r:id="rId240" name="Option Button 237">
              <controlPr defaultSize="0" autoFill="0" autoLine="0" autoPict="0">
                <anchor moveWithCells="1">
                  <from>
                    <xdr:col>9</xdr:col>
                    <xdr:colOff>68580</xdr:colOff>
                    <xdr:row>45</xdr:row>
                    <xdr:rowOff>68580</xdr:rowOff>
                  </from>
                  <to>
                    <xdr:col>9</xdr:col>
                    <xdr:colOff>289560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4" r:id="rId241" name="Option Button 238">
              <controlPr defaultSize="0" autoFill="0" autoLine="0" autoPict="0">
                <anchor moveWithCells="1">
                  <from>
                    <xdr:col>11</xdr:col>
                    <xdr:colOff>60960</xdr:colOff>
                    <xdr:row>45</xdr:row>
                    <xdr:rowOff>68580</xdr:rowOff>
                  </from>
                  <to>
                    <xdr:col>11</xdr:col>
                    <xdr:colOff>281940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5" r:id="rId242" name="Option Button 239">
              <controlPr defaultSize="0" autoFill="0" autoLine="0" autoPict="0">
                <anchor moveWithCells="1">
                  <from>
                    <xdr:col>13</xdr:col>
                    <xdr:colOff>45720</xdr:colOff>
                    <xdr:row>45</xdr:row>
                    <xdr:rowOff>68580</xdr:rowOff>
                  </from>
                  <to>
                    <xdr:col>13</xdr:col>
                    <xdr:colOff>266700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6" r:id="rId243" name="Option Button 240">
              <controlPr defaultSize="0" autoFill="0" autoLine="0" autoPict="0">
                <anchor moveWithCells="1">
                  <from>
                    <xdr:col>15</xdr:col>
                    <xdr:colOff>38100</xdr:colOff>
                    <xdr:row>45</xdr:row>
                    <xdr:rowOff>68580</xdr:rowOff>
                  </from>
                  <to>
                    <xdr:col>15</xdr:col>
                    <xdr:colOff>259080</xdr:colOff>
                    <xdr:row>45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7" r:id="rId244" name="Group Box 241">
              <controlPr defaultSize="0" print="0" autoFill="0" autoPict="0">
                <anchor moveWithCells="1">
                  <from>
                    <xdr:col>6</xdr:col>
                    <xdr:colOff>68580</xdr:colOff>
                    <xdr:row>48</xdr:row>
                    <xdr:rowOff>7620</xdr:rowOff>
                  </from>
                  <to>
                    <xdr:col>16</xdr:col>
                    <xdr:colOff>76200</xdr:colOff>
                    <xdr:row>48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8" r:id="rId245" name="Option Button 242">
              <controlPr defaultSize="0" autoFill="0" autoLine="0" autoPict="0">
                <anchor moveWithCells="1">
                  <from>
                    <xdr:col>7</xdr:col>
                    <xdr:colOff>76200</xdr:colOff>
                    <xdr:row>48</xdr:row>
                    <xdr:rowOff>45720</xdr:rowOff>
                  </from>
                  <to>
                    <xdr:col>7</xdr:col>
                    <xdr:colOff>297180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9" r:id="rId246" name="Option Button 243">
              <controlPr defaultSize="0" autoFill="0" autoLine="0" autoPict="0">
                <anchor moveWithCells="1">
                  <from>
                    <xdr:col>9</xdr:col>
                    <xdr:colOff>68580</xdr:colOff>
                    <xdr:row>48</xdr:row>
                    <xdr:rowOff>45720</xdr:rowOff>
                  </from>
                  <to>
                    <xdr:col>9</xdr:col>
                    <xdr:colOff>289560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0" r:id="rId247" name="Option Button 244">
              <controlPr defaultSize="0" autoFill="0" autoLine="0" autoPict="0">
                <anchor moveWithCells="1">
                  <from>
                    <xdr:col>11</xdr:col>
                    <xdr:colOff>60960</xdr:colOff>
                    <xdr:row>48</xdr:row>
                    <xdr:rowOff>45720</xdr:rowOff>
                  </from>
                  <to>
                    <xdr:col>11</xdr:col>
                    <xdr:colOff>281940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1" r:id="rId248" name="Option Button 245">
              <controlPr defaultSize="0" autoFill="0" autoLine="0" autoPict="0">
                <anchor moveWithCells="1">
                  <from>
                    <xdr:col>13</xdr:col>
                    <xdr:colOff>53340</xdr:colOff>
                    <xdr:row>48</xdr:row>
                    <xdr:rowOff>45720</xdr:rowOff>
                  </from>
                  <to>
                    <xdr:col>13</xdr:col>
                    <xdr:colOff>266700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2" r:id="rId249" name="Option Button 246">
              <controlPr defaultSize="0" autoFill="0" autoLine="0" autoPict="0">
                <anchor moveWithCells="1">
                  <from>
                    <xdr:col>15</xdr:col>
                    <xdr:colOff>38100</xdr:colOff>
                    <xdr:row>48</xdr:row>
                    <xdr:rowOff>45720</xdr:rowOff>
                  </from>
                  <to>
                    <xdr:col>15</xdr:col>
                    <xdr:colOff>259080</xdr:colOff>
                    <xdr:row>48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3" r:id="rId250" name="Group Box 247">
              <controlPr defaultSize="0" print="0" autoFill="0" autoPict="0">
                <anchor moveWithCells="1">
                  <from>
                    <xdr:col>6</xdr:col>
                    <xdr:colOff>68580</xdr:colOff>
                    <xdr:row>51</xdr:row>
                    <xdr:rowOff>0</xdr:rowOff>
                  </from>
                  <to>
                    <xdr:col>16</xdr:col>
                    <xdr:colOff>76200</xdr:colOff>
                    <xdr:row>51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4" r:id="rId251" name="Option Button 248">
              <controlPr defaultSize="0" autoFill="0" autoLine="0" autoPict="0">
                <anchor moveWithCells="1">
                  <from>
                    <xdr:col>7</xdr:col>
                    <xdr:colOff>76200</xdr:colOff>
                    <xdr:row>51</xdr:row>
                    <xdr:rowOff>30480</xdr:rowOff>
                  </from>
                  <to>
                    <xdr:col>7</xdr:col>
                    <xdr:colOff>297180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5" r:id="rId252" name="Option Button 249">
              <controlPr defaultSize="0" autoFill="0" autoLine="0" autoPict="0">
                <anchor moveWithCells="1">
                  <from>
                    <xdr:col>9</xdr:col>
                    <xdr:colOff>68580</xdr:colOff>
                    <xdr:row>51</xdr:row>
                    <xdr:rowOff>30480</xdr:rowOff>
                  </from>
                  <to>
                    <xdr:col>9</xdr:col>
                    <xdr:colOff>289560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6" r:id="rId253" name="Option Button 250">
              <controlPr defaultSize="0" autoFill="0" autoLine="0" autoPict="0">
                <anchor moveWithCells="1">
                  <from>
                    <xdr:col>11</xdr:col>
                    <xdr:colOff>60960</xdr:colOff>
                    <xdr:row>51</xdr:row>
                    <xdr:rowOff>30480</xdr:rowOff>
                  </from>
                  <to>
                    <xdr:col>11</xdr:col>
                    <xdr:colOff>281940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7" r:id="rId254" name="Option Button 251">
              <controlPr defaultSize="0" autoFill="0" autoLine="0" autoPict="0">
                <anchor moveWithCells="1">
                  <from>
                    <xdr:col>13</xdr:col>
                    <xdr:colOff>53340</xdr:colOff>
                    <xdr:row>51</xdr:row>
                    <xdr:rowOff>30480</xdr:rowOff>
                  </from>
                  <to>
                    <xdr:col>13</xdr:col>
                    <xdr:colOff>266700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8" r:id="rId255" name="Option Button 252">
              <controlPr defaultSize="0" autoFill="0" autoLine="0" autoPict="0">
                <anchor moveWithCells="1">
                  <from>
                    <xdr:col>15</xdr:col>
                    <xdr:colOff>38100</xdr:colOff>
                    <xdr:row>51</xdr:row>
                    <xdr:rowOff>30480</xdr:rowOff>
                  </from>
                  <to>
                    <xdr:col>15</xdr:col>
                    <xdr:colOff>259080</xdr:colOff>
                    <xdr:row>51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9" r:id="rId256" name="Group Box 253">
              <controlPr defaultSize="0" print="0" autoFill="0" autoPict="0">
                <anchor moveWithCells="1">
                  <from>
                    <xdr:col>6</xdr:col>
                    <xdr:colOff>68580</xdr:colOff>
                    <xdr:row>52</xdr:row>
                    <xdr:rowOff>7620</xdr:rowOff>
                  </from>
                  <to>
                    <xdr:col>16</xdr:col>
                    <xdr:colOff>76200</xdr:colOff>
                    <xdr:row>52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0" r:id="rId257" name="Option Button 254">
              <controlPr defaultSize="0" autoFill="0" autoLine="0" autoPict="0">
                <anchor moveWithCells="1">
                  <from>
                    <xdr:col>7</xdr:col>
                    <xdr:colOff>76200</xdr:colOff>
                    <xdr:row>52</xdr:row>
                    <xdr:rowOff>45720</xdr:rowOff>
                  </from>
                  <to>
                    <xdr:col>7</xdr:col>
                    <xdr:colOff>297180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1" r:id="rId258" name="Option Button 255">
              <controlPr defaultSize="0" autoFill="0" autoLine="0" autoPict="0">
                <anchor moveWithCells="1">
                  <from>
                    <xdr:col>9</xdr:col>
                    <xdr:colOff>68580</xdr:colOff>
                    <xdr:row>52</xdr:row>
                    <xdr:rowOff>45720</xdr:rowOff>
                  </from>
                  <to>
                    <xdr:col>9</xdr:col>
                    <xdr:colOff>289560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2" r:id="rId259" name="Option Button 256">
              <controlPr defaultSize="0" autoFill="0" autoLine="0" autoPict="0">
                <anchor moveWithCells="1">
                  <from>
                    <xdr:col>11</xdr:col>
                    <xdr:colOff>60960</xdr:colOff>
                    <xdr:row>52</xdr:row>
                    <xdr:rowOff>45720</xdr:rowOff>
                  </from>
                  <to>
                    <xdr:col>11</xdr:col>
                    <xdr:colOff>281940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3" r:id="rId260" name="Option Button 257">
              <controlPr defaultSize="0" autoFill="0" autoLine="0" autoPict="0">
                <anchor moveWithCells="1">
                  <from>
                    <xdr:col>13</xdr:col>
                    <xdr:colOff>53340</xdr:colOff>
                    <xdr:row>52</xdr:row>
                    <xdr:rowOff>45720</xdr:rowOff>
                  </from>
                  <to>
                    <xdr:col>13</xdr:col>
                    <xdr:colOff>266700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4" r:id="rId261" name="Option Button 258">
              <controlPr defaultSize="0" autoFill="0" autoLine="0" autoPict="0">
                <anchor moveWithCells="1">
                  <from>
                    <xdr:col>15</xdr:col>
                    <xdr:colOff>38100</xdr:colOff>
                    <xdr:row>52</xdr:row>
                    <xdr:rowOff>45720</xdr:rowOff>
                  </from>
                  <to>
                    <xdr:col>15</xdr:col>
                    <xdr:colOff>259080</xdr:colOff>
                    <xdr:row>52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5" r:id="rId262" name="Group Box 259">
              <controlPr defaultSize="0" print="0" autoFill="0" autoPict="0">
                <anchor moveWithCells="1">
                  <from>
                    <xdr:col>6</xdr:col>
                    <xdr:colOff>68580</xdr:colOff>
                    <xdr:row>53</xdr:row>
                    <xdr:rowOff>0</xdr:rowOff>
                  </from>
                  <to>
                    <xdr:col>16</xdr:col>
                    <xdr:colOff>76200</xdr:colOff>
                    <xdr:row>53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6" r:id="rId263" name="Option Button 260">
              <controlPr defaultSize="0" autoFill="0" autoLine="0" autoPict="0">
                <anchor moveWithCells="1">
                  <from>
                    <xdr:col>7</xdr:col>
                    <xdr:colOff>76200</xdr:colOff>
                    <xdr:row>53</xdr:row>
                    <xdr:rowOff>30480</xdr:rowOff>
                  </from>
                  <to>
                    <xdr:col>7</xdr:col>
                    <xdr:colOff>297180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7" r:id="rId264" name="Option Button 261">
              <controlPr defaultSize="0" autoFill="0" autoLine="0" autoPict="0">
                <anchor moveWithCells="1">
                  <from>
                    <xdr:col>9</xdr:col>
                    <xdr:colOff>68580</xdr:colOff>
                    <xdr:row>53</xdr:row>
                    <xdr:rowOff>30480</xdr:rowOff>
                  </from>
                  <to>
                    <xdr:col>9</xdr:col>
                    <xdr:colOff>289560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8" r:id="rId265" name="Option Button 262">
              <controlPr defaultSize="0" autoFill="0" autoLine="0" autoPict="0">
                <anchor moveWithCells="1">
                  <from>
                    <xdr:col>11</xdr:col>
                    <xdr:colOff>60960</xdr:colOff>
                    <xdr:row>53</xdr:row>
                    <xdr:rowOff>30480</xdr:rowOff>
                  </from>
                  <to>
                    <xdr:col>11</xdr:col>
                    <xdr:colOff>281940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9" r:id="rId266" name="Option Button 263">
              <controlPr defaultSize="0" autoFill="0" autoLine="0" autoPict="0">
                <anchor moveWithCells="1">
                  <from>
                    <xdr:col>13</xdr:col>
                    <xdr:colOff>53340</xdr:colOff>
                    <xdr:row>53</xdr:row>
                    <xdr:rowOff>30480</xdr:rowOff>
                  </from>
                  <to>
                    <xdr:col>13</xdr:col>
                    <xdr:colOff>266700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0" r:id="rId267" name="Option Button 264">
              <controlPr defaultSize="0" autoFill="0" autoLine="0" autoPict="0">
                <anchor moveWithCells="1">
                  <from>
                    <xdr:col>15</xdr:col>
                    <xdr:colOff>38100</xdr:colOff>
                    <xdr:row>53</xdr:row>
                    <xdr:rowOff>30480</xdr:rowOff>
                  </from>
                  <to>
                    <xdr:col>15</xdr:col>
                    <xdr:colOff>259080</xdr:colOff>
                    <xdr:row>53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1" r:id="rId268" name="Group Box 265">
              <controlPr defaultSize="0" print="0" autoFill="0" autoPict="0">
                <anchor moveWithCells="1">
                  <from>
                    <xdr:col>6</xdr:col>
                    <xdr:colOff>68580</xdr:colOff>
                    <xdr:row>57</xdr:row>
                    <xdr:rowOff>30480</xdr:rowOff>
                  </from>
                  <to>
                    <xdr:col>16</xdr:col>
                    <xdr:colOff>76200</xdr:colOff>
                    <xdr:row>57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2" r:id="rId269" name="Option Button 266">
              <controlPr defaultSize="0" autoFill="0" autoLine="0" autoPict="0">
                <anchor moveWithCells="1">
                  <from>
                    <xdr:col>7</xdr:col>
                    <xdr:colOff>76200</xdr:colOff>
                    <xdr:row>57</xdr:row>
                    <xdr:rowOff>60960</xdr:rowOff>
                  </from>
                  <to>
                    <xdr:col>7</xdr:col>
                    <xdr:colOff>297180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3" r:id="rId270" name="Option Button 267">
              <controlPr defaultSize="0" autoFill="0" autoLine="0" autoPict="0">
                <anchor moveWithCells="1">
                  <from>
                    <xdr:col>9</xdr:col>
                    <xdr:colOff>68580</xdr:colOff>
                    <xdr:row>57</xdr:row>
                    <xdr:rowOff>60960</xdr:rowOff>
                  </from>
                  <to>
                    <xdr:col>9</xdr:col>
                    <xdr:colOff>289560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4" r:id="rId271" name="Option Button 268">
              <controlPr defaultSize="0" autoFill="0" autoLine="0" autoPict="0">
                <anchor moveWithCells="1">
                  <from>
                    <xdr:col>11</xdr:col>
                    <xdr:colOff>60960</xdr:colOff>
                    <xdr:row>57</xdr:row>
                    <xdr:rowOff>60960</xdr:rowOff>
                  </from>
                  <to>
                    <xdr:col>11</xdr:col>
                    <xdr:colOff>281940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5" r:id="rId272" name="Option Button 269">
              <controlPr defaultSize="0" autoFill="0" autoLine="0" autoPict="0">
                <anchor moveWithCells="1">
                  <from>
                    <xdr:col>13</xdr:col>
                    <xdr:colOff>45720</xdr:colOff>
                    <xdr:row>57</xdr:row>
                    <xdr:rowOff>60960</xdr:rowOff>
                  </from>
                  <to>
                    <xdr:col>13</xdr:col>
                    <xdr:colOff>266700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6" r:id="rId273" name="Option Button 270">
              <controlPr defaultSize="0" autoFill="0" autoLine="0" autoPict="0">
                <anchor moveWithCells="1">
                  <from>
                    <xdr:col>15</xdr:col>
                    <xdr:colOff>38100</xdr:colOff>
                    <xdr:row>57</xdr:row>
                    <xdr:rowOff>60960</xdr:rowOff>
                  </from>
                  <to>
                    <xdr:col>15</xdr:col>
                    <xdr:colOff>259080</xdr:colOff>
                    <xdr:row>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7" r:id="rId274" name="Group Box 271">
              <controlPr defaultSize="0" print="0" autoFill="0" autoPict="0">
                <anchor moveWithCells="1">
                  <from>
                    <xdr:col>6</xdr:col>
                    <xdr:colOff>68580</xdr:colOff>
                    <xdr:row>58</xdr:row>
                    <xdr:rowOff>7620</xdr:rowOff>
                  </from>
                  <to>
                    <xdr:col>16</xdr:col>
                    <xdr:colOff>76200</xdr:colOff>
                    <xdr:row>58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8" r:id="rId275" name="Option Button 272">
              <controlPr defaultSize="0" autoFill="0" autoLine="0" autoPict="0">
                <anchor moveWithCells="1">
                  <from>
                    <xdr:col>7</xdr:col>
                    <xdr:colOff>76200</xdr:colOff>
                    <xdr:row>58</xdr:row>
                    <xdr:rowOff>38100</xdr:rowOff>
                  </from>
                  <to>
                    <xdr:col>7</xdr:col>
                    <xdr:colOff>297180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9" r:id="rId276" name="Option Button 273">
              <controlPr defaultSize="0" autoFill="0" autoLine="0" autoPict="0">
                <anchor moveWithCells="1">
                  <from>
                    <xdr:col>9</xdr:col>
                    <xdr:colOff>68580</xdr:colOff>
                    <xdr:row>58</xdr:row>
                    <xdr:rowOff>38100</xdr:rowOff>
                  </from>
                  <to>
                    <xdr:col>9</xdr:col>
                    <xdr:colOff>289560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0" r:id="rId277" name="Option Button 274">
              <controlPr defaultSize="0" autoFill="0" autoLine="0" autoPict="0">
                <anchor moveWithCells="1">
                  <from>
                    <xdr:col>11</xdr:col>
                    <xdr:colOff>60960</xdr:colOff>
                    <xdr:row>58</xdr:row>
                    <xdr:rowOff>38100</xdr:rowOff>
                  </from>
                  <to>
                    <xdr:col>11</xdr:col>
                    <xdr:colOff>281940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1" r:id="rId278" name="Option Button 275">
              <controlPr defaultSize="0" autoFill="0" autoLine="0" autoPict="0">
                <anchor moveWithCells="1">
                  <from>
                    <xdr:col>13</xdr:col>
                    <xdr:colOff>45720</xdr:colOff>
                    <xdr:row>58</xdr:row>
                    <xdr:rowOff>38100</xdr:rowOff>
                  </from>
                  <to>
                    <xdr:col>13</xdr:col>
                    <xdr:colOff>266700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2" r:id="rId279" name="Option Button 276">
              <controlPr defaultSize="0" autoFill="0" autoLine="0" autoPict="0">
                <anchor moveWithCells="1">
                  <from>
                    <xdr:col>15</xdr:col>
                    <xdr:colOff>38100</xdr:colOff>
                    <xdr:row>58</xdr:row>
                    <xdr:rowOff>38100</xdr:rowOff>
                  </from>
                  <to>
                    <xdr:col>15</xdr:col>
                    <xdr:colOff>259080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3" r:id="rId280" name="Group Box 277">
              <controlPr defaultSize="0" print="0" autoFill="0" autoPict="0">
                <anchor moveWithCells="1">
                  <from>
                    <xdr:col>6</xdr:col>
                    <xdr:colOff>68580</xdr:colOff>
                    <xdr:row>59</xdr:row>
                    <xdr:rowOff>30480</xdr:rowOff>
                  </from>
                  <to>
                    <xdr:col>16</xdr:col>
                    <xdr:colOff>76200</xdr:colOff>
                    <xdr:row>59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4" r:id="rId281" name="Option Button 278">
              <controlPr defaultSize="0" autoFill="0" autoLine="0" autoPict="0">
                <anchor moveWithCells="1">
                  <from>
                    <xdr:col>7</xdr:col>
                    <xdr:colOff>76200</xdr:colOff>
                    <xdr:row>59</xdr:row>
                    <xdr:rowOff>60960</xdr:rowOff>
                  </from>
                  <to>
                    <xdr:col>7</xdr:col>
                    <xdr:colOff>297180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5" r:id="rId282" name="Option Button 279">
              <controlPr defaultSize="0" autoFill="0" autoLine="0" autoPict="0">
                <anchor moveWithCells="1">
                  <from>
                    <xdr:col>9</xdr:col>
                    <xdr:colOff>68580</xdr:colOff>
                    <xdr:row>59</xdr:row>
                    <xdr:rowOff>60960</xdr:rowOff>
                  </from>
                  <to>
                    <xdr:col>9</xdr:col>
                    <xdr:colOff>289560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6" r:id="rId283" name="Option Button 280">
              <controlPr defaultSize="0" autoFill="0" autoLine="0" autoPict="0">
                <anchor moveWithCells="1">
                  <from>
                    <xdr:col>11</xdr:col>
                    <xdr:colOff>60960</xdr:colOff>
                    <xdr:row>59</xdr:row>
                    <xdr:rowOff>60960</xdr:rowOff>
                  </from>
                  <to>
                    <xdr:col>11</xdr:col>
                    <xdr:colOff>281940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7" r:id="rId284" name="Option Button 281">
              <controlPr defaultSize="0" autoFill="0" autoLine="0" autoPict="0">
                <anchor moveWithCells="1">
                  <from>
                    <xdr:col>13</xdr:col>
                    <xdr:colOff>45720</xdr:colOff>
                    <xdr:row>59</xdr:row>
                    <xdr:rowOff>60960</xdr:rowOff>
                  </from>
                  <to>
                    <xdr:col>13</xdr:col>
                    <xdr:colOff>266700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8" r:id="rId285" name="Option Button 282">
              <controlPr defaultSize="0" autoFill="0" autoLine="0" autoPict="0">
                <anchor moveWithCells="1">
                  <from>
                    <xdr:col>15</xdr:col>
                    <xdr:colOff>38100</xdr:colOff>
                    <xdr:row>59</xdr:row>
                    <xdr:rowOff>60960</xdr:rowOff>
                  </from>
                  <to>
                    <xdr:col>15</xdr:col>
                    <xdr:colOff>259080</xdr:colOff>
                    <xdr:row>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9" r:id="rId286" name="Group Box 283">
              <controlPr defaultSize="0" print="0" autoFill="0" autoPict="0">
                <anchor moveWithCells="1">
                  <from>
                    <xdr:col>6</xdr:col>
                    <xdr:colOff>68580</xdr:colOff>
                    <xdr:row>60</xdr:row>
                    <xdr:rowOff>30480</xdr:rowOff>
                  </from>
                  <to>
                    <xdr:col>16</xdr:col>
                    <xdr:colOff>76200</xdr:colOff>
                    <xdr:row>60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0" r:id="rId287" name="Option Button 284">
              <controlPr defaultSize="0" autoFill="0" autoLine="0" autoPict="0">
                <anchor moveWithCells="1">
                  <from>
                    <xdr:col>7</xdr:col>
                    <xdr:colOff>76200</xdr:colOff>
                    <xdr:row>60</xdr:row>
                    <xdr:rowOff>60960</xdr:rowOff>
                  </from>
                  <to>
                    <xdr:col>7</xdr:col>
                    <xdr:colOff>297180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1" r:id="rId288" name="Option Button 285">
              <controlPr defaultSize="0" autoFill="0" autoLine="0" autoPict="0">
                <anchor moveWithCells="1">
                  <from>
                    <xdr:col>9</xdr:col>
                    <xdr:colOff>68580</xdr:colOff>
                    <xdr:row>60</xdr:row>
                    <xdr:rowOff>60960</xdr:rowOff>
                  </from>
                  <to>
                    <xdr:col>9</xdr:col>
                    <xdr:colOff>289560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2" r:id="rId289" name="Option Button 286">
              <controlPr defaultSize="0" autoFill="0" autoLine="0" autoPict="0">
                <anchor moveWithCells="1">
                  <from>
                    <xdr:col>11</xdr:col>
                    <xdr:colOff>60960</xdr:colOff>
                    <xdr:row>60</xdr:row>
                    <xdr:rowOff>60960</xdr:rowOff>
                  </from>
                  <to>
                    <xdr:col>11</xdr:col>
                    <xdr:colOff>281940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3" r:id="rId290" name="Option Button 287">
              <controlPr defaultSize="0" autoFill="0" autoLine="0" autoPict="0">
                <anchor moveWithCells="1">
                  <from>
                    <xdr:col>13</xdr:col>
                    <xdr:colOff>45720</xdr:colOff>
                    <xdr:row>60</xdr:row>
                    <xdr:rowOff>60960</xdr:rowOff>
                  </from>
                  <to>
                    <xdr:col>13</xdr:col>
                    <xdr:colOff>266700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4" r:id="rId291" name="Option Button 288">
              <controlPr defaultSize="0" autoFill="0" autoLine="0" autoPict="0">
                <anchor moveWithCells="1">
                  <from>
                    <xdr:col>15</xdr:col>
                    <xdr:colOff>38100</xdr:colOff>
                    <xdr:row>60</xdr:row>
                    <xdr:rowOff>60960</xdr:rowOff>
                  </from>
                  <to>
                    <xdr:col>15</xdr:col>
                    <xdr:colOff>259080</xdr:colOff>
                    <xdr:row>60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5" r:id="rId292" name="Group Box 289">
              <controlPr defaultSize="0" print="0" autoFill="0" autoPict="0">
                <anchor moveWithCells="1">
                  <from>
                    <xdr:col>6</xdr:col>
                    <xdr:colOff>68580</xdr:colOff>
                    <xdr:row>63</xdr:row>
                    <xdr:rowOff>7620</xdr:rowOff>
                  </from>
                  <to>
                    <xdr:col>16</xdr:col>
                    <xdr:colOff>76200</xdr:colOff>
                    <xdr:row>63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6" r:id="rId293" name="Option Button 290">
              <controlPr defaultSize="0" autoFill="0" autoLine="0" autoPict="0">
                <anchor moveWithCells="1">
                  <from>
                    <xdr:col>7</xdr:col>
                    <xdr:colOff>76200</xdr:colOff>
                    <xdr:row>63</xdr:row>
                    <xdr:rowOff>45720</xdr:rowOff>
                  </from>
                  <to>
                    <xdr:col>7</xdr:col>
                    <xdr:colOff>297180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7" r:id="rId294" name="Option Button 291">
              <controlPr defaultSize="0" autoFill="0" autoLine="0" autoPict="0">
                <anchor moveWithCells="1">
                  <from>
                    <xdr:col>9</xdr:col>
                    <xdr:colOff>68580</xdr:colOff>
                    <xdr:row>63</xdr:row>
                    <xdr:rowOff>45720</xdr:rowOff>
                  </from>
                  <to>
                    <xdr:col>9</xdr:col>
                    <xdr:colOff>289560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8" r:id="rId295" name="Option Button 292">
              <controlPr defaultSize="0" autoFill="0" autoLine="0" autoPict="0">
                <anchor moveWithCells="1">
                  <from>
                    <xdr:col>11</xdr:col>
                    <xdr:colOff>60960</xdr:colOff>
                    <xdr:row>63</xdr:row>
                    <xdr:rowOff>45720</xdr:rowOff>
                  </from>
                  <to>
                    <xdr:col>11</xdr:col>
                    <xdr:colOff>281940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9" r:id="rId296" name="Option Button 293">
              <controlPr defaultSize="0" autoFill="0" autoLine="0" autoPict="0">
                <anchor moveWithCells="1">
                  <from>
                    <xdr:col>13</xdr:col>
                    <xdr:colOff>53340</xdr:colOff>
                    <xdr:row>63</xdr:row>
                    <xdr:rowOff>45720</xdr:rowOff>
                  </from>
                  <to>
                    <xdr:col>13</xdr:col>
                    <xdr:colOff>266700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0" r:id="rId297" name="Option Button 294">
              <controlPr defaultSize="0" autoFill="0" autoLine="0" autoPict="0">
                <anchor moveWithCells="1">
                  <from>
                    <xdr:col>15</xdr:col>
                    <xdr:colOff>38100</xdr:colOff>
                    <xdr:row>63</xdr:row>
                    <xdr:rowOff>45720</xdr:rowOff>
                  </from>
                  <to>
                    <xdr:col>15</xdr:col>
                    <xdr:colOff>259080</xdr:colOff>
                    <xdr:row>63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1" r:id="rId298" name="Group Box 295">
              <controlPr defaultSize="0" print="0" autoFill="0" autoPict="0">
                <anchor moveWithCells="1">
                  <from>
                    <xdr:col>6</xdr:col>
                    <xdr:colOff>68580</xdr:colOff>
                    <xdr:row>64</xdr:row>
                    <xdr:rowOff>22860</xdr:rowOff>
                  </from>
                  <to>
                    <xdr:col>16</xdr:col>
                    <xdr:colOff>76200</xdr:colOff>
                    <xdr:row>64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2" r:id="rId299" name="Option Button 296">
              <controlPr defaultSize="0" autoFill="0" autoLine="0" autoPict="0">
                <anchor moveWithCells="1">
                  <from>
                    <xdr:col>7</xdr:col>
                    <xdr:colOff>76200</xdr:colOff>
                    <xdr:row>64</xdr:row>
                    <xdr:rowOff>53340</xdr:rowOff>
                  </from>
                  <to>
                    <xdr:col>7</xdr:col>
                    <xdr:colOff>297180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3" r:id="rId300" name="Option Button 297">
              <controlPr defaultSize="0" autoFill="0" autoLine="0" autoPict="0">
                <anchor moveWithCells="1">
                  <from>
                    <xdr:col>9</xdr:col>
                    <xdr:colOff>68580</xdr:colOff>
                    <xdr:row>64</xdr:row>
                    <xdr:rowOff>53340</xdr:rowOff>
                  </from>
                  <to>
                    <xdr:col>9</xdr:col>
                    <xdr:colOff>289560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4" r:id="rId301" name="Option Button 298">
              <controlPr defaultSize="0" autoFill="0" autoLine="0" autoPict="0">
                <anchor moveWithCells="1">
                  <from>
                    <xdr:col>11</xdr:col>
                    <xdr:colOff>60960</xdr:colOff>
                    <xdr:row>64</xdr:row>
                    <xdr:rowOff>53340</xdr:rowOff>
                  </from>
                  <to>
                    <xdr:col>11</xdr:col>
                    <xdr:colOff>281940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5" r:id="rId302" name="Option Button 299">
              <controlPr defaultSize="0" autoFill="0" autoLine="0" autoPict="0">
                <anchor moveWithCells="1">
                  <from>
                    <xdr:col>13</xdr:col>
                    <xdr:colOff>53340</xdr:colOff>
                    <xdr:row>64</xdr:row>
                    <xdr:rowOff>53340</xdr:rowOff>
                  </from>
                  <to>
                    <xdr:col>13</xdr:col>
                    <xdr:colOff>266700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6" r:id="rId303" name="Option Button 300">
              <controlPr defaultSize="0" autoFill="0" autoLine="0" autoPict="0">
                <anchor moveWithCells="1">
                  <from>
                    <xdr:col>15</xdr:col>
                    <xdr:colOff>38100</xdr:colOff>
                    <xdr:row>64</xdr:row>
                    <xdr:rowOff>53340</xdr:rowOff>
                  </from>
                  <to>
                    <xdr:col>15</xdr:col>
                    <xdr:colOff>259080</xdr:colOff>
                    <xdr:row>64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7" r:id="rId304" name="Group Box 301">
              <controlPr defaultSize="0" print="0" autoFill="0" autoPict="0">
                <anchor moveWithCells="1">
                  <from>
                    <xdr:col>6</xdr:col>
                    <xdr:colOff>68580</xdr:colOff>
                    <xdr:row>65</xdr:row>
                    <xdr:rowOff>7620</xdr:rowOff>
                  </from>
                  <to>
                    <xdr:col>16</xdr:col>
                    <xdr:colOff>76200</xdr:colOff>
                    <xdr:row>65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8" r:id="rId305" name="Option Button 302">
              <controlPr defaultSize="0" autoFill="0" autoLine="0" autoPict="0">
                <anchor moveWithCells="1">
                  <from>
                    <xdr:col>7</xdr:col>
                    <xdr:colOff>76200</xdr:colOff>
                    <xdr:row>65</xdr:row>
                    <xdr:rowOff>45720</xdr:rowOff>
                  </from>
                  <to>
                    <xdr:col>7</xdr:col>
                    <xdr:colOff>297180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9" r:id="rId306" name="Option Button 303">
              <controlPr defaultSize="0" autoFill="0" autoLine="0" autoPict="0">
                <anchor moveWithCells="1">
                  <from>
                    <xdr:col>9</xdr:col>
                    <xdr:colOff>68580</xdr:colOff>
                    <xdr:row>65</xdr:row>
                    <xdr:rowOff>45720</xdr:rowOff>
                  </from>
                  <to>
                    <xdr:col>9</xdr:col>
                    <xdr:colOff>289560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0" r:id="rId307" name="Option Button 304">
              <controlPr defaultSize="0" autoFill="0" autoLine="0" autoPict="0">
                <anchor moveWithCells="1">
                  <from>
                    <xdr:col>11</xdr:col>
                    <xdr:colOff>60960</xdr:colOff>
                    <xdr:row>65</xdr:row>
                    <xdr:rowOff>45720</xdr:rowOff>
                  </from>
                  <to>
                    <xdr:col>11</xdr:col>
                    <xdr:colOff>281940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1" r:id="rId308" name="Option Button 305">
              <controlPr defaultSize="0" autoFill="0" autoLine="0" autoPict="0">
                <anchor moveWithCells="1">
                  <from>
                    <xdr:col>13</xdr:col>
                    <xdr:colOff>53340</xdr:colOff>
                    <xdr:row>65</xdr:row>
                    <xdr:rowOff>45720</xdr:rowOff>
                  </from>
                  <to>
                    <xdr:col>13</xdr:col>
                    <xdr:colOff>266700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2" r:id="rId309" name="Option Button 306">
              <controlPr defaultSize="0" autoFill="0" autoLine="0" autoPict="0">
                <anchor moveWithCells="1">
                  <from>
                    <xdr:col>15</xdr:col>
                    <xdr:colOff>38100</xdr:colOff>
                    <xdr:row>65</xdr:row>
                    <xdr:rowOff>45720</xdr:rowOff>
                  </from>
                  <to>
                    <xdr:col>15</xdr:col>
                    <xdr:colOff>259080</xdr:colOff>
                    <xdr:row>65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3" r:id="rId310" name="Group Box 307">
              <controlPr defaultSize="0" print="0" autoFill="0" autoPict="0">
                <anchor moveWithCells="1">
                  <from>
                    <xdr:col>6</xdr:col>
                    <xdr:colOff>68580</xdr:colOff>
                    <xdr:row>66</xdr:row>
                    <xdr:rowOff>7620</xdr:rowOff>
                  </from>
                  <to>
                    <xdr:col>16</xdr:col>
                    <xdr:colOff>76200</xdr:colOff>
                    <xdr:row>66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4" r:id="rId311" name="Option Button 308">
              <controlPr defaultSize="0" autoFill="0" autoLine="0" autoPict="0">
                <anchor moveWithCells="1">
                  <from>
                    <xdr:col>7</xdr:col>
                    <xdr:colOff>76200</xdr:colOff>
                    <xdr:row>66</xdr:row>
                    <xdr:rowOff>45720</xdr:rowOff>
                  </from>
                  <to>
                    <xdr:col>7</xdr:col>
                    <xdr:colOff>297180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5" r:id="rId312" name="Option Button 309">
              <controlPr defaultSize="0" autoFill="0" autoLine="0" autoPict="0">
                <anchor moveWithCells="1">
                  <from>
                    <xdr:col>9</xdr:col>
                    <xdr:colOff>68580</xdr:colOff>
                    <xdr:row>66</xdr:row>
                    <xdr:rowOff>45720</xdr:rowOff>
                  </from>
                  <to>
                    <xdr:col>9</xdr:col>
                    <xdr:colOff>289560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6" r:id="rId313" name="Option Button 310">
              <controlPr defaultSize="0" autoFill="0" autoLine="0" autoPict="0">
                <anchor moveWithCells="1">
                  <from>
                    <xdr:col>11</xdr:col>
                    <xdr:colOff>60960</xdr:colOff>
                    <xdr:row>66</xdr:row>
                    <xdr:rowOff>45720</xdr:rowOff>
                  </from>
                  <to>
                    <xdr:col>11</xdr:col>
                    <xdr:colOff>281940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7" r:id="rId314" name="Option Button 311">
              <controlPr defaultSize="0" autoFill="0" autoLine="0" autoPict="0">
                <anchor moveWithCells="1">
                  <from>
                    <xdr:col>13</xdr:col>
                    <xdr:colOff>53340</xdr:colOff>
                    <xdr:row>66</xdr:row>
                    <xdr:rowOff>45720</xdr:rowOff>
                  </from>
                  <to>
                    <xdr:col>13</xdr:col>
                    <xdr:colOff>266700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8" r:id="rId315" name="Option Button 312">
              <controlPr defaultSize="0" autoFill="0" autoLine="0" autoPict="0">
                <anchor moveWithCells="1">
                  <from>
                    <xdr:col>15</xdr:col>
                    <xdr:colOff>38100</xdr:colOff>
                    <xdr:row>66</xdr:row>
                    <xdr:rowOff>45720</xdr:rowOff>
                  </from>
                  <to>
                    <xdr:col>15</xdr:col>
                    <xdr:colOff>259080</xdr:colOff>
                    <xdr:row>66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9" r:id="rId316" name="Group Box 313">
              <controlPr defaultSize="0" print="0" autoFill="0" autoPict="0">
                <anchor moveWithCells="1">
                  <from>
                    <xdr:col>6</xdr:col>
                    <xdr:colOff>68580</xdr:colOff>
                    <xdr:row>67</xdr:row>
                    <xdr:rowOff>7620</xdr:rowOff>
                  </from>
                  <to>
                    <xdr:col>16</xdr:col>
                    <xdr:colOff>76200</xdr:colOff>
                    <xdr:row>67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0" r:id="rId317" name="Option Button 314">
              <controlPr defaultSize="0" autoFill="0" autoLine="0" autoPict="0">
                <anchor moveWithCells="1">
                  <from>
                    <xdr:col>7</xdr:col>
                    <xdr:colOff>76200</xdr:colOff>
                    <xdr:row>67</xdr:row>
                    <xdr:rowOff>45720</xdr:rowOff>
                  </from>
                  <to>
                    <xdr:col>7</xdr:col>
                    <xdr:colOff>297180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1" r:id="rId318" name="Option Button 315">
              <controlPr defaultSize="0" autoFill="0" autoLine="0" autoPict="0">
                <anchor moveWithCells="1">
                  <from>
                    <xdr:col>9</xdr:col>
                    <xdr:colOff>68580</xdr:colOff>
                    <xdr:row>67</xdr:row>
                    <xdr:rowOff>45720</xdr:rowOff>
                  </from>
                  <to>
                    <xdr:col>9</xdr:col>
                    <xdr:colOff>289560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2" r:id="rId319" name="Option Button 316">
              <controlPr defaultSize="0" autoFill="0" autoLine="0" autoPict="0">
                <anchor moveWithCells="1">
                  <from>
                    <xdr:col>11</xdr:col>
                    <xdr:colOff>60960</xdr:colOff>
                    <xdr:row>67</xdr:row>
                    <xdr:rowOff>45720</xdr:rowOff>
                  </from>
                  <to>
                    <xdr:col>11</xdr:col>
                    <xdr:colOff>281940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3" r:id="rId320" name="Option Button 317">
              <controlPr defaultSize="0" autoFill="0" autoLine="0" autoPict="0">
                <anchor moveWithCells="1">
                  <from>
                    <xdr:col>13</xdr:col>
                    <xdr:colOff>53340</xdr:colOff>
                    <xdr:row>67</xdr:row>
                    <xdr:rowOff>45720</xdr:rowOff>
                  </from>
                  <to>
                    <xdr:col>13</xdr:col>
                    <xdr:colOff>266700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4" r:id="rId321" name="Option Button 318">
              <controlPr defaultSize="0" autoFill="0" autoLine="0" autoPict="0">
                <anchor moveWithCells="1">
                  <from>
                    <xdr:col>15</xdr:col>
                    <xdr:colOff>38100</xdr:colOff>
                    <xdr:row>67</xdr:row>
                    <xdr:rowOff>45720</xdr:rowOff>
                  </from>
                  <to>
                    <xdr:col>15</xdr:col>
                    <xdr:colOff>259080</xdr:colOff>
                    <xdr:row>67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5" r:id="rId322" name="Group Box 319">
              <controlPr defaultSize="0" print="0" autoFill="0" autoPict="0">
                <anchor moveWithCells="1">
                  <from>
                    <xdr:col>6</xdr:col>
                    <xdr:colOff>68580</xdr:colOff>
                    <xdr:row>70</xdr:row>
                    <xdr:rowOff>30480</xdr:rowOff>
                  </from>
                  <to>
                    <xdr:col>16</xdr:col>
                    <xdr:colOff>76200</xdr:colOff>
                    <xdr:row>70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6" r:id="rId323" name="Option Button 320">
              <controlPr defaultSize="0" autoFill="0" autoLine="0" autoPict="0">
                <anchor moveWithCells="1">
                  <from>
                    <xdr:col>7</xdr:col>
                    <xdr:colOff>76200</xdr:colOff>
                    <xdr:row>70</xdr:row>
                    <xdr:rowOff>60960</xdr:rowOff>
                  </from>
                  <to>
                    <xdr:col>7</xdr:col>
                    <xdr:colOff>297180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7" r:id="rId324" name="Option Button 321">
              <controlPr defaultSize="0" autoFill="0" autoLine="0" autoPict="0">
                <anchor moveWithCells="1">
                  <from>
                    <xdr:col>9</xdr:col>
                    <xdr:colOff>68580</xdr:colOff>
                    <xdr:row>70</xdr:row>
                    <xdr:rowOff>60960</xdr:rowOff>
                  </from>
                  <to>
                    <xdr:col>9</xdr:col>
                    <xdr:colOff>289560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8" r:id="rId325" name="Option Button 322">
              <controlPr defaultSize="0" autoFill="0" autoLine="0" autoPict="0">
                <anchor moveWithCells="1">
                  <from>
                    <xdr:col>11</xdr:col>
                    <xdr:colOff>60960</xdr:colOff>
                    <xdr:row>70</xdr:row>
                    <xdr:rowOff>60960</xdr:rowOff>
                  </from>
                  <to>
                    <xdr:col>11</xdr:col>
                    <xdr:colOff>281940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9" r:id="rId326" name="Option Button 323">
              <controlPr defaultSize="0" autoFill="0" autoLine="0" autoPict="0">
                <anchor moveWithCells="1">
                  <from>
                    <xdr:col>13</xdr:col>
                    <xdr:colOff>45720</xdr:colOff>
                    <xdr:row>70</xdr:row>
                    <xdr:rowOff>60960</xdr:rowOff>
                  </from>
                  <to>
                    <xdr:col>13</xdr:col>
                    <xdr:colOff>266700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0" r:id="rId327" name="Option Button 324">
              <controlPr defaultSize="0" autoFill="0" autoLine="0" autoPict="0">
                <anchor moveWithCells="1">
                  <from>
                    <xdr:col>15</xdr:col>
                    <xdr:colOff>38100</xdr:colOff>
                    <xdr:row>70</xdr:row>
                    <xdr:rowOff>60960</xdr:rowOff>
                  </from>
                  <to>
                    <xdr:col>15</xdr:col>
                    <xdr:colOff>259080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1" r:id="rId328" name="Group Box 325">
              <controlPr defaultSize="0" print="0" autoFill="0" autoPict="0">
                <anchor moveWithCells="1">
                  <from>
                    <xdr:col>6</xdr:col>
                    <xdr:colOff>68580</xdr:colOff>
                    <xdr:row>71</xdr:row>
                    <xdr:rowOff>7620</xdr:rowOff>
                  </from>
                  <to>
                    <xdr:col>16</xdr:col>
                    <xdr:colOff>76200</xdr:colOff>
                    <xdr:row>71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2" r:id="rId329" name="Option Button 326">
              <controlPr defaultSize="0" autoFill="0" autoLine="0" autoPict="0">
                <anchor moveWithCells="1">
                  <from>
                    <xdr:col>7</xdr:col>
                    <xdr:colOff>76200</xdr:colOff>
                    <xdr:row>71</xdr:row>
                    <xdr:rowOff>38100</xdr:rowOff>
                  </from>
                  <to>
                    <xdr:col>7</xdr:col>
                    <xdr:colOff>297180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3" r:id="rId330" name="Option Button 327">
              <controlPr defaultSize="0" autoFill="0" autoLine="0" autoPict="0">
                <anchor moveWithCells="1">
                  <from>
                    <xdr:col>9</xdr:col>
                    <xdr:colOff>68580</xdr:colOff>
                    <xdr:row>71</xdr:row>
                    <xdr:rowOff>38100</xdr:rowOff>
                  </from>
                  <to>
                    <xdr:col>9</xdr:col>
                    <xdr:colOff>289560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4" r:id="rId331" name="Option Button 328">
              <controlPr defaultSize="0" autoFill="0" autoLine="0" autoPict="0">
                <anchor moveWithCells="1">
                  <from>
                    <xdr:col>11</xdr:col>
                    <xdr:colOff>60960</xdr:colOff>
                    <xdr:row>71</xdr:row>
                    <xdr:rowOff>38100</xdr:rowOff>
                  </from>
                  <to>
                    <xdr:col>11</xdr:col>
                    <xdr:colOff>281940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5" r:id="rId332" name="Option Button 329">
              <controlPr defaultSize="0" autoFill="0" autoLine="0" autoPict="0">
                <anchor moveWithCells="1">
                  <from>
                    <xdr:col>13</xdr:col>
                    <xdr:colOff>45720</xdr:colOff>
                    <xdr:row>71</xdr:row>
                    <xdr:rowOff>38100</xdr:rowOff>
                  </from>
                  <to>
                    <xdr:col>13</xdr:col>
                    <xdr:colOff>266700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6" r:id="rId333" name="Option Button 330">
              <controlPr defaultSize="0" autoFill="0" autoLine="0" autoPict="0">
                <anchor moveWithCells="1">
                  <from>
                    <xdr:col>15</xdr:col>
                    <xdr:colOff>38100</xdr:colOff>
                    <xdr:row>71</xdr:row>
                    <xdr:rowOff>38100</xdr:rowOff>
                  </from>
                  <to>
                    <xdr:col>15</xdr:col>
                    <xdr:colOff>259080</xdr:colOff>
                    <xdr:row>71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7" r:id="rId334" name="Group Box 331">
              <controlPr defaultSize="0" print="0" autoFill="0" autoPict="0">
                <anchor moveWithCells="1">
                  <from>
                    <xdr:col>6</xdr:col>
                    <xdr:colOff>68580</xdr:colOff>
                    <xdr:row>72</xdr:row>
                    <xdr:rowOff>22860</xdr:rowOff>
                  </from>
                  <to>
                    <xdr:col>16</xdr:col>
                    <xdr:colOff>76200</xdr:colOff>
                    <xdr:row>72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8" r:id="rId335" name="Option Button 332">
              <controlPr defaultSize="0" autoFill="0" autoLine="0" autoPict="0">
                <anchor moveWithCells="1">
                  <from>
                    <xdr:col>7</xdr:col>
                    <xdr:colOff>76200</xdr:colOff>
                    <xdr:row>72</xdr:row>
                    <xdr:rowOff>45720</xdr:rowOff>
                  </from>
                  <to>
                    <xdr:col>7</xdr:col>
                    <xdr:colOff>297180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9" r:id="rId336" name="Option Button 333">
              <controlPr defaultSize="0" autoFill="0" autoLine="0" autoPict="0">
                <anchor moveWithCells="1">
                  <from>
                    <xdr:col>9</xdr:col>
                    <xdr:colOff>68580</xdr:colOff>
                    <xdr:row>72</xdr:row>
                    <xdr:rowOff>45720</xdr:rowOff>
                  </from>
                  <to>
                    <xdr:col>9</xdr:col>
                    <xdr:colOff>289560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0" r:id="rId337" name="Option Button 334">
              <controlPr defaultSize="0" autoFill="0" autoLine="0" autoPict="0">
                <anchor moveWithCells="1">
                  <from>
                    <xdr:col>11</xdr:col>
                    <xdr:colOff>60960</xdr:colOff>
                    <xdr:row>72</xdr:row>
                    <xdr:rowOff>45720</xdr:rowOff>
                  </from>
                  <to>
                    <xdr:col>11</xdr:col>
                    <xdr:colOff>281940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1" r:id="rId338" name="Option Button 335">
              <controlPr defaultSize="0" autoFill="0" autoLine="0" autoPict="0">
                <anchor moveWithCells="1">
                  <from>
                    <xdr:col>13</xdr:col>
                    <xdr:colOff>45720</xdr:colOff>
                    <xdr:row>72</xdr:row>
                    <xdr:rowOff>45720</xdr:rowOff>
                  </from>
                  <to>
                    <xdr:col>13</xdr:col>
                    <xdr:colOff>266700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2" r:id="rId339" name="Option Button 336">
              <controlPr defaultSize="0" autoFill="0" autoLine="0" autoPict="0">
                <anchor moveWithCells="1">
                  <from>
                    <xdr:col>15</xdr:col>
                    <xdr:colOff>38100</xdr:colOff>
                    <xdr:row>72</xdr:row>
                    <xdr:rowOff>45720</xdr:rowOff>
                  </from>
                  <to>
                    <xdr:col>15</xdr:col>
                    <xdr:colOff>259080</xdr:colOff>
                    <xdr:row>72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3" r:id="rId340" name="Group Box 337">
              <controlPr defaultSize="0" print="0" autoFill="0" autoPict="0">
                <anchor moveWithCells="1">
                  <from>
                    <xdr:col>6</xdr:col>
                    <xdr:colOff>68580</xdr:colOff>
                    <xdr:row>73</xdr:row>
                    <xdr:rowOff>22860</xdr:rowOff>
                  </from>
                  <to>
                    <xdr:col>16</xdr:col>
                    <xdr:colOff>76200</xdr:colOff>
                    <xdr:row>73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4" r:id="rId341" name="Option Button 338">
              <controlPr defaultSize="0" autoFill="0" autoLine="0" autoPict="0">
                <anchor moveWithCells="1">
                  <from>
                    <xdr:col>7</xdr:col>
                    <xdr:colOff>76200</xdr:colOff>
                    <xdr:row>73</xdr:row>
                    <xdr:rowOff>45720</xdr:rowOff>
                  </from>
                  <to>
                    <xdr:col>7</xdr:col>
                    <xdr:colOff>297180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5" r:id="rId342" name="Option Button 339">
              <controlPr defaultSize="0" autoFill="0" autoLine="0" autoPict="0">
                <anchor moveWithCells="1">
                  <from>
                    <xdr:col>9</xdr:col>
                    <xdr:colOff>68580</xdr:colOff>
                    <xdr:row>73</xdr:row>
                    <xdr:rowOff>45720</xdr:rowOff>
                  </from>
                  <to>
                    <xdr:col>9</xdr:col>
                    <xdr:colOff>289560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6" r:id="rId343" name="Option Button 340">
              <controlPr defaultSize="0" autoFill="0" autoLine="0" autoPict="0">
                <anchor moveWithCells="1">
                  <from>
                    <xdr:col>11</xdr:col>
                    <xdr:colOff>60960</xdr:colOff>
                    <xdr:row>73</xdr:row>
                    <xdr:rowOff>45720</xdr:rowOff>
                  </from>
                  <to>
                    <xdr:col>11</xdr:col>
                    <xdr:colOff>281940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7" r:id="rId344" name="Option Button 341">
              <controlPr defaultSize="0" autoFill="0" autoLine="0" autoPict="0">
                <anchor moveWithCells="1">
                  <from>
                    <xdr:col>13</xdr:col>
                    <xdr:colOff>45720</xdr:colOff>
                    <xdr:row>73</xdr:row>
                    <xdr:rowOff>45720</xdr:rowOff>
                  </from>
                  <to>
                    <xdr:col>13</xdr:col>
                    <xdr:colOff>266700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8" r:id="rId345" name="Option Button 342">
              <controlPr defaultSize="0" autoFill="0" autoLine="0" autoPict="0">
                <anchor moveWithCells="1">
                  <from>
                    <xdr:col>15</xdr:col>
                    <xdr:colOff>38100</xdr:colOff>
                    <xdr:row>73</xdr:row>
                    <xdr:rowOff>45720</xdr:rowOff>
                  </from>
                  <to>
                    <xdr:col>15</xdr:col>
                    <xdr:colOff>259080</xdr:colOff>
                    <xdr:row>73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9" r:id="rId346" name="Group Box 343">
              <controlPr defaultSize="0" print="0" autoFill="0" autoPict="0">
                <anchor moveWithCells="1">
                  <from>
                    <xdr:col>6</xdr:col>
                    <xdr:colOff>68580</xdr:colOff>
                    <xdr:row>74</xdr:row>
                    <xdr:rowOff>30480</xdr:rowOff>
                  </from>
                  <to>
                    <xdr:col>16</xdr:col>
                    <xdr:colOff>76200</xdr:colOff>
                    <xdr:row>74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0" r:id="rId347" name="Option Button 344">
              <controlPr defaultSize="0" autoFill="0" autoLine="0" autoPict="0">
                <anchor moveWithCells="1">
                  <from>
                    <xdr:col>7</xdr:col>
                    <xdr:colOff>76200</xdr:colOff>
                    <xdr:row>74</xdr:row>
                    <xdr:rowOff>60960</xdr:rowOff>
                  </from>
                  <to>
                    <xdr:col>7</xdr:col>
                    <xdr:colOff>297180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1" r:id="rId348" name="Option Button 345">
              <controlPr defaultSize="0" autoFill="0" autoLine="0" autoPict="0">
                <anchor moveWithCells="1">
                  <from>
                    <xdr:col>9</xdr:col>
                    <xdr:colOff>68580</xdr:colOff>
                    <xdr:row>74</xdr:row>
                    <xdr:rowOff>60960</xdr:rowOff>
                  </from>
                  <to>
                    <xdr:col>9</xdr:col>
                    <xdr:colOff>289560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2" r:id="rId349" name="Option Button 346">
              <controlPr defaultSize="0" autoFill="0" autoLine="0" autoPict="0">
                <anchor moveWithCells="1">
                  <from>
                    <xdr:col>11</xdr:col>
                    <xdr:colOff>60960</xdr:colOff>
                    <xdr:row>74</xdr:row>
                    <xdr:rowOff>60960</xdr:rowOff>
                  </from>
                  <to>
                    <xdr:col>11</xdr:col>
                    <xdr:colOff>281940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3" r:id="rId350" name="Option Button 347">
              <controlPr defaultSize="0" autoFill="0" autoLine="0" autoPict="0">
                <anchor moveWithCells="1">
                  <from>
                    <xdr:col>13</xdr:col>
                    <xdr:colOff>45720</xdr:colOff>
                    <xdr:row>74</xdr:row>
                    <xdr:rowOff>60960</xdr:rowOff>
                  </from>
                  <to>
                    <xdr:col>13</xdr:col>
                    <xdr:colOff>266700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4" r:id="rId351" name="Option Button 348">
              <controlPr defaultSize="0" autoFill="0" autoLine="0" autoPict="0">
                <anchor moveWithCells="1">
                  <from>
                    <xdr:col>15</xdr:col>
                    <xdr:colOff>38100</xdr:colOff>
                    <xdr:row>74</xdr:row>
                    <xdr:rowOff>60960</xdr:rowOff>
                  </from>
                  <to>
                    <xdr:col>15</xdr:col>
                    <xdr:colOff>259080</xdr:colOff>
                    <xdr:row>74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5" r:id="rId352" name="Group Box 349">
              <controlPr defaultSize="0" print="0" autoFill="0" autoPict="0">
                <anchor moveWithCells="1">
                  <from>
                    <xdr:col>6</xdr:col>
                    <xdr:colOff>68580</xdr:colOff>
                    <xdr:row>75</xdr:row>
                    <xdr:rowOff>22860</xdr:rowOff>
                  </from>
                  <to>
                    <xdr:col>16</xdr:col>
                    <xdr:colOff>76200</xdr:colOff>
                    <xdr:row>75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6" r:id="rId353" name="Option Button 350">
              <controlPr defaultSize="0" autoFill="0" autoLine="0" autoPict="0">
                <anchor moveWithCells="1">
                  <from>
                    <xdr:col>7</xdr:col>
                    <xdr:colOff>76200</xdr:colOff>
                    <xdr:row>75</xdr:row>
                    <xdr:rowOff>45720</xdr:rowOff>
                  </from>
                  <to>
                    <xdr:col>7</xdr:col>
                    <xdr:colOff>297180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7" r:id="rId354" name="Option Button 351">
              <controlPr defaultSize="0" autoFill="0" autoLine="0" autoPict="0">
                <anchor moveWithCells="1">
                  <from>
                    <xdr:col>9</xdr:col>
                    <xdr:colOff>68580</xdr:colOff>
                    <xdr:row>75</xdr:row>
                    <xdr:rowOff>45720</xdr:rowOff>
                  </from>
                  <to>
                    <xdr:col>9</xdr:col>
                    <xdr:colOff>289560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8" r:id="rId355" name="Option Button 352">
              <controlPr defaultSize="0" autoFill="0" autoLine="0" autoPict="0">
                <anchor moveWithCells="1">
                  <from>
                    <xdr:col>11</xdr:col>
                    <xdr:colOff>60960</xdr:colOff>
                    <xdr:row>75</xdr:row>
                    <xdr:rowOff>45720</xdr:rowOff>
                  </from>
                  <to>
                    <xdr:col>11</xdr:col>
                    <xdr:colOff>281940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9" r:id="rId356" name="Option Button 353">
              <controlPr defaultSize="0" autoFill="0" autoLine="0" autoPict="0">
                <anchor moveWithCells="1">
                  <from>
                    <xdr:col>13</xdr:col>
                    <xdr:colOff>45720</xdr:colOff>
                    <xdr:row>75</xdr:row>
                    <xdr:rowOff>45720</xdr:rowOff>
                  </from>
                  <to>
                    <xdr:col>13</xdr:col>
                    <xdr:colOff>266700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90" r:id="rId357" name="Option Button 354">
              <controlPr defaultSize="0" autoFill="0" autoLine="0" autoPict="0">
                <anchor moveWithCells="1">
                  <from>
                    <xdr:col>15</xdr:col>
                    <xdr:colOff>38100</xdr:colOff>
                    <xdr:row>75</xdr:row>
                    <xdr:rowOff>45720</xdr:rowOff>
                  </from>
                  <to>
                    <xdr:col>15</xdr:col>
                    <xdr:colOff>259080</xdr:colOff>
                    <xdr:row>75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91" r:id="rId358" name="Drop Down 355">
              <controlPr defaultSize="0" print="0" autoLine="0" autoPict="0">
                <anchor moveWithCells="1">
                  <from>
                    <xdr:col>20</xdr:col>
                    <xdr:colOff>1737360</xdr:colOff>
                    <xdr:row>1</xdr:row>
                    <xdr:rowOff>60960</xdr:rowOff>
                  </from>
                  <to>
                    <xdr:col>21</xdr:col>
                    <xdr:colOff>0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3" id="{A8EF500A-0B41-41F9-ACA8-632CCD3A77BB}">
            <x14:iconSet iconSet="5Boxes">
              <x14:cfvo type="percent">
                <xm:f>0</xm:f>
              </x14:cfvo>
              <x14:cfvo type="num">
                <xm:f>3</xm:f>
              </x14:cfvo>
              <x14:cfvo type="num">
                <xm:f>6</xm:f>
              </x14:cfvo>
              <x14:cfvo type="num">
                <xm:f>9</xm:f>
              </x14:cfvo>
              <x14:cfvo type="num">
                <xm:f>10</xm:f>
              </x14:cfvo>
            </x14:iconSet>
          </x14:cfRule>
          <xm:sqref>W79:X81</xm:sqref>
        </x14:conditionalFormatting>
        <x14:conditionalFormatting xmlns:xm="http://schemas.microsoft.com/office/excel/2006/main">
          <x14:cfRule type="iconSet" priority="10" id="{67AF7628-B269-4DA2-A9D4-2EE94BE5209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Z4</xm:sqref>
        </x14:conditionalFormatting>
        <x14:conditionalFormatting xmlns:xm="http://schemas.microsoft.com/office/excel/2006/main">
          <x14:cfRule type="iconSet" priority="9" id="{E84215C8-D362-4A8E-A8F6-3491C004258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Z5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Tabelle14">
    <tabColor theme="4" tint="0.39997558519241921"/>
    <pageSetUpPr fitToPage="1"/>
  </sheetPr>
  <dimension ref="A1:X92"/>
  <sheetViews>
    <sheetView showGridLines="0" zoomScaleNormal="100" workbookViewId="0">
      <pane ySplit="6" topLeftCell="A7" activePane="bottomLeft" state="frozen"/>
      <selection activeCell="K1" sqref="K1"/>
      <selection pane="bottomLeft" activeCell="A2" sqref="A2"/>
    </sheetView>
  </sheetViews>
  <sheetFormatPr baseColWidth="10" defaultColWidth="11.44140625" defaultRowHeight="18.75" customHeight="1" x14ac:dyDescent="0.3"/>
  <cols>
    <col min="1" max="1" width="6" style="633" customWidth="1"/>
    <col min="2" max="2" width="4.109375" style="698" bestFit="1" customWidth="1"/>
    <col min="3" max="3" width="27.6640625" style="638" customWidth="1"/>
    <col min="4" max="4" width="3.33203125" style="699" customWidth="1"/>
    <col min="5" max="5" width="28.33203125" style="638" customWidth="1"/>
    <col min="6" max="6" width="2" style="638" customWidth="1"/>
    <col min="7" max="7" width="9.44140625" style="640" customWidth="1"/>
    <col min="8" max="8" width="8.6640625" style="640" customWidth="1"/>
    <col min="9" max="9" width="7.109375" style="640" bestFit="1" customWidth="1"/>
    <col min="10" max="11" width="7.5546875" style="640" hidden="1" customWidth="1"/>
    <col min="12" max="12" width="4.5546875" style="641" customWidth="1"/>
    <col min="13" max="13" width="3.33203125" style="698" customWidth="1"/>
    <col min="14" max="14" width="37.88671875" style="638" customWidth="1"/>
    <col min="15" max="15" width="3.33203125" style="699" customWidth="1"/>
    <col min="16" max="16" width="33" style="638" customWidth="1"/>
    <col min="17" max="17" width="2" style="638" customWidth="1"/>
    <col min="18" max="19" width="8.6640625" style="640" customWidth="1"/>
    <col min="20" max="20" width="7.33203125" style="640" customWidth="1"/>
    <col min="21" max="22" width="7.5546875" style="640" hidden="1" customWidth="1"/>
    <col min="23" max="23" width="4.5546875" style="641" customWidth="1"/>
    <col min="24" max="24" width="3.88671875" style="642" customWidth="1"/>
    <col min="25" max="44" width="3.88671875" style="371" customWidth="1"/>
    <col min="45" max="16384" width="11.44140625" style="371"/>
  </cols>
  <sheetData>
    <row r="1" spans="1:24" s="316" customFormat="1" ht="44.4" customHeight="1" x14ac:dyDescent="0.3">
      <c r="A1" s="400"/>
      <c r="B1" s="400"/>
      <c r="C1" s="198" t="str">
        <f ca="1">' '!A426</f>
        <v>S T R A T E G I E S  &amp;  O B J E C T I F S   I N N O V A T I O N</v>
      </c>
      <c r="D1" s="620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621"/>
      <c r="P1" s="198"/>
      <c r="Q1" s="198"/>
      <c r="R1" s="622"/>
      <c r="S1" s="622"/>
      <c r="T1" s="198"/>
      <c r="U1" s="622"/>
      <c r="V1" s="622"/>
      <c r="W1" s="317"/>
      <c r="X1" s="623"/>
    </row>
    <row r="2" spans="1:24" s="316" customFormat="1" ht="0.9" customHeight="1" x14ac:dyDescent="0.3">
      <c r="A2" s="624"/>
      <c r="B2" s="401"/>
      <c r="C2" s="199"/>
      <c r="D2" s="625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625"/>
      <c r="P2" s="199"/>
      <c r="Q2" s="199"/>
      <c r="R2" s="626"/>
      <c r="S2" s="626"/>
      <c r="T2" s="199"/>
      <c r="U2" s="626"/>
      <c r="V2" s="626"/>
      <c r="W2" s="199"/>
      <c r="X2" s="623"/>
    </row>
    <row r="3" spans="1:24" customFormat="1" ht="20.25" customHeight="1" x14ac:dyDescent="0.3">
      <c r="A3" s="627"/>
      <c r="B3" s="628"/>
      <c r="C3" s="322"/>
      <c r="D3" s="629"/>
      <c r="E3" s="628"/>
      <c r="F3" s="628"/>
      <c r="G3" s="628"/>
      <c r="H3" s="630"/>
      <c r="I3" s="628"/>
      <c r="K3" s="630"/>
      <c r="O3" s="631"/>
      <c r="R3" s="632"/>
      <c r="S3" s="632"/>
      <c r="U3" s="632"/>
      <c r="V3" s="632"/>
      <c r="X3" s="197"/>
    </row>
    <row r="4" spans="1:24" ht="6" customHeight="1" x14ac:dyDescent="0.3">
      <c r="B4" s="634"/>
      <c r="C4" s="634"/>
      <c r="D4" s="635"/>
      <c r="E4" s="634"/>
      <c r="F4" s="634"/>
      <c r="G4" s="634"/>
      <c r="H4" s="634"/>
      <c r="I4" s="634"/>
      <c r="J4" s="634"/>
      <c r="K4" s="634"/>
      <c r="L4" s="636"/>
      <c r="M4" s="637"/>
      <c r="O4" s="639"/>
    </row>
    <row r="5" spans="1:24" s="592" customFormat="1" ht="18.75" customHeight="1" x14ac:dyDescent="0.3">
      <c r="A5" s="643"/>
      <c r="B5" s="644" t="str">
        <f ca="1">' '!A431</f>
        <v>No.</v>
      </c>
      <c r="C5" s="645" t="str">
        <f ca="1">' '!A439</f>
        <v>Objectifs Innovation</v>
      </c>
      <c r="D5" s="646" t="str">
        <f ca="1">B5</f>
        <v>No.</v>
      </c>
      <c r="E5" s="647" t="str">
        <f ca="1">' '!A440</f>
        <v>Indicateurs</v>
      </c>
      <c r="F5" s="648"/>
      <c r="G5" s="649" t="str">
        <f ca="1">' '!A434</f>
        <v>ÊTRE</v>
      </c>
      <c r="H5" s="650" t="str">
        <f ca="1">' '!A435</f>
        <v>DOIT</v>
      </c>
      <c r="I5" s="651" t="str">
        <f ca="1">' '!A436</f>
        <v>atteint</v>
      </c>
      <c r="J5" s="652" t="str">
        <f ca="1">' '!A437</f>
        <v>rouge</v>
      </c>
      <c r="K5" s="652" t="str">
        <f ca="1">' '!A438</f>
        <v>jaune</v>
      </c>
      <c r="L5" s="653"/>
      <c r="M5" s="646" t="str">
        <f ca="1">B5</f>
        <v>No.</v>
      </c>
      <c r="N5" s="654" t="str">
        <f ca="1">' '!A432</f>
        <v>Stratégies</v>
      </c>
      <c r="O5" s="646" t="str">
        <f ca="1">B5</f>
        <v>No.</v>
      </c>
      <c r="P5" s="655" t="str">
        <f ca="1">' '!A433</f>
        <v>Indicateurs stratégiques</v>
      </c>
      <c r="Q5" s="656"/>
      <c r="R5" s="657" t="str">
        <f ca="1">G5</f>
        <v>ÊTRE</v>
      </c>
      <c r="S5" s="657" t="str">
        <f ca="1">H5</f>
        <v>DOIT</v>
      </c>
      <c r="T5" s="658" t="str">
        <f ca="1">I5</f>
        <v>atteint</v>
      </c>
      <c r="U5" s="659" t="str">
        <f ca="1">J5</f>
        <v>rouge</v>
      </c>
      <c r="V5" s="659" t="str">
        <f ca="1">K5</f>
        <v>jaune</v>
      </c>
      <c r="W5" s="660"/>
      <c r="X5" s="661"/>
    </row>
    <row r="6" spans="1:24" s="666" customFormat="1" ht="9" customHeight="1" x14ac:dyDescent="0.25">
      <c r="A6" s="662"/>
      <c r="B6" s="663"/>
      <c r="C6" s="241"/>
      <c r="D6" s="664"/>
      <c r="E6" s="241"/>
      <c r="F6" s="241"/>
      <c r="G6" s="242"/>
      <c r="H6" s="242"/>
      <c r="I6" s="242"/>
      <c r="J6" s="242"/>
      <c r="K6" s="242"/>
      <c r="L6" s="243"/>
      <c r="M6" s="663"/>
      <c r="N6" s="244"/>
      <c r="O6" s="663"/>
      <c r="P6" s="241"/>
      <c r="Q6" s="241"/>
      <c r="R6" s="242"/>
      <c r="S6" s="242"/>
      <c r="T6" s="242"/>
      <c r="U6" s="242"/>
      <c r="V6" s="242"/>
      <c r="W6" s="242"/>
      <c r="X6" s="665"/>
    </row>
    <row r="7" spans="1:24" ht="15.6" x14ac:dyDescent="0.3">
      <c r="B7" s="667">
        <v>1</v>
      </c>
      <c r="C7" s="1089" t="s">
        <v>767</v>
      </c>
      <c r="D7" s="1076" t="s">
        <v>992</v>
      </c>
      <c r="E7" s="1077" t="s">
        <v>768</v>
      </c>
      <c r="F7" s="668" t="str">
        <f>IF(E7&lt;&gt;"","?","")</f>
        <v>?</v>
      </c>
      <c r="G7" s="1079">
        <v>50</v>
      </c>
      <c r="H7" s="1070">
        <v>100</v>
      </c>
      <c r="I7" s="1071">
        <f>IF(OR(G7="Ja",G7="JA",G7="ja",G7="Oui",G7="OUI",G7="oui"),100%,
IF(OR(G7="Nein",G7="NEIN",G7="nein",G7="Oon",G7="NON",G7="non"),0%,
IF(G7&lt;&gt;0,
IF(H7&gt;=G7,G7/H7,
IF(H7&lt;G7,H7/G7)),
0%)))</f>
        <v>0.5</v>
      </c>
      <c r="J7" s="1072">
        <v>0.7</v>
      </c>
      <c r="K7" s="1074">
        <v>0.9</v>
      </c>
      <c r="L7" s="1081">
        <f t="shared" ref="L7:L13" si="0">IF(E7="","",IF(I7&lt;=J7,3,IF(I7&lt;=K7,2,1)))</f>
        <v>3</v>
      </c>
      <c r="M7" s="669" t="s">
        <v>448</v>
      </c>
      <c r="N7" s="670" t="s">
        <v>769</v>
      </c>
      <c r="O7" s="669" t="s">
        <v>498</v>
      </c>
      <c r="P7" s="670" t="s">
        <v>768</v>
      </c>
      <c r="Q7" s="670" t="str">
        <f t="shared" ref="Q7:Q14" si="1">IF(P7&lt;&gt;"","?","")</f>
        <v>?</v>
      </c>
      <c r="R7" s="671">
        <v>0.01</v>
      </c>
      <c r="S7" s="671">
        <v>1</v>
      </c>
      <c r="T7" s="672">
        <f>IF(OR(R7="Ja",R7="JA",R7="ja",R7="Oui",R7="OUI",R7="oui"),100%,
IF(OR(R7="Nein",R7="NEIN",R7="nein",R7="Oon",R7="NON",R7="non"),0%,
IF(R7&lt;&gt;0,
IF(S7&gt;=R7,R7/S7,
IF(S7&lt;R7,S7/R7)),
0%)))</f>
        <v>0.01</v>
      </c>
      <c r="U7" s="673">
        <v>0.7</v>
      </c>
      <c r="V7" s="674">
        <v>0.9</v>
      </c>
      <c r="W7" s="675">
        <f t="shared" ref="W7:W8" si="2">IF(P7="","",IF(T7&lt;=U7,3,IF(T7&lt;=V7,2,1)))</f>
        <v>3</v>
      </c>
      <c r="X7" s="623"/>
    </row>
    <row r="8" spans="1:24" ht="15.6" x14ac:dyDescent="0.3">
      <c r="B8" s="676">
        <v>1</v>
      </c>
      <c r="C8" s="1089"/>
      <c r="D8" s="1076"/>
      <c r="E8" s="1078"/>
      <c r="F8" s="677"/>
      <c r="G8" s="1080"/>
      <c r="H8" s="1070"/>
      <c r="I8" s="1071"/>
      <c r="J8" s="1073"/>
      <c r="K8" s="1075"/>
      <c r="L8" s="1081"/>
      <c r="M8" s="669" t="s">
        <v>449</v>
      </c>
      <c r="N8" s="670"/>
      <c r="O8" s="669" t="s">
        <v>500</v>
      </c>
      <c r="P8" s="670"/>
      <c r="Q8" s="670" t="str">
        <f t="shared" si="1"/>
        <v/>
      </c>
      <c r="R8" s="678"/>
      <c r="S8" s="678"/>
      <c r="T8" s="672">
        <f t="shared" ref="T8:T14" si="3">IF(OR(R8="Ja",R8="JA",R8="ja",R8="Oui",R8="OUI",R8="oui"),100%,
IF(OR(R8="Nein",R8="NEIN",R8="nein",R8="Oon",R8="NON",R8="non"),0%,
IF(R8&lt;&gt;0,
IF(S8&gt;=R8,R8/S8,
IF(S8&lt;R8,S8/R8)),
0%)))</f>
        <v>0</v>
      </c>
      <c r="U8" s="673">
        <v>0.7</v>
      </c>
      <c r="V8" s="674">
        <v>0.9</v>
      </c>
      <c r="W8" s="675" t="str">
        <f t="shared" si="2"/>
        <v/>
      </c>
      <c r="X8" s="623"/>
    </row>
    <row r="9" spans="1:24" ht="15.6" x14ac:dyDescent="0.3">
      <c r="B9" s="676">
        <v>1</v>
      </c>
      <c r="C9" s="1089"/>
      <c r="D9" s="1076" t="s">
        <v>992</v>
      </c>
      <c r="E9" s="1084"/>
      <c r="F9" s="668" t="str">
        <f>IF(E9&lt;&gt;"","?","")</f>
        <v/>
      </c>
      <c r="G9" s="1070"/>
      <c r="H9" s="1070"/>
      <c r="I9" s="1071">
        <f>IF(OR(G9="Ja",G9="JA",G9="ja",G9="Oui",G9="OUI",G9="oui"),100%,
IF(OR(G9="Nein",G9="NEIN",G9="nein",G9="Oon",G9="NON",G9="non"),0%,
IF(G9&lt;&gt;0,
IF(H9&gt;=G9,G9/H9,
IF(H9&lt;G9,H9/G9)),
0%)))</f>
        <v>0</v>
      </c>
      <c r="J9" s="1072">
        <v>0.7</v>
      </c>
      <c r="K9" s="1074">
        <v>0.9</v>
      </c>
      <c r="L9" s="1081" t="str">
        <f t="shared" si="0"/>
        <v/>
      </c>
      <c r="M9" s="669" t="s">
        <v>450</v>
      </c>
      <c r="N9" s="670"/>
      <c r="O9" s="669" t="s">
        <v>502</v>
      </c>
      <c r="P9" s="670"/>
      <c r="Q9" s="670" t="str">
        <f t="shared" si="1"/>
        <v/>
      </c>
      <c r="R9" s="678"/>
      <c r="S9" s="678"/>
      <c r="T9" s="672">
        <f t="shared" si="3"/>
        <v>0</v>
      </c>
      <c r="U9" s="673">
        <v>0.7</v>
      </c>
      <c r="V9" s="674">
        <v>0.9</v>
      </c>
      <c r="W9" s="675" t="str">
        <f>IF(P9="","",IF(T9&lt;=U9,3,IF(T9&lt;=V9,2,1)))</f>
        <v/>
      </c>
      <c r="X9" s="623"/>
    </row>
    <row r="10" spans="1:24" ht="15.6" x14ac:dyDescent="0.3">
      <c r="B10" s="676">
        <v>1</v>
      </c>
      <c r="C10" s="1089"/>
      <c r="D10" s="1076"/>
      <c r="E10" s="1084"/>
      <c r="F10" s="677"/>
      <c r="G10" s="1070"/>
      <c r="H10" s="1070"/>
      <c r="I10" s="1071"/>
      <c r="J10" s="1073"/>
      <c r="K10" s="1075"/>
      <c r="L10" s="1081"/>
      <c r="M10" s="669" t="s">
        <v>451</v>
      </c>
      <c r="N10" s="670"/>
      <c r="O10" s="669" t="s">
        <v>504</v>
      </c>
      <c r="P10" s="670"/>
      <c r="Q10" s="670" t="str">
        <f t="shared" si="1"/>
        <v/>
      </c>
      <c r="R10" s="678"/>
      <c r="S10" s="678"/>
      <c r="T10" s="672">
        <f t="shared" si="3"/>
        <v>0</v>
      </c>
      <c r="U10" s="673">
        <v>0.7</v>
      </c>
      <c r="V10" s="674">
        <v>0.9</v>
      </c>
      <c r="W10" s="675" t="str">
        <f t="shared" ref="W10:W14" si="4">IF(P10="","",IF(T10&lt;=U10,3,IF(T10&lt;=V10,2,1)))</f>
        <v/>
      </c>
      <c r="X10" s="623"/>
    </row>
    <row r="11" spans="1:24" ht="15.6" x14ac:dyDescent="0.3">
      <c r="B11" s="676">
        <v>1</v>
      </c>
      <c r="C11" s="1089"/>
      <c r="D11" s="1076" t="s">
        <v>992</v>
      </c>
      <c r="E11" s="1092"/>
      <c r="F11" s="668" t="str">
        <f>IF(E11&lt;&gt;"","?","")</f>
        <v/>
      </c>
      <c r="G11" s="1070"/>
      <c r="H11" s="1070"/>
      <c r="I11" s="1071">
        <f t="shared" ref="I11" si="5">IF(OR(G11="Ja",G11="JA",G11="ja",G11="Oui",G11="OUI",G11="oui"),100%,
IF(OR(G11="Nein",G11="NEIN",G11="nein",G11="Oon",G11="NON",G11="non"),0%,
IF(G11&lt;&gt;0,
IF(H11&gt;=G11,G11/H11,
IF(H11&lt;G11,H11/G11)),
0%)))</f>
        <v>0</v>
      </c>
      <c r="J11" s="1072">
        <v>0.7</v>
      </c>
      <c r="K11" s="1074">
        <v>0.9</v>
      </c>
      <c r="L11" s="1081" t="str">
        <f t="shared" si="0"/>
        <v/>
      </c>
      <c r="M11" s="669" t="s">
        <v>452</v>
      </c>
      <c r="N11" s="670"/>
      <c r="O11" s="669" t="s">
        <v>506</v>
      </c>
      <c r="P11" s="670"/>
      <c r="Q11" s="670" t="str">
        <f t="shared" si="1"/>
        <v/>
      </c>
      <c r="R11" s="678"/>
      <c r="S11" s="678"/>
      <c r="T11" s="672">
        <f t="shared" si="3"/>
        <v>0</v>
      </c>
      <c r="U11" s="673">
        <v>0.7</v>
      </c>
      <c r="V11" s="674">
        <v>0.9</v>
      </c>
      <c r="W11" s="675" t="str">
        <f t="shared" si="4"/>
        <v/>
      </c>
      <c r="X11" s="623"/>
    </row>
    <row r="12" spans="1:24" ht="15.6" x14ac:dyDescent="0.3">
      <c r="B12" s="676">
        <v>1</v>
      </c>
      <c r="C12" s="1089"/>
      <c r="D12" s="1076"/>
      <c r="E12" s="1084"/>
      <c r="F12" s="677"/>
      <c r="G12" s="1070"/>
      <c r="H12" s="1070"/>
      <c r="I12" s="1071"/>
      <c r="J12" s="1073"/>
      <c r="K12" s="1075"/>
      <c r="L12" s="1081"/>
      <c r="M12" s="669" t="s">
        <v>453</v>
      </c>
      <c r="N12" s="670"/>
      <c r="O12" s="669" t="s">
        <v>508</v>
      </c>
      <c r="P12" s="670"/>
      <c r="Q12" s="670" t="str">
        <f t="shared" si="1"/>
        <v/>
      </c>
      <c r="R12" s="678"/>
      <c r="S12" s="678"/>
      <c r="T12" s="672">
        <f t="shared" si="3"/>
        <v>0</v>
      </c>
      <c r="U12" s="673">
        <v>0.7</v>
      </c>
      <c r="V12" s="674">
        <v>0.9</v>
      </c>
      <c r="W12" s="675" t="str">
        <f t="shared" si="4"/>
        <v/>
      </c>
      <c r="X12" s="623"/>
    </row>
    <row r="13" spans="1:24" ht="15.6" x14ac:dyDescent="0.3">
      <c r="B13" s="676">
        <v>1</v>
      </c>
      <c r="C13" s="1089"/>
      <c r="D13" s="1076" t="s">
        <v>992</v>
      </c>
      <c r="E13" s="1084"/>
      <c r="F13" s="668" t="str">
        <f>IF(E13&lt;&gt;"","?","")</f>
        <v/>
      </c>
      <c r="G13" s="1070"/>
      <c r="H13" s="1070"/>
      <c r="I13" s="1071">
        <f t="shared" ref="I13" si="6">IF(OR(G13="Ja",G13="JA",G13="ja",G13="Oui",G13="OUI",G13="oui"),100%,
IF(OR(G13="Nein",G13="NEIN",G13="nein",G13="Oon",G13="NON",G13="non"),0%,
IF(G13&lt;&gt;0,
IF(H13&gt;=G13,G13/H13,
IF(H13&lt;G13,H13/G13)),
0%)))</f>
        <v>0</v>
      </c>
      <c r="J13" s="1072">
        <v>0.7</v>
      </c>
      <c r="K13" s="1074">
        <v>0.9</v>
      </c>
      <c r="L13" s="1081" t="str">
        <f t="shared" si="0"/>
        <v/>
      </c>
      <c r="M13" s="669" t="s">
        <v>454</v>
      </c>
      <c r="N13" s="670"/>
      <c r="O13" s="669" t="s">
        <v>510</v>
      </c>
      <c r="P13" s="670"/>
      <c r="Q13" s="670" t="str">
        <f t="shared" si="1"/>
        <v/>
      </c>
      <c r="R13" s="678"/>
      <c r="S13" s="678"/>
      <c r="T13" s="672">
        <f t="shared" si="3"/>
        <v>0</v>
      </c>
      <c r="U13" s="673">
        <v>0.7</v>
      </c>
      <c r="V13" s="674">
        <v>0.9</v>
      </c>
      <c r="W13" s="675" t="str">
        <f t="shared" si="4"/>
        <v/>
      </c>
      <c r="X13" s="623"/>
    </row>
    <row r="14" spans="1:24" ht="15.6" x14ac:dyDescent="0.3">
      <c r="B14" s="676">
        <v>1</v>
      </c>
      <c r="C14" s="1089"/>
      <c r="D14" s="1076"/>
      <c r="E14" s="1084"/>
      <c r="F14" s="679"/>
      <c r="G14" s="1070"/>
      <c r="H14" s="1070"/>
      <c r="I14" s="1082"/>
      <c r="J14" s="1073"/>
      <c r="K14" s="1075"/>
      <c r="L14" s="1081"/>
      <c r="M14" s="669" t="s">
        <v>455</v>
      </c>
      <c r="N14" s="670"/>
      <c r="O14" s="669" t="s">
        <v>512</v>
      </c>
      <c r="P14" s="670"/>
      <c r="Q14" s="670" t="str">
        <f t="shared" si="1"/>
        <v/>
      </c>
      <c r="R14" s="678"/>
      <c r="S14" s="678"/>
      <c r="T14" s="672">
        <f t="shared" si="3"/>
        <v>0</v>
      </c>
      <c r="U14" s="673">
        <v>0.7</v>
      </c>
      <c r="V14" s="674">
        <v>0.9</v>
      </c>
      <c r="W14" s="675" t="str">
        <f t="shared" si="4"/>
        <v/>
      </c>
      <c r="X14" s="623"/>
    </row>
    <row r="15" spans="1:24" ht="15.6" x14ac:dyDescent="0.3">
      <c r="B15" s="667">
        <v>2</v>
      </c>
      <c r="C15" s="1083" t="s">
        <v>770</v>
      </c>
      <c r="D15" s="1076" t="s">
        <v>992</v>
      </c>
      <c r="E15" s="1084"/>
      <c r="F15" s="680" t="str">
        <f>IF(E15&lt;&gt;"","?","")</f>
        <v/>
      </c>
      <c r="G15" s="1085"/>
      <c r="H15" s="1087"/>
      <c r="I15" s="1088">
        <f>IF(OR(G15="Ja",G15="JA",G15="ja",G15="Oui",G15="OUI",G15="oui"),100%,
IF(OR(G15="Nein",G15="NEIN",G15="nein",G15="Oon",G15="NON",G15="non"),0%,
IF(G15&lt;&gt;0,
IF(H15&gt;=G15,G15/H15,
IF(H15&lt;G15,H15/G15)),
0%)))</f>
        <v>0</v>
      </c>
      <c r="J15" s="1093">
        <v>0.7</v>
      </c>
      <c r="K15" s="1095">
        <v>0.9</v>
      </c>
      <c r="L15" s="1097" t="str">
        <f t="shared" ref="L15:L21" si="7">IF(E15="","",IF(I15&lt;=J15,3,IF(I15&lt;=K15,2,1)))</f>
        <v/>
      </c>
      <c r="M15" s="669" t="s">
        <v>456</v>
      </c>
      <c r="N15" s="681"/>
      <c r="O15" s="669" t="s">
        <v>514</v>
      </c>
      <c r="P15" s="681"/>
      <c r="Q15" s="681" t="str">
        <f t="shared" ref="Q15:Q22" si="8">IF(P15&lt;&gt;"","?","")</f>
        <v/>
      </c>
      <c r="R15" s="682"/>
      <c r="S15" s="682"/>
      <c r="T15" s="683">
        <f>IF(OR(R15="Ja",R15="JA",R15="ja",R15="Oui",R15="OUI",R15="oui"),100%,
IF(OR(R15="Nein",R15="NEIN",R15="nein",R15="Oon",R15="NON",R15="non"),0%,
IF(R15&lt;&gt;0,
IF(S15&gt;=R15,R15/S15,
IF(S15&lt;R15,S15/R15)),
0%)))</f>
        <v>0</v>
      </c>
      <c r="U15" s="684">
        <v>0.7</v>
      </c>
      <c r="V15" s="685">
        <v>0.9</v>
      </c>
      <c r="W15" s="686" t="str">
        <f t="shared" ref="W15:W16" si="9">IF(P15="","",IF(T15&lt;=U15,3,IF(T15&lt;=V15,2,1)))</f>
        <v/>
      </c>
      <c r="X15" s="623"/>
    </row>
    <row r="16" spans="1:24" ht="15.6" x14ac:dyDescent="0.3">
      <c r="B16" s="676">
        <v>2</v>
      </c>
      <c r="C16" s="1083"/>
      <c r="D16" s="1076"/>
      <c r="E16" s="1084"/>
      <c r="F16" s="687"/>
      <c r="G16" s="1086"/>
      <c r="H16" s="1087"/>
      <c r="I16" s="1088"/>
      <c r="J16" s="1094"/>
      <c r="K16" s="1096"/>
      <c r="L16" s="1097"/>
      <c r="M16" s="669" t="s">
        <v>457</v>
      </c>
      <c r="N16" s="681"/>
      <c r="O16" s="669" t="s">
        <v>516</v>
      </c>
      <c r="P16" s="681"/>
      <c r="Q16" s="681" t="str">
        <f t="shared" si="8"/>
        <v/>
      </c>
      <c r="R16" s="682"/>
      <c r="S16" s="682"/>
      <c r="T16" s="683">
        <f t="shared" ref="T16:T22" si="10">IF(OR(R16="Ja",R16="JA",R16="ja",R16="Oui",R16="OUI",R16="oui"),100%,
IF(OR(R16="Nein",R16="NEIN",R16="nein",R16="Oon",R16="NON",R16="non"),0%,
IF(R16&lt;&gt;0,
IF(S16&gt;=R16,R16/S16,
IF(S16&lt;R16,S16/R16)),
0%)))</f>
        <v>0</v>
      </c>
      <c r="U16" s="684">
        <v>0.7</v>
      </c>
      <c r="V16" s="685">
        <v>0.9</v>
      </c>
      <c r="W16" s="686" t="str">
        <f t="shared" si="9"/>
        <v/>
      </c>
      <c r="X16" s="623"/>
    </row>
    <row r="17" spans="2:24" ht="15.6" x14ac:dyDescent="0.3">
      <c r="B17" s="676">
        <v>2</v>
      </c>
      <c r="C17" s="1083"/>
      <c r="D17" s="1076" t="s">
        <v>992</v>
      </c>
      <c r="E17" s="1091"/>
      <c r="F17" s="680" t="str">
        <f>IF(E17&lt;&gt;"","?","")</f>
        <v/>
      </c>
      <c r="G17" s="1087"/>
      <c r="H17" s="1087"/>
      <c r="I17" s="1088">
        <f>IF(OR(G17="Ja",G17="JA",G17="ja",G17="Oui",G17="OUI",G17="oui"),100%,
IF(OR(G17="Nein",G17="NEIN",G17="nein",G17="Oon",G17="NON",G17="non"),0%,
IF(G17&lt;&gt;0,
IF(H17&gt;=G17,G17/H17,
IF(H17&lt;G17,H17/G17)),
0%)))</f>
        <v>0</v>
      </c>
      <c r="J17" s="1093">
        <v>0.7</v>
      </c>
      <c r="K17" s="1095">
        <v>0.9</v>
      </c>
      <c r="L17" s="1097" t="str">
        <f t="shared" si="7"/>
        <v/>
      </c>
      <c r="M17" s="669" t="s">
        <v>458</v>
      </c>
      <c r="N17" s="681"/>
      <c r="O17" s="669" t="s">
        <v>518</v>
      </c>
      <c r="P17" s="681"/>
      <c r="Q17" s="681" t="str">
        <f t="shared" si="8"/>
        <v/>
      </c>
      <c r="R17" s="682"/>
      <c r="S17" s="682"/>
      <c r="T17" s="683">
        <f t="shared" si="10"/>
        <v>0</v>
      </c>
      <c r="U17" s="684">
        <v>0.7</v>
      </c>
      <c r="V17" s="685">
        <v>0.9</v>
      </c>
      <c r="W17" s="686" t="str">
        <f>IF(P17="","",IF(T17&lt;=U17,3,IF(T17&lt;=V17,2,1)))</f>
        <v/>
      </c>
      <c r="X17" s="623"/>
    </row>
    <row r="18" spans="2:24" ht="15.6" x14ac:dyDescent="0.3">
      <c r="B18" s="676">
        <v>2</v>
      </c>
      <c r="C18" s="1083"/>
      <c r="D18" s="1076"/>
      <c r="E18" s="1091"/>
      <c r="F18" s="687"/>
      <c r="G18" s="1087"/>
      <c r="H18" s="1087"/>
      <c r="I18" s="1088"/>
      <c r="J18" s="1094"/>
      <c r="K18" s="1096"/>
      <c r="L18" s="1097"/>
      <c r="M18" s="669" t="s">
        <v>459</v>
      </c>
      <c r="N18" s="681"/>
      <c r="O18" s="669" t="s">
        <v>520</v>
      </c>
      <c r="P18" s="681"/>
      <c r="Q18" s="681" t="str">
        <f t="shared" si="8"/>
        <v/>
      </c>
      <c r="R18" s="682"/>
      <c r="S18" s="682"/>
      <c r="T18" s="683">
        <f t="shared" si="10"/>
        <v>0</v>
      </c>
      <c r="U18" s="684">
        <v>0.7</v>
      </c>
      <c r="V18" s="685">
        <v>0.9</v>
      </c>
      <c r="W18" s="686" t="str">
        <f t="shared" ref="W18:W22" si="11">IF(P18="","",IF(T18&lt;=U18,3,IF(T18&lt;=V18,2,1)))</f>
        <v/>
      </c>
      <c r="X18" s="623"/>
    </row>
    <row r="19" spans="2:24" ht="15.6" x14ac:dyDescent="0.3">
      <c r="B19" s="676">
        <v>2</v>
      </c>
      <c r="C19" s="1083"/>
      <c r="D19" s="1076" t="s">
        <v>992</v>
      </c>
      <c r="E19" s="1090"/>
      <c r="F19" s="680" t="str">
        <f>IF(E19&lt;&gt;"","?","")</f>
        <v/>
      </c>
      <c r="G19" s="1087"/>
      <c r="H19" s="1087"/>
      <c r="I19" s="1088">
        <f t="shared" ref="I19" si="12">IF(OR(G19="Ja",G19="JA",G19="ja",G19="Oui",G19="OUI",G19="oui"),100%,
IF(OR(G19="Nein",G19="NEIN",G19="nein",G19="Oon",G19="NON",G19="non"),0%,
IF(G19&lt;&gt;0,
IF(H19&gt;=G19,G19/H19,
IF(H19&lt;G19,H19/G19)),
0%)))</f>
        <v>0</v>
      </c>
      <c r="J19" s="1093">
        <v>0.7</v>
      </c>
      <c r="K19" s="1095">
        <v>0.9</v>
      </c>
      <c r="L19" s="1097" t="str">
        <f t="shared" si="7"/>
        <v/>
      </c>
      <c r="M19" s="669" t="s">
        <v>460</v>
      </c>
      <c r="N19" s="681"/>
      <c r="O19" s="669" t="s">
        <v>522</v>
      </c>
      <c r="P19" s="681"/>
      <c r="Q19" s="681" t="str">
        <f t="shared" si="8"/>
        <v/>
      </c>
      <c r="R19" s="682"/>
      <c r="S19" s="682"/>
      <c r="T19" s="683">
        <f t="shared" si="10"/>
        <v>0</v>
      </c>
      <c r="U19" s="684">
        <v>0.7</v>
      </c>
      <c r="V19" s="685">
        <v>0.9</v>
      </c>
      <c r="W19" s="686" t="str">
        <f t="shared" si="11"/>
        <v/>
      </c>
      <c r="X19" s="623"/>
    </row>
    <row r="20" spans="2:24" ht="15.6" x14ac:dyDescent="0.3">
      <c r="B20" s="676">
        <v>2</v>
      </c>
      <c r="C20" s="1083"/>
      <c r="D20" s="1076"/>
      <c r="E20" s="1091"/>
      <c r="F20" s="687"/>
      <c r="G20" s="1087"/>
      <c r="H20" s="1087"/>
      <c r="I20" s="1088"/>
      <c r="J20" s="1094"/>
      <c r="K20" s="1096"/>
      <c r="L20" s="1097"/>
      <c r="M20" s="669" t="s">
        <v>461</v>
      </c>
      <c r="N20" s="681"/>
      <c r="O20" s="669" t="s">
        <v>524</v>
      </c>
      <c r="P20" s="681"/>
      <c r="Q20" s="681" t="str">
        <f t="shared" si="8"/>
        <v/>
      </c>
      <c r="R20" s="682"/>
      <c r="S20" s="682"/>
      <c r="T20" s="683">
        <f t="shared" si="10"/>
        <v>0</v>
      </c>
      <c r="U20" s="684">
        <v>0.7</v>
      </c>
      <c r="V20" s="685">
        <v>0.9</v>
      </c>
      <c r="W20" s="686" t="str">
        <f t="shared" si="11"/>
        <v/>
      </c>
      <c r="X20" s="623"/>
    </row>
    <row r="21" spans="2:24" ht="15.6" x14ac:dyDescent="0.3">
      <c r="B21" s="676">
        <v>2</v>
      </c>
      <c r="C21" s="1083"/>
      <c r="D21" s="1076" t="s">
        <v>992</v>
      </c>
      <c r="E21" s="1091"/>
      <c r="F21" s="680" t="str">
        <f>IF(E21&lt;&gt;"","?","")</f>
        <v/>
      </c>
      <c r="G21" s="1087"/>
      <c r="H21" s="1087"/>
      <c r="I21" s="1088">
        <f t="shared" ref="I21" si="13">IF(OR(G21="Ja",G21="JA",G21="ja",G21="Oui",G21="OUI",G21="oui"),100%,
IF(OR(G21="Nein",G21="NEIN",G21="nein",G21="Oon",G21="NON",G21="non"),0%,
IF(G21&lt;&gt;0,
IF(H21&gt;=G21,G21/H21,
IF(H21&lt;G21,H21/G21)),
0%)))</f>
        <v>0</v>
      </c>
      <c r="J21" s="1093">
        <v>0.7</v>
      </c>
      <c r="K21" s="1095">
        <v>0.9</v>
      </c>
      <c r="L21" s="1097" t="str">
        <f t="shared" si="7"/>
        <v/>
      </c>
      <c r="M21" s="669" t="s">
        <v>462</v>
      </c>
      <c r="N21" s="681"/>
      <c r="O21" s="669" t="s">
        <v>526</v>
      </c>
      <c r="P21" s="681"/>
      <c r="Q21" s="681" t="str">
        <f t="shared" si="8"/>
        <v/>
      </c>
      <c r="R21" s="682"/>
      <c r="S21" s="682"/>
      <c r="T21" s="683">
        <f t="shared" si="10"/>
        <v>0</v>
      </c>
      <c r="U21" s="684">
        <v>0.7</v>
      </c>
      <c r="V21" s="685">
        <v>0.9</v>
      </c>
      <c r="W21" s="686" t="str">
        <f t="shared" si="11"/>
        <v/>
      </c>
      <c r="X21" s="623"/>
    </row>
    <row r="22" spans="2:24" ht="15.6" x14ac:dyDescent="0.3">
      <c r="B22" s="676">
        <v>2</v>
      </c>
      <c r="C22" s="1083"/>
      <c r="D22" s="1076"/>
      <c r="E22" s="1091"/>
      <c r="F22" s="688"/>
      <c r="G22" s="1087"/>
      <c r="H22" s="1087"/>
      <c r="I22" s="1099"/>
      <c r="J22" s="1094"/>
      <c r="K22" s="1096"/>
      <c r="L22" s="1097"/>
      <c r="M22" s="669" t="s">
        <v>463</v>
      </c>
      <c r="N22" s="681"/>
      <c r="O22" s="669" t="s">
        <v>528</v>
      </c>
      <c r="P22" s="681"/>
      <c r="Q22" s="681" t="str">
        <f t="shared" si="8"/>
        <v/>
      </c>
      <c r="R22" s="682"/>
      <c r="S22" s="682"/>
      <c r="T22" s="683">
        <f t="shared" si="10"/>
        <v>0</v>
      </c>
      <c r="U22" s="684">
        <v>0.7</v>
      </c>
      <c r="V22" s="685">
        <v>0.9</v>
      </c>
      <c r="W22" s="686" t="str">
        <f t="shared" si="11"/>
        <v/>
      </c>
      <c r="X22" s="623"/>
    </row>
    <row r="23" spans="2:24" ht="15.6" x14ac:dyDescent="0.3">
      <c r="B23" s="667">
        <v>3</v>
      </c>
      <c r="C23" s="1098" t="s">
        <v>771</v>
      </c>
      <c r="D23" s="1076" t="s">
        <v>992</v>
      </c>
      <c r="E23" s="1077"/>
      <c r="F23" s="668" t="str">
        <f>IF(E23&lt;&gt;"","?","")</f>
        <v/>
      </c>
      <c r="G23" s="1079"/>
      <c r="H23" s="1070"/>
      <c r="I23" s="1071">
        <f>IF(OR(G23="Ja",G23="JA",G23="ja",G23="Oui",G23="OUI",G23="oui"),100%,
IF(OR(G23="Nein",G23="NEIN",G23="nein",G23="Oon",G23="NON",G23="non"),0%,
IF(G23&lt;&gt;0,
IF(H23&gt;=G23,G23/H23,
IF(H23&lt;G23,H23/G23)),
0%)))</f>
        <v>0</v>
      </c>
      <c r="J23" s="1072">
        <v>0.7</v>
      </c>
      <c r="K23" s="1074">
        <v>0.9</v>
      </c>
      <c r="L23" s="1081" t="str">
        <f t="shared" ref="L23:L29" si="14">IF(E23="","",IF(I23&lt;=J23,3,IF(I23&lt;=K23,2,1)))</f>
        <v/>
      </c>
      <c r="M23" s="669" t="s">
        <v>464</v>
      </c>
      <c r="N23" s="670"/>
      <c r="O23" s="669" t="s">
        <v>530</v>
      </c>
      <c r="P23" s="670"/>
      <c r="Q23" s="670" t="str">
        <f t="shared" ref="Q23:Q30" si="15">IF(P23&lt;&gt;"","?","")</f>
        <v/>
      </c>
      <c r="R23" s="678"/>
      <c r="S23" s="678"/>
      <c r="T23" s="672">
        <f>IF(OR(R23="Ja",R23="JA",R23="ja",R23="Oui",R23="OUI",R23="oui"),100%,
IF(OR(R23="Nein",R23="NEIN",R23="nein",R23="Oon",R23="NON",R23="non"),0%,
IF(R23&lt;&gt;0,
IF(S23&gt;=R23,R23/S23,
IF(S23&lt;R23,S23/R23)),
0%)))</f>
        <v>0</v>
      </c>
      <c r="U23" s="673">
        <v>0.7</v>
      </c>
      <c r="V23" s="674">
        <v>0.9</v>
      </c>
      <c r="W23" s="675" t="str">
        <f t="shared" ref="W23:W24" si="16">IF(P23="","",IF(T23&lt;=U23,3,IF(T23&lt;=V23,2,1)))</f>
        <v/>
      </c>
      <c r="X23" s="623"/>
    </row>
    <row r="24" spans="2:24" ht="15.6" x14ac:dyDescent="0.3">
      <c r="B24" s="676">
        <v>3</v>
      </c>
      <c r="C24" s="1098"/>
      <c r="D24" s="1076"/>
      <c r="E24" s="1078"/>
      <c r="F24" s="677"/>
      <c r="G24" s="1080"/>
      <c r="H24" s="1070"/>
      <c r="I24" s="1071"/>
      <c r="J24" s="1073"/>
      <c r="K24" s="1075"/>
      <c r="L24" s="1081"/>
      <c r="M24" s="669" t="s">
        <v>465</v>
      </c>
      <c r="N24" s="670"/>
      <c r="O24" s="669" t="s">
        <v>532</v>
      </c>
      <c r="P24" s="670"/>
      <c r="Q24" s="670" t="str">
        <f t="shared" si="15"/>
        <v/>
      </c>
      <c r="R24" s="678"/>
      <c r="S24" s="678"/>
      <c r="T24" s="672">
        <f t="shared" ref="T24:T30" si="17">IF(OR(R24="Ja",R24="JA",R24="ja",R24="Oui",R24="OUI",R24="oui"),100%,
IF(OR(R24="Nein",R24="NEIN",R24="nein",R24="Oon",R24="NON",R24="non"),0%,
IF(R24&lt;&gt;0,
IF(S24&gt;=R24,R24/S24,
IF(S24&lt;R24,S24/R24)),
0%)))</f>
        <v>0</v>
      </c>
      <c r="U24" s="673">
        <v>0.7</v>
      </c>
      <c r="V24" s="674">
        <v>0.9</v>
      </c>
      <c r="W24" s="675" t="str">
        <f t="shared" si="16"/>
        <v/>
      </c>
      <c r="X24" s="623"/>
    </row>
    <row r="25" spans="2:24" ht="15.6" x14ac:dyDescent="0.3">
      <c r="B25" s="676">
        <v>3</v>
      </c>
      <c r="C25" s="1098"/>
      <c r="D25" s="1076" t="s">
        <v>992</v>
      </c>
      <c r="E25" s="1084"/>
      <c r="F25" s="668" t="str">
        <f>IF(E25&lt;&gt;"","?","")</f>
        <v/>
      </c>
      <c r="G25" s="1070"/>
      <c r="H25" s="1070"/>
      <c r="I25" s="1071">
        <f>IF(OR(G25="Ja",G25="JA",G25="ja",G25="Oui",G25="OUI",G25="oui"),100%,
IF(OR(G25="Nein",G25="NEIN",G25="nein",G25="Oon",G25="NON",G25="non"),0%,
IF(G25&lt;&gt;0,
IF(H25&gt;=G25,G25/H25,
IF(H25&lt;G25,H25/G25)),
0%)))</f>
        <v>0</v>
      </c>
      <c r="J25" s="1072">
        <v>0.7</v>
      </c>
      <c r="K25" s="1074">
        <v>0.9</v>
      </c>
      <c r="L25" s="1081" t="str">
        <f t="shared" si="14"/>
        <v/>
      </c>
      <c r="M25" s="669" t="s">
        <v>790</v>
      </c>
      <c r="N25" s="670"/>
      <c r="O25" s="669" t="s">
        <v>772</v>
      </c>
      <c r="P25" s="670"/>
      <c r="Q25" s="670" t="str">
        <f t="shared" si="15"/>
        <v/>
      </c>
      <c r="R25" s="678"/>
      <c r="S25" s="678"/>
      <c r="T25" s="672">
        <f t="shared" si="17"/>
        <v>0</v>
      </c>
      <c r="U25" s="673">
        <v>0.7</v>
      </c>
      <c r="V25" s="674">
        <v>0.9</v>
      </c>
      <c r="W25" s="675" t="str">
        <f>IF(P25="","",IF(T25&lt;=U25,3,IF(T25&lt;=V25,2,1)))</f>
        <v/>
      </c>
      <c r="X25" s="623"/>
    </row>
    <row r="26" spans="2:24" ht="15.6" x14ac:dyDescent="0.3">
      <c r="B26" s="676">
        <v>3</v>
      </c>
      <c r="C26" s="1098"/>
      <c r="D26" s="1076"/>
      <c r="E26" s="1084"/>
      <c r="F26" s="677"/>
      <c r="G26" s="1070"/>
      <c r="H26" s="1070"/>
      <c r="I26" s="1071"/>
      <c r="J26" s="1073"/>
      <c r="K26" s="1075"/>
      <c r="L26" s="1081"/>
      <c r="M26" s="669" t="s">
        <v>793</v>
      </c>
      <c r="N26" s="670"/>
      <c r="O26" s="669" t="s">
        <v>773</v>
      </c>
      <c r="P26" s="670"/>
      <c r="Q26" s="670" t="str">
        <f t="shared" si="15"/>
        <v/>
      </c>
      <c r="R26" s="678"/>
      <c r="S26" s="678"/>
      <c r="T26" s="672">
        <f t="shared" si="17"/>
        <v>0</v>
      </c>
      <c r="U26" s="673">
        <v>0.7</v>
      </c>
      <c r="V26" s="674">
        <v>0.9</v>
      </c>
      <c r="W26" s="675" t="str">
        <f t="shared" ref="W26:W30" si="18">IF(P26="","",IF(T26&lt;=U26,3,IF(T26&lt;=V26,2,1)))</f>
        <v/>
      </c>
      <c r="X26" s="623"/>
    </row>
    <row r="27" spans="2:24" ht="15.6" x14ac:dyDescent="0.3">
      <c r="B27" s="676">
        <v>3</v>
      </c>
      <c r="C27" s="1098"/>
      <c r="D27" s="1076" t="s">
        <v>992</v>
      </c>
      <c r="E27" s="1092"/>
      <c r="F27" s="668" t="str">
        <f>IF(E27&lt;&gt;"","?","")</f>
        <v/>
      </c>
      <c r="G27" s="1070"/>
      <c r="H27" s="1070"/>
      <c r="I27" s="1071">
        <f t="shared" ref="I27" si="19">IF(OR(G27="Ja",G27="JA",G27="ja",G27="Oui",G27="OUI",G27="oui"),100%,
IF(OR(G27="Nein",G27="NEIN",G27="nein",G27="Oon",G27="NON",G27="non"),0%,
IF(G27&lt;&gt;0,
IF(H27&gt;=G27,G27/H27,
IF(H27&lt;G27,H27/G27)),
0%)))</f>
        <v>0</v>
      </c>
      <c r="J27" s="1072">
        <v>0.7</v>
      </c>
      <c r="K27" s="1074">
        <v>0.9</v>
      </c>
      <c r="L27" s="1081" t="str">
        <f t="shared" si="14"/>
        <v/>
      </c>
      <c r="M27" s="669" t="s">
        <v>796</v>
      </c>
      <c r="N27" s="670"/>
      <c r="O27" s="669" t="s">
        <v>774</v>
      </c>
      <c r="P27" s="670"/>
      <c r="Q27" s="670" t="str">
        <f t="shared" si="15"/>
        <v/>
      </c>
      <c r="R27" s="678"/>
      <c r="S27" s="678"/>
      <c r="T27" s="672">
        <f t="shared" si="17"/>
        <v>0</v>
      </c>
      <c r="U27" s="673">
        <v>0.7</v>
      </c>
      <c r="V27" s="674">
        <v>0.9</v>
      </c>
      <c r="W27" s="675" t="str">
        <f t="shared" si="18"/>
        <v/>
      </c>
      <c r="X27" s="623"/>
    </row>
    <row r="28" spans="2:24" ht="15.6" x14ac:dyDescent="0.3">
      <c r="B28" s="676">
        <v>3</v>
      </c>
      <c r="C28" s="1098"/>
      <c r="D28" s="1076"/>
      <c r="E28" s="1084"/>
      <c r="F28" s="677"/>
      <c r="G28" s="1070"/>
      <c r="H28" s="1070"/>
      <c r="I28" s="1071"/>
      <c r="J28" s="1073"/>
      <c r="K28" s="1075"/>
      <c r="L28" s="1081"/>
      <c r="M28" s="669" t="s">
        <v>799</v>
      </c>
      <c r="N28" s="670"/>
      <c r="O28" s="669" t="s">
        <v>775</v>
      </c>
      <c r="P28" s="670"/>
      <c r="Q28" s="670" t="str">
        <f t="shared" si="15"/>
        <v/>
      </c>
      <c r="R28" s="678"/>
      <c r="S28" s="678"/>
      <c r="T28" s="672">
        <f t="shared" si="17"/>
        <v>0</v>
      </c>
      <c r="U28" s="673">
        <v>0.7</v>
      </c>
      <c r="V28" s="674">
        <v>0.9</v>
      </c>
      <c r="W28" s="675" t="str">
        <f t="shared" si="18"/>
        <v/>
      </c>
      <c r="X28" s="623"/>
    </row>
    <row r="29" spans="2:24" ht="15.6" x14ac:dyDescent="0.3">
      <c r="B29" s="676">
        <v>3</v>
      </c>
      <c r="C29" s="1098"/>
      <c r="D29" s="1076" t="s">
        <v>992</v>
      </c>
      <c r="E29" s="1084"/>
      <c r="F29" s="668" t="str">
        <f>IF(E29&lt;&gt;"","?","")</f>
        <v/>
      </c>
      <c r="G29" s="1070"/>
      <c r="H29" s="1070"/>
      <c r="I29" s="1071">
        <f t="shared" ref="I29" si="20">IF(OR(G29="Ja",G29="JA",G29="ja",G29="Oui",G29="OUI",G29="oui"),100%,
IF(OR(G29="Nein",G29="NEIN",G29="nein",G29="Oon",G29="NON",G29="non"),0%,
IF(G29&lt;&gt;0,
IF(H29&gt;=G29,G29/H29,
IF(H29&lt;G29,H29/G29)),
0%)))</f>
        <v>0</v>
      </c>
      <c r="J29" s="1072">
        <v>0.7</v>
      </c>
      <c r="K29" s="1074">
        <v>0.9</v>
      </c>
      <c r="L29" s="1081" t="str">
        <f t="shared" si="14"/>
        <v/>
      </c>
      <c r="M29" s="669" t="s">
        <v>802</v>
      </c>
      <c r="N29" s="670"/>
      <c r="O29" s="669" t="s">
        <v>776</v>
      </c>
      <c r="P29" s="670"/>
      <c r="Q29" s="670" t="str">
        <f t="shared" si="15"/>
        <v/>
      </c>
      <c r="R29" s="678"/>
      <c r="S29" s="678"/>
      <c r="T29" s="672">
        <f t="shared" si="17"/>
        <v>0</v>
      </c>
      <c r="U29" s="673">
        <v>0.7</v>
      </c>
      <c r="V29" s="674">
        <v>0.9</v>
      </c>
      <c r="W29" s="675" t="str">
        <f t="shared" si="18"/>
        <v/>
      </c>
      <c r="X29" s="623"/>
    </row>
    <row r="30" spans="2:24" ht="15.6" x14ac:dyDescent="0.3">
      <c r="B30" s="676">
        <v>3</v>
      </c>
      <c r="C30" s="1098"/>
      <c r="D30" s="1076"/>
      <c r="E30" s="1084"/>
      <c r="F30" s="679"/>
      <c r="G30" s="1070"/>
      <c r="H30" s="1070"/>
      <c r="I30" s="1082"/>
      <c r="J30" s="1073"/>
      <c r="K30" s="1075"/>
      <c r="L30" s="1081"/>
      <c r="M30" s="669" t="s">
        <v>805</v>
      </c>
      <c r="N30" s="670"/>
      <c r="O30" s="669" t="s">
        <v>777</v>
      </c>
      <c r="P30" s="670"/>
      <c r="Q30" s="670" t="str">
        <f t="shared" si="15"/>
        <v/>
      </c>
      <c r="R30" s="678"/>
      <c r="S30" s="678"/>
      <c r="T30" s="672">
        <f t="shared" si="17"/>
        <v>0</v>
      </c>
      <c r="U30" s="673">
        <v>0.7</v>
      </c>
      <c r="V30" s="674">
        <v>0.9</v>
      </c>
      <c r="W30" s="675" t="str">
        <f t="shared" si="18"/>
        <v/>
      </c>
      <c r="X30" s="623"/>
    </row>
    <row r="31" spans="2:24" ht="15.6" x14ac:dyDescent="0.3">
      <c r="B31" s="667">
        <v>4</v>
      </c>
      <c r="C31" s="1083">
        <v>4</v>
      </c>
      <c r="D31" s="1076" t="s">
        <v>992</v>
      </c>
      <c r="E31" s="1100"/>
      <c r="F31" s="680" t="str">
        <f>IF(E31&lt;&gt;"","?","")</f>
        <v/>
      </c>
      <c r="G31" s="1085"/>
      <c r="H31" s="1087"/>
      <c r="I31" s="1088">
        <f>IF(OR(G31="Ja",G31="JA",G31="ja",G31="Oui",G31="OUI",G31="oui"),100%,
IF(OR(G31="Nein",G31="NEIN",G31="nein",G31="Oon",G31="NON",G31="non"),0%,
IF(G31&lt;&gt;0,
IF(H31&gt;=G31,G31/H31,
IF(H31&lt;G31,H31/G31)),
0%)))</f>
        <v>0</v>
      </c>
      <c r="J31" s="1093">
        <v>0.7</v>
      </c>
      <c r="K31" s="1095">
        <v>0.9</v>
      </c>
      <c r="L31" s="1097" t="str">
        <f>IF(E31="","",IF(I31&lt;=J31,3,IF(I31&lt;=K31,2,1)))</f>
        <v/>
      </c>
      <c r="M31" s="669" t="s">
        <v>808</v>
      </c>
      <c r="N31" s="681"/>
      <c r="O31" s="669" t="s">
        <v>778</v>
      </c>
      <c r="P31" s="681"/>
      <c r="Q31" s="681" t="str">
        <f t="shared" ref="Q31:Q38" si="21">IF(P31&lt;&gt;"","?","")</f>
        <v/>
      </c>
      <c r="R31" s="682"/>
      <c r="S31" s="682"/>
      <c r="T31" s="683">
        <f>IF(OR(R31="Ja",R31="JA",R31="ja",R31="Oui",R31="OUI",R31="oui"),100%,
IF(OR(R31="Nein",R31="NEIN",R31="nein",R31="Oon",R31="NON",R31="non"),0%,
IF(R31&lt;&gt;0,
IF(S31&gt;=R31,R31/S31,
IF(S31&lt;R31,S31/R31)),
0%)))</f>
        <v>0</v>
      </c>
      <c r="U31" s="684">
        <v>0.7</v>
      </c>
      <c r="V31" s="685">
        <v>0.9</v>
      </c>
      <c r="W31" s="686" t="str">
        <f t="shared" ref="W31:W32" si="22">IF(P31="","",IF(T31&lt;=U31,3,IF(T31&lt;=V31,2,1)))</f>
        <v/>
      </c>
      <c r="X31" s="623"/>
    </row>
    <row r="32" spans="2:24" ht="15.6" x14ac:dyDescent="0.3">
      <c r="B32" s="676">
        <v>4</v>
      </c>
      <c r="C32" s="1083"/>
      <c r="D32" s="1076"/>
      <c r="E32" s="1101"/>
      <c r="F32" s="687"/>
      <c r="G32" s="1086"/>
      <c r="H32" s="1087"/>
      <c r="I32" s="1088"/>
      <c r="J32" s="1094"/>
      <c r="K32" s="1096"/>
      <c r="L32" s="1097"/>
      <c r="M32" s="669" t="s">
        <v>811</v>
      </c>
      <c r="N32" s="681"/>
      <c r="O32" s="669" t="s">
        <v>779</v>
      </c>
      <c r="P32" s="681"/>
      <c r="Q32" s="681" t="str">
        <f t="shared" si="21"/>
        <v/>
      </c>
      <c r="R32" s="682"/>
      <c r="S32" s="682"/>
      <c r="T32" s="683">
        <f t="shared" ref="T32:T38" si="23">IF(OR(R32="Ja",R32="JA",R32="ja",R32="Oui",R32="OUI",R32="oui"),100%,
IF(OR(R32="Nein",R32="NEIN",R32="nein",R32="Oon",R32="NON",R32="non"),0%,
IF(R32&lt;&gt;0,
IF(S32&gt;=R32,R32/S32,
IF(S32&lt;R32,S32/R32)),
0%)))</f>
        <v>0</v>
      </c>
      <c r="U32" s="684">
        <v>0.7</v>
      </c>
      <c r="V32" s="685">
        <v>0.9</v>
      </c>
      <c r="W32" s="686" t="str">
        <f t="shared" si="22"/>
        <v/>
      </c>
      <c r="X32" s="623"/>
    </row>
    <row r="33" spans="2:24" ht="15.6" x14ac:dyDescent="0.3">
      <c r="B33" s="676">
        <v>4</v>
      </c>
      <c r="C33" s="1083"/>
      <c r="D33" s="1076" t="s">
        <v>992</v>
      </c>
      <c r="E33" s="1091"/>
      <c r="F33" s="680" t="str">
        <f>IF(E33&lt;&gt;"","?","")</f>
        <v/>
      </c>
      <c r="G33" s="1087"/>
      <c r="H33" s="1087"/>
      <c r="I33" s="1088">
        <f>IF(OR(G33="Ja",G33="JA",G33="ja",G33="Oui",G33="OUI",G33="oui"),100%,
IF(OR(G33="Nein",G33="NEIN",G33="nein",G33="Oon",G33="NON",G33="non"),0%,
IF(G33&lt;&gt;0,
IF(H33&gt;=G33,G33/H33,
IF(H33&lt;G33,H33/G33)),
0%)))</f>
        <v>0</v>
      </c>
      <c r="J33" s="1093">
        <v>0.7</v>
      </c>
      <c r="K33" s="1095">
        <v>0.9</v>
      </c>
      <c r="L33" s="1097" t="str">
        <f>IF(E33="","",IF(I33&lt;=J33,3,IF(I33&lt;=K33,2,1)))</f>
        <v/>
      </c>
      <c r="M33" s="669" t="s">
        <v>814</v>
      </c>
      <c r="N33" s="681"/>
      <c r="O33" s="669" t="s">
        <v>780</v>
      </c>
      <c r="P33" s="681"/>
      <c r="Q33" s="681" t="str">
        <f t="shared" si="21"/>
        <v/>
      </c>
      <c r="R33" s="682"/>
      <c r="S33" s="682"/>
      <c r="T33" s="683">
        <f t="shared" si="23"/>
        <v>0</v>
      </c>
      <c r="U33" s="684">
        <v>0.7</v>
      </c>
      <c r="V33" s="685">
        <v>0.9</v>
      </c>
      <c r="W33" s="686" t="str">
        <f>IF(P33="","",IF(T33&lt;=U33,3,IF(T33&lt;=V33,2,1)))</f>
        <v/>
      </c>
      <c r="X33" s="623"/>
    </row>
    <row r="34" spans="2:24" ht="15.6" x14ac:dyDescent="0.3">
      <c r="B34" s="676">
        <v>4</v>
      </c>
      <c r="C34" s="1083"/>
      <c r="D34" s="1076"/>
      <c r="E34" s="1091"/>
      <c r="F34" s="687"/>
      <c r="G34" s="1087"/>
      <c r="H34" s="1087"/>
      <c r="I34" s="1088"/>
      <c r="J34" s="1094"/>
      <c r="K34" s="1096"/>
      <c r="L34" s="1097"/>
      <c r="M34" s="669" t="s">
        <v>817</v>
      </c>
      <c r="N34" s="681"/>
      <c r="O34" s="669" t="s">
        <v>781</v>
      </c>
      <c r="P34" s="681"/>
      <c r="Q34" s="681" t="str">
        <f t="shared" si="21"/>
        <v/>
      </c>
      <c r="R34" s="682"/>
      <c r="S34" s="682"/>
      <c r="T34" s="683">
        <f t="shared" si="23"/>
        <v>0</v>
      </c>
      <c r="U34" s="684">
        <v>0.7</v>
      </c>
      <c r="V34" s="685">
        <v>0.9</v>
      </c>
      <c r="W34" s="686" t="str">
        <f t="shared" ref="W34:W38" si="24">IF(P34="","",IF(T34&lt;=U34,3,IF(T34&lt;=V34,2,1)))</f>
        <v/>
      </c>
      <c r="X34" s="623"/>
    </row>
    <row r="35" spans="2:24" ht="15.6" x14ac:dyDescent="0.3">
      <c r="B35" s="676">
        <v>4</v>
      </c>
      <c r="C35" s="1083"/>
      <c r="D35" s="1076" t="s">
        <v>992</v>
      </c>
      <c r="E35" s="1090"/>
      <c r="F35" s="680" t="str">
        <f>IF(E35&lt;&gt;"","?","")</f>
        <v/>
      </c>
      <c r="G35" s="1087"/>
      <c r="H35" s="1087"/>
      <c r="I35" s="1088">
        <f t="shared" ref="I35" si="25">IF(OR(G35="Ja",G35="JA",G35="ja",G35="Oui",G35="OUI",G35="oui"),100%,
IF(OR(G35="Nein",G35="NEIN",G35="nein",G35="Oon",G35="NON",G35="non"),0%,
IF(G35&lt;&gt;0,
IF(H35&gt;=G35,G35/H35,
IF(H35&lt;G35,H35/G35)),
0%)))</f>
        <v>0</v>
      </c>
      <c r="J35" s="1093">
        <v>0.7</v>
      </c>
      <c r="K35" s="1095">
        <v>0.9</v>
      </c>
      <c r="L35" s="1097" t="str">
        <f>IF(E35="","",IF(I35&lt;=J35,3,IF(I35&lt;=K35,2,1)))</f>
        <v/>
      </c>
      <c r="M35" s="669" t="s">
        <v>820</v>
      </c>
      <c r="N35" s="681"/>
      <c r="O35" s="669" t="s">
        <v>782</v>
      </c>
      <c r="P35" s="681"/>
      <c r="Q35" s="681" t="str">
        <f t="shared" si="21"/>
        <v/>
      </c>
      <c r="R35" s="682"/>
      <c r="S35" s="682"/>
      <c r="T35" s="683">
        <f t="shared" si="23"/>
        <v>0</v>
      </c>
      <c r="U35" s="684">
        <v>0.7</v>
      </c>
      <c r="V35" s="685">
        <v>0.9</v>
      </c>
      <c r="W35" s="686" t="str">
        <f t="shared" si="24"/>
        <v/>
      </c>
      <c r="X35" s="623"/>
    </row>
    <row r="36" spans="2:24" ht="15.6" x14ac:dyDescent="0.3">
      <c r="B36" s="676">
        <v>4</v>
      </c>
      <c r="C36" s="1083"/>
      <c r="D36" s="1076"/>
      <c r="E36" s="1091"/>
      <c r="F36" s="687"/>
      <c r="G36" s="1087"/>
      <c r="H36" s="1087"/>
      <c r="I36" s="1088"/>
      <c r="J36" s="1094"/>
      <c r="K36" s="1096"/>
      <c r="L36" s="1097"/>
      <c r="M36" s="669" t="s">
        <v>823</v>
      </c>
      <c r="N36" s="681"/>
      <c r="O36" s="669" t="s">
        <v>783</v>
      </c>
      <c r="P36" s="681"/>
      <c r="Q36" s="681" t="str">
        <f t="shared" si="21"/>
        <v/>
      </c>
      <c r="R36" s="682"/>
      <c r="S36" s="682"/>
      <c r="T36" s="683">
        <f t="shared" si="23"/>
        <v>0</v>
      </c>
      <c r="U36" s="684">
        <v>0.7</v>
      </c>
      <c r="V36" s="685">
        <v>0.9</v>
      </c>
      <c r="W36" s="686" t="str">
        <f t="shared" si="24"/>
        <v/>
      </c>
      <c r="X36" s="623"/>
    </row>
    <row r="37" spans="2:24" ht="15.6" x14ac:dyDescent="0.3">
      <c r="B37" s="676">
        <v>4</v>
      </c>
      <c r="C37" s="1083"/>
      <c r="D37" s="1076" t="s">
        <v>992</v>
      </c>
      <c r="E37" s="1091"/>
      <c r="F37" s="680" t="str">
        <f>IF(E37&lt;&gt;"","?","")</f>
        <v/>
      </c>
      <c r="G37" s="1087"/>
      <c r="H37" s="1087"/>
      <c r="I37" s="1088">
        <f t="shared" ref="I37" si="26">IF(OR(G37="Ja",G37="JA",G37="ja",G37="Oui",G37="OUI",G37="oui"),100%,
IF(OR(G37="Nein",G37="NEIN",G37="nein",G37="Oon",G37="NON",G37="non"),0%,
IF(G37&lt;&gt;0,
IF(H37&gt;=G37,G37/H37,
IF(H37&lt;G37,H37/G37)),
0%)))</f>
        <v>0</v>
      </c>
      <c r="J37" s="1093">
        <v>0.7</v>
      </c>
      <c r="K37" s="1095">
        <v>0.9</v>
      </c>
      <c r="L37" s="1097" t="str">
        <f>IF(E37="","",IF(I37&lt;=J37,3,IF(I37&lt;=K37,2,1)))</f>
        <v/>
      </c>
      <c r="M37" s="669" t="s">
        <v>826</v>
      </c>
      <c r="N37" s="681"/>
      <c r="O37" s="669" t="s">
        <v>784</v>
      </c>
      <c r="P37" s="681"/>
      <c r="Q37" s="681" t="str">
        <f t="shared" si="21"/>
        <v/>
      </c>
      <c r="R37" s="682"/>
      <c r="S37" s="682"/>
      <c r="T37" s="683">
        <f t="shared" si="23"/>
        <v>0</v>
      </c>
      <c r="U37" s="684">
        <v>0.7</v>
      </c>
      <c r="V37" s="685">
        <v>0.9</v>
      </c>
      <c r="W37" s="686" t="str">
        <f t="shared" si="24"/>
        <v/>
      </c>
      <c r="X37" s="623"/>
    </row>
    <row r="38" spans="2:24" ht="15.6" x14ac:dyDescent="0.3">
      <c r="B38" s="676">
        <v>4</v>
      </c>
      <c r="C38" s="1083"/>
      <c r="D38" s="1076"/>
      <c r="E38" s="1091"/>
      <c r="F38" s="688"/>
      <c r="G38" s="1087"/>
      <c r="H38" s="1087"/>
      <c r="I38" s="1099"/>
      <c r="J38" s="1094"/>
      <c r="K38" s="1096"/>
      <c r="L38" s="1097"/>
      <c r="M38" s="669" t="s">
        <v>829</v>
      </c>
      <c r="N38" s="681"/>
      <c r="O38" s="669" t="s">
        <v>785</v>
      </c>
      <c r="P38" s="681"/>
      <c r="Q38" s="681" t="str">
        <f t="shared" si="21"/>
        <v/>
      </c>
      <c r="R38" s="682"/>
      <c r="S38" s="682"/>
      <c r="T38" s="683">
        <f t="shared" si="23"/>
        <v>0</v>
      </c>
      <c r="U38" s="684">
        <v>0.7</v>
      </c>
      <c r="V38" s="685">
        <v>0.9</v>
      </c>
      <c r="W38" s="686" t="str">
        <f t="shared" si="24"/>
        <v/>
      </c>
      <c r="X38" s="623"/>
    </row>
    <row r="39" spans="2:24" ht="15.6" x14ac:dyDescent="0.3">
      <c r="B39" s="667">
        <v>5</v>
      </c>
      <c r="C39" s="1098">
        <v>5</v>
      </c>
      <c r="D39" s="1076" t="s">
        <v>992</v>
      </c>
      <c r="E39" s="1077"/>
      <c r="F39" s="668" t="str">
        <f>IF(E39&lt;&gt;"","?","")</f>
        <v/>
      </c>
      <c r="G39" s="1079"/>
      <c r="H39" s="1070"/>
      <c r="I39" s="1071">
        <f>IF(OR(G39="Ja",G39="JA",G39="ja",G39="Oui",G39="OUI",G39="oui"),100%,
IF(OR(G39="Nein",G39="NEIN",G39="nein",G39="Oon",G39="NON",G39="non"),0%,
IF(G39&lt;&gt;0,
IF(H39&gt;=G39,G39/H39,
IF(H39&lt;G39,H39/G39)),
0%)))</f>
        <v>0</v>
      </c>
      <c r="J39" s="1072">
        <v>0.7</v>
      </c>
      <c r="K39" s="1074">
        <v>0.9</v>
      </c>
      <c r="L39" s="1081" t="str">
        <f>IF(E39="","",IF(I39&lt;=J39,3,IF(I39&lt;=K39,2,1)))</f>
        <v/>
      </c>
      <c r="M39" s="669" t="s">
        <v>832</v>
      </c>
      <c r="N39" s="670"/>
      <c r="O39" s="669" t="s">
        <v>786</v>
      </c>
      <c r="P39" s="670"/>
      <c r="Q39" s="670" t="str">
        <f t="shared" ref="Q39:Q46" si="27">IF(P39&lt;&gt;"","?","")</f>
        <v/>
      </c>
      <c r="R39" s="678"/>
      <c r="S39" s="678"/>
      <c r="T39" s="672">
        <f>IF(OR(R39="Ja",R39="JA",R39="ja",R39="Oui",R39="OUI",R39="oui"),100%,
IF(OR(R39="Nein",R39="NEIN",R39="nein",R39="Oon",R39="NON",R39="non"),0%,
IF(R39&lt;&gt;0,
IF(S39&gt;=R39,R39/S39,
IF(S39&lt;R39,S39/R39)),
0%)))</f>
        <v>0</v>
      </c>
      <c r="U39" s="673">
        <v>0.7</v>
      </c>
      <c r="V39" s="674">
        <v>0.9</v>
      </c>
      <c r="W39" s="675" t="str">
        <f t="shared" ref="W39:W40" si="28">IF(P39="","",IF(T39&lt;=U39,3,IF(T39&lt;=V39,2,1)))</f>
        <v/>
      </c>
      <c r="X39" s="623"/>
    </row>
    <row r="40" spans="2:24" ht="15.6" x14ac:dyDescent="0.3">
      <c r="B40" s="676">
        <v>5</v>
      </c>
      <c r="C40" s="1098"/>
      <c r="D40" s="1076"/>
      <c r="E40" s="1078"/>
      <c r="F40" s="677"/>
      <c r="G40" s="1080"/>
      <c r="H40" s="1070"/>
      <c r="I40" s="1071"/>
      <c r="J40" s="1073"/>
      <c r="K40" s="1075"/>
      <c r="L40" s="1081"/>
      <c r="M40" s="669" t="s">
        <v>835</v>
      </c>
      <c r="N40" s="670"/>
      <c r="O40" s="669" t="s">
        <v>787</v>
      </c>
      <c r="P40" s="670"/>
      <c r="Q40" s="670" t="str">
        <f t="shared" si="27"/>
        <v/>
      </c>
      <c r="R40" s="678"/>
      <c r="S40" s="678"/>
      <c r="T40" s="672">
        <f t="shared" ref="T40:T46" si="29">IF(OR(R40="Ja",R40="JA",R40="ja",R40="Oui",R40="OUI",R40="oui"),100%,
IF(OR(R40="Nein",R40="NEIN",R40="nein",R40="Oon",R40="NON",R40="non"),0%,
IF(R40&lt;&gt;0,
IF(S40&gt;=R40,R40/S40,
IF(S40&lt;R40,S40/R40)),
0%)))</f>
        <v>0</v>
      </c>
      <c r="U40" s="673">
        <v>0.7</v>
      </c>
      <c r="V40" s="674">
        <v>0.9</v>
      </c>
      <c r="W40" s="675" t="str">
        <f t="shared" si="28"/>
        <v/>
      </c>
      <c r="X40" s="623"/>
    </row>
    <row r="41" spans="2:24" ht="15.6" x14ac:dyDescent="0.3">
      <c r="B41" s="676">
        <v>5</v>
      </c>
      <c r="C41" s="1098"/>
      <c r="D41" s="1076" t="s">
        <v>992</v>
      </c>
      <c r="E41" s="1084"/>
      <c r="F41" s="668" t="str">
        <f>IF(E41&lt;&gt;"","?","")</f>
        <v/>
      </c>
      <c r="G41" s="1070"/>
      <c r="H41" s="1070"/>
      <c r="I41" s="1071">
        <f>IF(OR(G41="Ja",G41="JA",G41="ja",G41="Oui",G41="OUI",G41="oui"),100%,
IF(OR(G41="Nein",G41="NEIN",G41="nein",G41="Oon",G41="NON",G41="non"),0%,
IF(G41&lt;&gt;0,
IF(H41&gt;=G41,G41/H41,
IF(H41&lt;G41,H41/G41)),
0%)))</f>
        <v>0</v>
      </c>
      <c r="J41" s="1072">
        <v>0.7</v>
      </c>
      <c r="K41" s="1074">
        <v>0.9</v>
      </c>
      <c r="L41" s="1081" t="str">
        <f>IF(E41="","",IF(I41&lt;=J41,3,IF(I41&lt;=K41,2,1)))</f>
        <v/>
      </c>
      <c r="M41" s="669" t="s">
        <v>838</v>
      </c>
      <c r="N41" s="670"/>
      <c r="O41" s="669" t="s">
        <v>788</v>
      </c>
      <c r="P41" s="670"/>
      <c r="Q41" s="670" t="str">
        <f t="shared" si="27"/>
        <v/>
      </c>
      <c r="R41" s="678"/>
      <c r="S41" s="678"/>
      <c r="T41" s="672">
        <f t="shared" si="29"/>
        <v>0</v>
      </c>
      <c r="U41" s="673">
        <v>0.7</v>
      </c>
      <c r="V41" s="674">
        <v>0.9</v>
      </c>
      <c r="W41" s="675" t="str">
        <f>IF(P41="","",IF(T41&lt;=U41,3,IF(T41&lt;=V41,2,1)))</f>
        <v/>
      </c>
      <c r="X41" s="623"/>
    </row>
    <row r="42" spans="2:24" ht="15.6" x14ac:dyDescent="0.3">
      <c r="B42" s="676">
        <v>5</v>
      </c>
      <c r="C42" s="1098"/>
      <c r="D42" s="1076"/>
      <c r="E42" s="1084"/>
      <c r="F42" s="677"/>
      <c r="G42" s="1070"/>
      <c r="H42" s="1070"/>
      <c r="I42" s="1071"/>
      <c r="J42" s="1073"/>
      <c r="K42" s="1075"/>
      <c r="L42" s="1081"/>
      <c r="M42" s="669" t="s">
        <v>841</v>
      </c>
      <c r="N42" s="670"/>
      <c r="O42" s="669" t="s">
        <v>789</v>
      </c>
      <c r="P42" s="670"/>
      <c r="Q42" s="670" t="str">
        <f t="shared" si="27"/>
        <v/>
      </c>
      <c r="R42" s="678"/>
      <c r="S42" s="678"/>
      <c r="T42" s="672">
        <f t="shared" si="29"/>
        <v>0</v>
      </c>
      <c r="U42" s="673">
        <v>0.7</v>
      </c>
      <c r="V42" s="674">
        <v>0.9</v>
      </c>
      <c r="W42" s="675" t="str">
        <f t="shared" ref="W42:W46" si="30">IF(P42="","",IF(T42&lt;=U42,3,IF(T42&lt;=V42,2,1)))</f>
        <v/>
      </c>
      <c r="X42" s="623"/>
    </row>
    <row r="43" spans="2:24" ht="15.6" x14ac:dyDescent="0.3">
      <c r="B43" s="676">
        <v>5</v>
      </c>
      <c r="C43" s="1098"/>
      <c r="D43" s="1076" t="s">
        <v>992</v>
      </c>
      <c r="E43" s="1092"/>
      <c r="F43" s="668" t="str">
        <f>IF(E43&lt;&gt;"","?","")</f>
        <v/>
      </c>
      <c r="G43" s="1070"/>
      <c r="H43" s="1070"/>
      <c r="I43" s="1071">
        <f t="shared" ref="I43" si="31">IF(OR(G43="Ja",G43="JA",G43="ja",G43="Oui",G43="OUI",G43="oui"),100%,
IF(OR(G43="Nein",G43="NEIN",G43="nein",G43="Oon",G43="NON",G43="non"),0%,
IF(G43&lt;&gt;0,
IF(H43&gt;=G43,G43/H43,
IF(H43&lt;G43,H43/G43)),
0%)))</f>
        <v>0</v>
      </c>
      <c r="J43" s="1072">
        <v>0.7</v>
      </c>
      <c r="K43" s="1074">
        <v>0.9</v>
      </c>
      <c r="L43" s="1081" t="str">
        <f>IF(E43="","",IF(I43&lt;=J43,3,IF(I43&lt;=K43,2,1)))</f>
        <v/>
      </c>
      <c r="M43" s="669" t="s">
        <v>844</v>
      </c>
      <c r="N43" s="670"/>
      <c r="O43" s="669" t="s">
        <v>791</v>
      </c>
      <c r="P43" s="670"/>
      <c r="Q43" s="670" t="str">
        <f t="shared" si="27"/>
        <v/>
      </c>
      <c r="R43" s="678"/>
      <c r="S43" s="678"/>
      <c r="T43" s="672">
        <f t="shared" si="29"/>
        <v>0</v>
      </c>
      <c r="U43" s="673">
        <v>0.7</v>
      </c>
      <c r="V43" s="674">
        <v>0.9</v>
      </c>
      <c r="W43" s="675" t="str">
        <f t="shared" si="30"/>
        <v/>
      </c>
      <c r="X43" s="623"/>
    </row>
    <row r="44" spans="2:24" ht="15.6" x14ac:dyDescent="0.3">
      <c r="B44" s="676">
        <v>5</v>
      </c>
      <c r="C44" s="1098"/>
      <c r="D44" s="1076"/>
      <c r="E44" s="1084"/>
      <c r="F44" s="677"/>
      <c r="G44" s="1070"/>
      <c r="H44" s="1070"/>
      <c r="I44" s="1071"/>
      <c r="J44" s="1073"/>
      <c r="K44" s="1075"/>
      <c r="L44" s="1081"/>
      <c r="M44" s="669" t="s">
        <v>847</v>
      </c>
      <c r="N44" s="670"/>
      <c r="O44" s="669" t="s">
        <v>792</v>
      </c>
      <c r="P44" s="670"/>
      <c r="Q44" s="670" t="str">
        <f t="shared" si="27"/>
        <v/>
      </c>
      <c r="R44" s="678"/>
      <c r="S44" s="678"/>
      <c r="T44" s="672">
        <f t="shared" si="29"/>
        <v>0</v>
      </c>
      <c r="U44" s="673">
        <v>0.7</v>
      </c>
      <c r="V44" s="674">
        <v>0.9</v>
      </c>
      <c r="W44" s="675" t="str">
        <f t="shared" si="30"/>
        <v/>
      </c>
      <c r="X44" s="623"/>
    </row>
    <row r="45" spans="2:24" ht="15.6" x14ac:dyDescent="0.3">
      <c r="B45" s="676">
        <v>5</v>
      </c>
      <c r="C45" s="1098"/>
      <c r="D45" s="1076" t="s">
        <v>992</v>
      </c>
      <c r="E45" s="1084"/>
      <c r="F45" s="668" t="str">
        <f>IF(E45&lt;&gt;"","?","")</f>
        <v/>
      </c>
      <c r="G45" s="1070"/>
      <c r="H45" s="1070"/>
      <c r="I45" s="1071">
        <f t="shared" ref="I45" si="32">IF(OR(G45="Ja",G45="JA",G45="ja",G45="Oui",G45="OUI",G45="oui"),100%,
IF(OR(G45="Nein",G45="NEIN",G45="nein",G45="Oon",G45="NON",G45="non"),0%,
IF(G45&lt;&gt;0,
IF(H45&gt;=G45,G45/H45,
IF(H45&lt;G45,H45/G45)),
0%)))</f>
        <v>0</v>
      </c>
      <c r="J45" s="1072">
        <v>0.7</v>
      </c>
      <c r="K45" s="1074">
        <v>0.9</v>
      </c>
      <c r="L45" s="1081" t="str">
        <f>IF(E45="","",IF(I45&lt;=J45,3,IF(I45&lt;=K45,2,1)))</f>
        <v/>
      </c>
      <c r="M45" s="669" t="s">
        <v>850</v>
      </c>
      <c r="N45" s="670"/>
      <c r="O45" s="669" t="s">
        <v>794</v>
      </c>
      <c r="P45" s="670"/>
      <c r="Q45" s="670" t="str">
        <f t="shared" si="27"/>
        <v/>
      </c>
      <c r="R45" s="678"/>
      <c r="S45" s="678"/>
      <c r="T45" s="672">
        <f t="shared" si="29"/>
        <v>0</v>
      </c>
      <c r="U45" s="673">
        <v>0.7</v>
      </c>
      <c r="V45" s="674">
        <v>0.9</v>
      </c>
      <c r="W45" s="675" t="str">
        <f t="shared" si="30"/>
        <v/>
      </c>
      <c r="X45" s="623"/>
    </row>
    <row r="46" spans="2:24" ht="15.6" x14ac:dyDescent="0.3">
      <c r="B46" s="676">
        <v>5</v>
      </c>
      <c r="C46" s="1098"/>
      <c r="D46" s="1076"/>
      <c r="E46" s="1084"/>
      <c r="F46" s="679"/>
      <c r="G46" s="1070"/>
      <c r="H46" s="1070"/>
      <c r="I46" s="1082"/>
      <c r="J46" s="1073"/>
      <c r="K46" s="1075"/>
      <c r="L46" s="1081"/>
      <c r="M46" s="669" t="s">
        <v>853</v>
      </c>
      <c r="N46" s="670"/>
      <c r="O46" s="669" t="s">
        <v>795</v>
      </c>
      <c r="P46" s="670"/>
      <c r="Q46" s="670" t="str">
        <f t="shared" si="27"/>
        <v/>
      </c>
      <c r="R46" s="678"/>
      <c r="S46" s="678"/>
      <c r="T46" s="672">
        <f t="shared" si="29"/>
        <v>0</v>
      </c>
      <c r="U46" s="673">
        <v>0.7</v>
      </c>
      <c r="V46" s="674">
        <v>0.9</v>
      </c>
      <c r="W46" s="675" t="str">
        <f t="shared" si="30"/>
        <v/>
      </c>
      <c r="X46" s="623"/>
    </row>
    <row r="47" spans="2:24" ht="15.6" x14ac:dyDescent="0.3">
      <c r="B47" s="667">
        <v>6</v>
      </c>
      <c r="C47" s="1083">
        <v>6</v>
      </c>
      <c r="D47" s="1076" t="s">
        <v>992</v>
      </c>
      <c r="E47" s="1100"/>
      <c r="F47" s="680" t="str">
        <f>IF(E47&lt;&gt;"","?","")</f>
        <v/>
      </c>
      <c r="G47" s="1085"/>
      <c r="H47" s="1087"/>
      <c r="I47" s="1088">
        <f>IF(OR(G47="Ja",G47="JA",G47="ja",G47="Oui",G47="OUI",G47="oui"),100%,
IF(OR(G47="Nein",G47="NEIN",G47="nein",G47="Oon",G47="NON",G47="non"),0%,
IF(G47&lt;&gt;0,
IF(H47&gt;=G47,G47/H47,
IF(H47&lt;G47,H47/G47)),
0%)))</f>
        <v>0</v>
      </c>
      <c r="J47" s="1093">
        <v>0.7</v>
      </c>
      <c r="K47" s="1095">
        <v>0.9</v>
      </c>
      <c r="L47" s="1097" t="str">
        <f>IF(E47="","",IF(I47&lt;=J47,3,IF(I47&lt;=K47,2,1)))</f>
        <v/>
      </c>
      <c r="M47" s="669" t="s">
        <v>1779</v>
      </c>
      <c r="N47" s="681"/>
      <c r="O47" s="669" t="s">
        <v>797</v>
      </c>
      <c r="P47" s="681"/>
      <c r="Q47" s="681" t="str">
        <f t="shared" ref="Q47:Q54" si="33">IF(P47&lt;&gt;"","?","")</f>
        <v/>
      </c>
      <c r="R47" s="682"/>
      <c r="S47" s="682"/>
      <c r="T47" s="683">
        <f>IF(OR(R47="Ja",R47="JA",R47="ja",R47="Oui",R47="OUI",R47="oui"),100%,
IF(OR(R47="Nein",R47="NEIN",R47="nein",R47="Oon",R47="NON",R47="non"),0%,
IF(R47&lt;&gt;0,
IF(S47&gt;=R47,R47/S47,
IF(S47&lt;R47,S47/R47)),
0%)))</f>
        <v>0</v>
      </c>
      <c r="U47" s="684">
        <v>0.7</v>
      </c>
      <c r="V47" s="685">
        <v>0.9</v>
      </c>
      <c r="W47" s="686" t="str">
        <f t="shared" ref="W47:W48" si="34">IF(P47="","",IF(T47&lt;=U47,3,IF(T47&lt;=V47,2,1)))</f>
        <v/>
      </c>
      <c r="X47" s="623"/>
    </row>
    <row r="48" spans="2:24" ht="15.6" x14ac:dyDescent="0.3">
      <c r="B48" s="676">
        <v>6</v>
      </c>
      <c r="C48" s="1083"/>
      <c r="D48" s="1076"/>
      <c r="E48" s="1101"/>
      <c r="F48" s="687"/>
      <c r="G48" s="1086"/>
      <c r="H48" s="1087"/>
      <c r="I48" s="1088"/>
      <c r="J48" s="1094"/>
      <c r="K48" s="1096"/>
      <c r="L48" s="1097"/>
      <c r="M48" s="669" t="s">
        <v>1780</v>
      </c>
      <c r="N48" s="681"/>
      <c r="O48" s="669" t="s">
        <v>798</v>
      </c>
      <c r="P48" s="681"/>
      <c r="Q48" s="681" t="str">
        <f t="shared" si="33"/>
        <v/>
      </c>
      <c r="R48" s="682"/>
      <c r="S48" s="682"/>
      <c r="T48" s="683">
        <f t="shared" ref="T48:T54" si="35">IF(OR(R48="Ja",R48="JA",R48="ja",R48="Oui",R48="OUI",R48="oui"),100%,
IF(OR(R48="Nein",R48="NEIN",R48="nein",R48="Oon",R48="NON",R48="non"),0%,
IF(R48&lt;&gt;0,
IF(S48&gt;=R48,R48/S48,
IF(S48&lt;R48,S48/R48)),
0%)))</f>
        <v>0</v>
      </c>
      <c r="U48" s="684">
        <v>0.7</v>
      </c>
      <c r="V48" s="685">
        <v>0.9</v>
      </c>
      <c r="W48" s="686" t="str">
        <f t="shared" si="34"/>
        <v/>
      </c>
      <c r="X48" s="623"/>
    </row>
    <row r="49" spans="2:24" ht="15.6" x14ac:dyDescent="0.3">
      <c r="B49" s="676">
        <v>6</v>
      </c>
      <c r="C49" s="1083"/>
      <c r="D49" s="1076" t="s">
        <v>992</v>
      </c>
      <c r="E49" s="1091"/>
      <c r="F49" s="680" t="str">
        <f>IF(E49&lt;&gt;"","?","")</f>
        <v/>
      </c>
      <c r="G49" s="1087"/>
      <c r="H49" s="1087"/>
      <c r="I49" s="1088">
        <f>IF(OR(G49="Ja",G49="JA",G49="ja",G49="Oui",G49="OUI",G49="oui"),100%,
IF(OR(G49="Nein",G49="NEIN",G49="nein",G49="Oon",G49="NON",G49="non"),0%,
IF(G49&lt;&gt;0,
IF(H49&gt;=G49,G49/H49,
IF(H49&lt;G49,H49/G49)),
0%)))</f>
        <v>0</v>
      </c>
      <c r="J49" s="1093">
        <v>0.7</v>
      </c>
      <c r="K49" s="1095">
        <v>0.9</v>
      </c>
      <c r="L49" s="1097" t="str">
        <f>IF(E49="","",IF(I49&lt;=J49,3,IF(I49&lt;=K49,2,1)))</f>
        <v/>
      </c>
      <c r="M49" s="669" t="s">
        <v>1781</v>
      </c>
      <c r="N49" s="681"/>
      <c r="O49" s="669" t="s">
        <v>800</v>
      </c>
      <c r="P49" s="681"/>
      <c r="Q49" s="681" t="str">
        <f t="shared" si="33"/>
        <v/>
      </c>
      <c r="R49" s="682"/>
      <c r="S49" s="682"/>
      <c r="T49" s="683">
        <f t="shared" si="35"/>
        <v>0</v>
      </c>
      <c r="U49" s="684">
        <v>0.7</v>
      </c>
      <c r="V49" s="685">
        <v>0.9</v>
      </c>
      <c r="W49" s="686" t="str">
        <f>IF(P49="","",IF(T49&lt;=U49,3,IF(T49&lt;=V49,2,1)))</f>
        <v/>
      </c>
      <c r="X49" s="623"/>
    </row>
    <row r="50" spans="2:24" ht="15.6" x14ac:dyDescent="0.3">
      <c r="B50" s="676">
        <v>6</v>
      </c>
      <c r="C50" s="1083"/>
      <c r="D50" s="1076"/>
      <c r="E50" s="1091"/>
      <c r="F50" s="687"/>
      <c r="G50" s="1087"/>
      <c r="H50" s="1087"/>
      <c r="I50" s="1088"/>
      <c r="J50" s="1094"/>
      <c r="K50" s="1096"/>
      <c r="L50" s="1097"/>
      <c r="M50" s="669" t="s">
        <v>1782</v>
      </c>
      <c r="N50" s="681"/>
      <c r="O50" s="669" t="s">
        <v>801</v>
      </c>
      <c r="P50" s="681"/>
      <c r="Q50" s="681" t="str">
        <f t="shared" si="33"/>
        <v/>
      </c>
      <c r="R50" s="682"/>
      <c r="S50" s="682"/>
      <c r="T50" s="683">
        <f t="shared" si="35"/>
        <v>0</v>
      </c>
      <c r="U50" s="684">
        <v>0.7</v>
      </c>
      <c r="V50" s="685">
        <v>0.9</v>
      </c>
      <c r="W50" s="686" t="str">
        <f t="shared" ref="W50:W54" si="36">IF(P50="","",IF(T50&lt;=U50,3,IF(T50&lt;=V50,2,1)))</f>
        <v/>
      </c>
      <c r="X50" s="623"/>
    </row>
    <row r="51" spans="2:24" ht="15.6" x14ac:dyDescent="0.3">
      <c r="B51" s="676">
        <v>6</v>
      </c>
      <c r="C51" s="1083"/>
      <c r="D51" s="1076" t="s">
        <v>992</v>
      </c>
      <c r="E51" s="1090"/>
      <c r="F51" s="680" t="str">
        <f>IF(E51&lt;&gt;"","?","")</f>
        <v/>
      </c>
      <c r="G51" s="1087"/>
      <c r="H51" s="1087"/>
      <c r="I51" s="1088">
        <f t="shared" ref="I51" si="37">IF(OR(G51="Ja",G51="JA",G51="ja",G51="Oui",G51="OUI",G51="oui"),100%,
IF(OR(G51="Nein",G51="NEIN",G51="nein",G51="Oon",G51="NON",G51="non"),0%,
IF(G51&lt;&gt;0,
IF(H51&gt;=G51,G51/H51,
IF(H51&lt;G51,H51/G51)),
0%)))</f>
        <v>0</v>
      </c>
      <c r="J51" s="1093">
        <v>0.7</v>
      </c>
      <c r="K51" s="1095">
        <v>0.9</v>
      </c>
      <c r="L51" s="1097" t="str">
        <f>IF(E51="","",IF(I51&lt;=J51,3,IF(I51&lt;=K51,2,1)))</f>
        <v/>
      </c>
      <c r="M51" s="669" t="s">
        <v>1783</v>
      </c>
      <c r="N51" s="681"/>
      <c r="O51" s="669" t="s">
        <v>803</v>
      </c>
      <c r="P51" s="681"/>
      <c r="Q51" s="681" t="str">
        <f t="shared" si="33"/>
        <v/>
      </c>
      <c r="R51" s="682"/>
      <c r="S51" s="682"/>
      <c r="T51" s="683">
        <f t="shared" si="35"/>
        <v>0</v>
      </c>
      <c r="U51" s="684">
        <v>0.7</v>
      </c>
      <c r="V51" s="685">
        <v>0.9</v>
      </c>
      <c r="W51" s="686" t="str">
        <f t="shared" si="36"/>
        <v/>
      </c>
      <c r="X51" s="623"/>
    </row>
    <row r="52" spans="2:24" ht="15.6" x14ac:dyDescent="0.3">
      <c r="B52" s="676">
        <v>6</v>
      </c>
      <c r="C52" s="1083"/>
      <c r="D52" s="1076"/>
      <c r="E52" s="1091"/>
      <c r="F52" s="687"/>
      <c r="G52" s="1087"/>
      <c r="H52" s="1087"/>
      <c r="I52" s="1088"/>
      <c r="J52" s="1094"/>
      <c r="K52" s="1096"/>
      <c r="L52" s="1097"/>
      <c r="M52" s="669" t="s">
        <v>1784</v>
      </c>
      <c r="N52" s="681"/>
      <c r="O52" s="669" t="s">
        <v>804</v>
      </c>
      <c r="P52" s="681"/>
      <c r="Q52" s="681" t="str">
        <f t="shared" si="33"/>
        <v/>
      </c>
      <c r="R52" s="682"/>
      <c r="S52" s="682"/>
      <c r="T52" s="683">
        <f t="shared" si="35"/>
        <v>0</v>
      </c>
      <c r="U52" s="684">
        <v>0.7</v>
      </c>
      <c r="V52" s="685">
        <v>0.9</v>
      </c>
      <c r="W52" s="686" t="str">
        <f t="shared" si="36"/>
        <v/>
      </c>
      <c r="X52" s="623"/>
    </row>
    <row r="53" spans="2:24" ht="15.6" x14ac:dyDescent="0.3">
      <c r="B53" s="676">
        <v>6</v>
      </c>
      <c r="C53" s="1083"/>
      <c r="D53" s="1076" t="s">
        <v>992</v>
      </c>
      <c r="E53" s="1091"/>
      <c r="F53" s="680" t="str">
        <f>IF(E53&lt;&gt;"","?","")</f>
        <v/>
      </c>
      <c r="G53" s="1087"/>
      <c r="H53" s="1087"/>
      <c r="I53" s="1088">
        <f t="shared" ref="I53" si="38">IF(OR(G53="Ja",G53="JA",G53="ja",G53="Oui",G53="OUI",G53="oui"),100%,
IF(OR(G53="Nein",G53="NEIN",G53="nein",G53="Oon",G53="NON",G53="non"),0%,
IF(G53&lt;&gt;0,
IF(H53&gt;=G53,G53/H53,
IF(H53&lt;G53,H53/G53)),
0%)))</f>
        <v>0</v>
      </c>
      <c r="J53" s="1093">
        <v>0.7</v>
      </c>
      <c r="K53" s="1095">
        <v>0.9</v>
      </c>
      <c r="L53" s="1097" t="str">
        <f>IF(E53="","",IF(I53&lt;=J53,3,IF(I53&lt;=K53,2,1)))</f>
        <v/>
      </c>
      <c r="M53" s="669" t="s">
        <v>1785</v>
      </c>
      <c r="N53" s="681"/>
      <c r="O53" s="669" t="s">
        <v>806</v>
      </c>
      <c r="P53" s="681"/>
      <c r="Q53" s="681" t="str">
        <f t="shared" si="33"/>
        <v/>
      </c>
      <c r="R53" s="682"/>
      <c r="S53" s="682"/>
      <c r="T53" s="683">
        <f t="shared" si="35"/>
        <v>0</v>
      </c>
      <c r="U53" s="684">
        <v>0.7</v>
      </c>
      <c r="V53" s="685">
        <v>0.9</v>
      </c>
      <c r="W53" s="686" t="str">
        <f t="shared" si="36"/>
        <v/>
      </c>
      <c r="X53" s="623"/>
    </row>
    <row r="54" spans="2:24" ht="15.6" x14ac:dyDescent="0.3">
      <c r="B54" s="676">
        <v>6</v>
      </c>
      <c r="C54" s="1083"/>
      <c r="D54" s="1076"/>
      <c r="E54" s="1091"/>
      <c r="F54" s="688"/>
      <c r="G54" s="1087"/>
      <c r="H54" s="1087"/>
      <c r="I54" s="1099"/>
      <c r="J54" s="1094"/>
      <c r="K54" s="1096"/>
      <c r="L54" s="1097"/>
      <c r="M54" s="669" t="s">
        <v>1786</v>
      </c>
      <c r="N54" s="681"/>
      <c r="O54" s="669" t="s">
        <v>807</v>
      </c>
      <c r="P54" s="681"/>
      <c r="Q54" s="681" t="str">
        <f t="shared" si="33"/>
        <v/>
      </c>
      <c r="R54" s="682"/>
      <c r="S54" s="682"/>
      <c r="T54" s="683">
        <f t="shared" si="35"/>
        <v>0</v>
      </c>
      <c r="U54" s="684">
        <v>0.7</v>
      </c>
      <c r="V54" s="685">
        <v>0.9</v>
      </c>
      <c r="W54" s="686" t="str">
        <f t="shared" si="36"/>
        <v/>
      </c>
      <c r="X54" s="623"/>
    </row>
    <row r="55" spans="2:24" ht="15.6" x14ac:dyDescent="0.3">
      <c r="B55" s="667">
        <v>7</v>
      </c>
      <c r="C55" s="1098">
        <v>7</v>
      </c>
      <c r="D55" s="1076" t="s">
        <v>992</v>
      </c>
      <c r="E55" s="1077"/>
      <c r="F55" s="668" t="str">
        <f>IF(E55&lt;&gt;"","?","")</f>
        <v/>
      </c>
      <c r="G55" s="1079"/>
      <c r="H55" s="1070"/>
      <c r="I55" s="1071">
        <f>IF(OR(G55="Ja",G55="JA",G55="ja",G55="Oui",G55="OUI",G55="oui"),100%,
IF(OR(G55="Nein",G55="NEIN",G55="nein",G55="Oon",G55="NON",G55="non"),0%,
IF(G55&lt;&gt;0,
IF(H55&gt;=G55,G55/H55,
IF(H55&lt;G55,H55/G55)),
0%)))</f>
        <v>0</v>
      </c>
      <c r="J55" s="1072">
        <v>0.7</v>
      </c>
      <c r="K55" s="1074">
        <v>0.9</v>
      </c>
      <c r="L55" s="1081" t="str">
        <f>IF(E55="","",IF(I55&lt;=J55,3,IF(I55&lt;=K55,2,1)))</f>
        <v/>
      </c>
      <c r="M55" s="669" t="s">
        <v>1787</v>
      </c>
      <c r="N55" s="670"/>
      <c r="O55" s="669" t="s">
        <v>809</v>
      </c>
      <c r="P55" s="670"/>
      <c r="Q55" s="670" t="str">
        <f t="shared" ref="Q55:Q62" si="39">IF(P55&lt;&gt;"","?","")</f>
        <v/>
      </c>
      <c r="R55" s="689"/>
      <c r="S55" s="689"/>
      <c r="T55" s="690">
        <f>IF(OR(R55="Ja",R55="JA",R55="ja",R55="Oui",R55="OUI",R55="oui"),100%,
IF(OR(R55="Nein",R55="NEIN",R55="nein",R55="Oon",R55="NON",R55="non"),0%,
IF(R55&lt;&gt;0,
IF(S55&gt;=R55,R55/S55,
IF(S55&lt;R55,S55/R55)),
0%)))</f>
        <v>0</v>
      </c>
      <c r="U55" s="673">
        <v>0.7</v>
      </c>
      <c r="V55" s="674">
        <v>0.9</v>
      </c>
      <c r="W55" s="691" t="str">
        <f t="shared" ref="W55:W56" si="40">IF(P55="","",IF(T55&lt;=U55,3,IF(T55&lt;=V55,2,1)))</f>
        <v/>
      </c>
      <c r="X55" s="623"/>
    </row>
    <row r="56" spans="2:24" ht="15.6" x14ac:dyDescent="0.3">
      <c r="B56" s="676">
        <v>7</v>
      </c>
      <c r="C56" s="1098"/>
      <c r="D56" s="1076"/>
      <c r="E56" s="1078"/>
      <c r="F56" s="677"/>
      <c r="G56" s="1080"/>
      <c r="H56" s="1070"/>
      <c r="I56" s="1071"/>
      <c r="J56" s="1073"/>
      <c r="K56" s="1075"/>
      <c r="L56" s="1081"/>
      <c r="M56" s="669" t="s">
        <v>1788</v>
      </c>
      <c r="N56" s="670"/>
      <c r="O56" s="669" t="s">
        <v>810</v>
      </c>
      <c r="P56" s="670"/>
      <c r="Q56" s="670" t="str">
        <f t="shared" si="39"/>
        <v/>
      </c>
      <c r="R56" s="689"/>
      <c r="S56" s="689"/>
      <c r="T56" s="690">
        <f t="shared" ref="T56:T62" si="41">IF(OR(R56="Ja",R56="JA",R56="ja",R56="Oui",R56="OUI",R56="oui"),100%,
IF(OR(R56="Nein",R56="NEIN",R56="nein",R56="Oon",R56="NON",R56="non"),0%,
IF(R56&lt;&gt;0,
IF(S56&gt;=R56,R56/S56,
IF(S56&lt;R56,S56/R56)),
0%)))</f>
        <v>0</v>
      </c>
      <c r="U56" s="673">
        <v>0.7</v>
      </c>
      <c r="V56" s="674">
        <v>0.9</v>
      </c>
      <c r="W56" s="691" t="str">
        <f t="shared" si="40"/>
        <v/>
      </c>
      <c r="X56" s="623"/>
    </row>
    <row r="57" spans="2:24" ht="15.6" x14ac:dyDescent="0.3">
      <c r="B57" s="676">
        <v>7</v>
      </c>
      <c r="C57" s="1098"/>
      <c r="D57" s="1076" t="s">
        <v>992</v>
      </c>
      <c r="E57" s="1084"/>
      <c r="F57" s="668" t="str">
        <f>IF(E57&lt;&gt;"","?","")</f>
        <v/>
      </c>
      <c r="G57" s="1070"/>
      <c r="H57" s="1070"/>
      <c r="I57" s="1071">
        <f>IF(OR(G57="Ja",G57="JA",G57="ja",G57="Oui",G57="OUI",G57="oui"),100%,
IF(OR(G57="Nein",G57="NEIN",G57="nein",G57="Oon",G57="NON",G57="non"),0%,
IF(G57&lt;&gt;0,
IF(H57&gt;=G57,G57/H57,
IF(H57&lt;G57,H57/G57)),
0%)))</f>
        <v>0</v>
      </c>
      <c r="J57" s="1072">
        <v>0.7</v>
      </c>
      <c r="K57" s="1074">
        <v>0.9</v>
      </c>
      <c r="L57" s="1081" t="str">
        <f>IF(E57="","",IF(I57&lt;=J57,3,IF(I57&lt;=K57,2,1)))</f>
        <v/>
      </c>
      <c r="M57" s="669" t="s">
        <v>1789</v>
      </c>
      <c r="N57" s="670"/>
      <c r="O57" s="669" t="s">
        <v>812</v>
      </c>
      <c r="P57" s="670"/>
      <c r="Q57" s="670" t="str">
        <f t="shared" si="39"/>
        <v/>
      </c>
      <c r="R57" s="689"/>
      <c r="S57" s="689"/>
      <c r="T57" s="690">
        <f t="shared" si="41"/>
        <v>0</v>
      </c>
      <c r="U57" s="673">
        <v>0.7</v>
      </c>
      <c r="V57" s="674">
        <v>0.9</v>
      </c>
      <c r="W57" s="691" t="str">
        <f>IF(P57="","",IF(T57&lt;=U57,3,IF(T57&lt;=V57,2,1)))</f>
        <v/>
      </c>
      <c r="X57" s="623"/>
    </row>
    <row r="58" spans="2:24" ht="15.6" x14ac:dyDescent="0.3">
      <c r="B58" s="676">
        <v>7</v>
      </c>
      <c r="C58" s="1098"/>
      <c r="D58" s="1076"/>
      <c r="E58" s="1084"/>
      <c r="F58" s="677"/>
      <c r="G58" s="1070"/>
      <c r="H58" s="1070"/>
      <c r="I58" s="1071"/>
      <c r="J58" s="1073"/>
      <c r="K58" s="1075"/>
      <c r="L58" s="1081"/>
      <c r="M58" s="669" t="s">
        <v>1790</v>
      </c>
      <c r="N58" s="670"/>
      <c r="O58" s="669" t="s">
        <v>813</v>
      </c>
      <c r="P58" s="670"/>
      <c r="Q58" s="670" t="str">
        <f t="shared" si="39"/>
        <v/>
      </c>
      <c r="R58" s="689"/>
      <c r="S58" s="689"/>
      <c r="T58" s="690">
        <f t="shared" si="41"/>
        <v>0</v>
      </c>
      <c r="U58" s="673">
        <v>0.7</v>
      </c>
      <c r="V58" s="674">
        <v>0.9</v>
      </c>
      <c r="W58" s="691" t="str">
        <f t="shared" ref="W58:W62" si="42">IF(P58="","",IF(T58&lt;=U58,3,IF(T58&lt;=V58,2,1)))</f>
        <v/>
      </c>
      <c r="X58" s="623"/>
    </row>
    <row r="59" spans="2:24" ht="15.6" x14ac:dyDescent="0.3">
      <c r="B59" s="676">
        <v>7</v>
      </c>
      <c r="C59" s="1098"/>
      <c r="D59" s="1076" t="s">
        <v>992</v>
      </c>
      <c r="E59" s="1092"/>
      <c r="F59" s="668" t="str">
        <f>IF(E59&lt;&gt;"","?","")</f>
        <v/>
      </c>
      <c r="G59" s="1070"/>
      <c r="H59" s="1070"/>
      <c r="I59" s="1071">
        <f t="shared" ref="I59" si="43">IF(OR(G59="Ja",G59="JA",G59="ja",G59="Oui",G59="OUI",G59="oui"),100%,
IF(OR(G59="Nein",G59="NEIN",G59="nein",G59="Oon",G59="NON",G59="non"),0%,
IF(G59&lt;&gt;0,
IF(H59&gt;=G59,G59/H59,
IF(H59&lt;G59,H59/G59)),
0%)))</f>
        <v>0</v>
      </c>
      <c r="J59" s="1072">
        <v>0.7</v>
      </c>
      <c r="K59" s="1074">
        <v>0.9</v>
      </c>
      <c r="L59" s="1081" t="str">
        <f>IF(E59="","",IF(I59&lt;=J59,3,IF(I59&lt;=K59,2,1)))</f>
        <v/>
      </c>
      <c r="M59" s="669" t="s">
        <v>1791</v>
      </c>
      <c r="N59" s="670"/>
      <c r="O59" s="669" t="s">
        <v>815</v>
      </c>
      <c r="P59" s="670"/>
      <c r="Q59" s="670" t="str">
        <f t="shared" si="39"/>
        <v/>
      </c>
      <c r="R59" s="689"/>
      <c r="S59" s="689"/>
      <c r="T59" s="690">
        <f t="shared" si="41"/>
        <v>0</v>
      </c>
      <c r="U59" s="673">
        <v>0.7</v>
      </c>
      <c r="V59" s="674">
        <v>0.9</v>
      </c>
      <c r="W59" s="691" t="str">
        <f t="shared" si="42"/>
        <v/>
      </c>
      <c r="X59" s="623"/>
    </row>
    <row r="60" spans="2:24" ht="15.6" x14ac:dyDescent="0.3">
      <c r="B60" s="676">
        <v>7</v>
      </c>
      <c r="C60" s="1098"/>
      <c r="D60" s="1076"/>
      <c r="E60" s="1084"/>
      <c r="F60" s="677"/>
      <c r="G60" s="1070"/>
      <c r="H60" s="1070"/>
      <c r="I60" s="1071"/>
      <c r="J60" s="1073"/>
      <c r="K60" s="1075"/>
      <c r="L60" s="1081"/>
      <c r="M60" s="669" t="s">
        <v>1792</v>
      </c>
      <c r="N60" s="670"/>
      <c r="O60" s="669" t="s">
        <v>816</v>
      </c>
      <c r="P60" s="670"/>
      <c r="Q60" s="670" t="str">
        <f t="shared" si="39"/>
        <v/>
      </c>
      <c r="R60" s="689"/>
      <c r="S60" s="689"/>
      <c r="T60" s="690">
        <f t="shared" si="41"/>
        <v>0</v>
      </c>
      <c r="U60" s="673">
        <v>0.7</v>
      </c>
      <c r="V60" s="674">
        <v>0.9</v>
      </c>
      <c r="W60" s="691" t="str">
        <f t="shared" si="42"/>
        <v/>
      </c>
      <c r="X60" s="623"/>
    </row>
    <row r="61" spans="2:24" ht="15.6" x14ac:dyDescent="0.3">
      <c r="B61" s="676">
        <v>7</v>
      </c>
      <c r="C61" s="1098"/>
      <c r="D61" s="1076" t="s">
        <v>992</v>
      </c>
      <c r="E61" s="1084"/>
      <c r="F61" s="668" t="str">
        <f>IF(E61&lt;&gt;"","?","")</f>
        <v/>
      </c>
      <c r="G61" s="1070"/>
      <c r="H61" s="1070"/>
      <c r="I61" s="1071">
        <f t="shared" ref="I61" si="44">IF(OR(G61="Ja",G61="JA",G61="ja",G61="Oui",G61="OUI",G61="oui"),100%,
IF(OR(G61="Nein",G61="NEIN",G61="nein",G61="Oon",G61="NON",G61="non"),0%,
IF(G61&lt;&gt;0,
IF(H61&gt;=G61,G61/H61,
IF(H61&lt;G61,H61/G61)),
0%)))</f>
        <v>0</v>
      </c>
      <c r="J61" s="1072">
        <v>0.7</v>
      </c>
      <c r="K61" s="1074">
        <v>0.9</v>
      </c>
      <c r="L61" s="1081" t="str">
        <f>IF(E61="","",IF(I61&lt;=J61,3,IF(I61&lt;=K61,2,1)))</f>
        <v/>
      </c>
      <c r="M61" s="669" t="s">
        <v>1793</v>
      </c>
      <c r="N61" s="670"/>
      <c r="O61" s="669" t="s">
        <v>818</v>
      </c>
      <c r="P61" s="670"/>
      <c r="Q61" s="670" t="str">
        <f t="shared" si="39"/>
        <v/>
      </c>
      <c r="R61" s="689"/>
      <c r="S61" s="689"/>
      <c r="T61" s="690">
        <f t="shared" si="41"/>
        <v>0</v>
      </c>
      <c r="U61" s="673">
        <v>0.7</v>
      </c>
      <c r="V61" s="674">
        <v>0.9</v>
      </c>
      <c r="W61" s="691" t="str">
        <f t="shared" si="42"/>
        <v/>
      </c>
      <c r="X61" s="623"/>
    </row>
    <row r="62" spans="2:24" ht="15.6" x14ac:dyDescent="0.3">
      <c r="B62" s="676">
        <v>7</v>
      </c>
      <c r="C62" s="1098"/>
      <c r="D62" s="1076"/>
      <c r="E62" s="1084"/>
      <c r="F62" s="679"/>
      <c r="G62" s="1070"/>
      <c r="H62" s="1070"/>
      <c r="I62" s="1082"/>
      <c r="J62" s="1073"/>
      <c r="K62" s="1075"/>
      <c r="L62" s="1081"/>
      <c r="M62" s="669" t="s">
        <v>1794</v>
      </c>
      <c r="N62" s="670"/>
      <c r="O62" s="669" t="s">
        <v>819</v>
      </c>
      <c r="P62" s="670"/>
      <c r="Q62" s="670" t="str">
        <f t="shared" si="39"/>
        <v/>
      </c>
      <c r="R62" s="689"/>
      <c r="S62" s="689"/>
      <c r="T62" s="690">
        <f t="shared" si="41"/>
        <v>0</v>
      </c>
      <c r="U62" s="673">
        <v>0.7</v>
      </c>
      <c r="V62" s="674">
        <v>0.9</v>
      </c>
      <c r="W62" s="691" t="str">
        <f t="shared" si="42"/>
        <v/>
      </c>
      <c r="X62" s="623"/>
    </row>
    <row r="63" spans="2:24" ht="15.6" x14ac:dyDescent="0.3">
      <c r="B63" s="667">
        <v>8</v>
      </c>
      <c r="C63" s="1083">
        <v>8</v>
      </c>
      <c r="D63" s="1076" t="s">
        <v>992</v>
      </c>
      <c r="E63" s="1100"/>
      <c r="F63" s="680" t="str">
        <f>IF(E63&lt;&gt;"","?","")</f>
        <v/>
      </c>
      <c r="G63" s="1085"/>
      <c r="H63" s="1087"/>
      <c r="I63" s="1088">
        <f>IF(OR(G63="Ja",G63="JA",G63="ja",G63="Oui",G63="OUI",G63="oui"),100%,
IF(OR(G63="Nein",G63="NEIN",G63="nein",G63="Oon",G63="NON",G63="non"),0%,
IF(G63&lt;&gt;0,
IF(H63&gt;=G63,G63/H63,
IF(H63&lt;G63,H63/G63)),
0%)))</f>
        <v>0</v>
      </c>
      <c r="J63" s="1093">
        <v>0.7</v>
      </c>
      <c r="K63" s="1095">
        <v>0.9</v>
      </c>
      <c r="L63" s="1097" t="str">
        <f>IF(E63="","",IF(I63&lt;=J63,3,IF(I63&lt;=K63,2,1)))</f>
        <v/>
      </c>
      <c r="M63" s="669" t="s">
        <v>1795</v>
      </c>
      <c r="N63" s="681"/>
      <c r="O63" s="669" t="s">
        <v>821</v>
      </c>
      <c r="P63" s="681"/>
      <c r="Q63" s="681" t="str">
        <f t="shared" ref="Q63:Q70" si="45">IF(P63&lt;&gt;"","?","")</f>
        <v/>
      </c>
      <c r="R63" s="692"/>
      <c r="S63" s="692"/>
      <c r="T63" s="693">
        <f>IF(OR(R63="Ja",R63="JA",R63="ja",R63="Oui",R63="OUI",R63="oui"),100%,
IF(OR(R63="Nein",R63="NEIN",R63="nein",R63="Oon",R63="NON",R63="non"),0%,
IF(R63&lt;&gt;0,
IF(S63&gt;=R63,R63/S63,
IF(S63&lt;R63,S63/R63)),
0%)))</f>
        <v>0</v>
      </c>
      <c r="U63" s="684">
        <v>0.7</v>
      </c>
      <c r="V63" s="694">
        <v>0.9</v>
      </c>
      <c r="W63" s="695" t="str">
        <f t="shared" ref="W63:W64" si="46">IF(P63="","",IF(T63&lt;=U63,3,IF(T63&lt;=V63,2,1)))</f>
        <v/>
      </c>
      <c r="X63" s="623"/>
    </row>
    <row r="64" spans="2:24" ht="15.6" x14ac:dyDescent="0.3">
      <c r="B64" s="676">
        <v>8</v>
      </c>
      <c r="C64" s="1083"/>
      <c r="D64" s="1076"/>
      <c r="E64" s="1101"/>
      <c r="F64" s="687"/>
      <c r="G64" s="1086"/>
      <c r="H64" s="1087"/>
      <c r="I64" s="1088"/>
      <c r="J64" s="1094"/>
      <c r="K64" s="1096"/>
      <c r="L64" s="1097"/>
      <c r="M64" s="669" t="s">
        <v>1796</v>
      </c>
      <c r="N64" s="681"/>
      <c r="O64" s="669" t="s">
        <v>822</v>
      </c>
      <c r="P64" s="681"/>
      <c r="Q64" s="681" t="str">
        <f t="shared" si="45"/>
        <v/>
      </c>
      <c r="R64" s="692"/>
      <c r="S64" s="692"/>
      <c r="T64" s="693">
        <f t="shared" ref="T64:T70" si="47">IF(OR(R64="Ja",R64="JA",R64="ja",R64="Oui",R64="OUI",R64="oui"),100%,
IF(OR(R64="Nein",R64="NEIN",R64="nein",R64="Oon",R64="NON",R64="non"),0%,
IF(R64&lt;&gt;0,
IF(S64&gt;=R64,R64/S64,
IF(S64&lt;R64,S64/R64)),
0%)))</f>
        <v>0</v>
      </c>
      <c r="U64" s="684">
        <v>0.7</v>
      </c>
      <c r="V64" s="694">
        <v>0.9</v>
      </c>
      <c r="W64" s="695" t="str">
        <f t="shared" si="46"/>
        <v/>
      </c>
      <c r="X64" s="623"/>
    </row>
    <row r="65" spans="2:24" ht="15.6" x14ac:dyDescent="0.3">
      <c r="B65" s="676">
        <v>8</v>
      </c>
      <c r="C65" s="1083"/>
      <c r="D65" s="1076" t="s">
        <v>992</v>
      </c>
      <c r="E65" s="1091"/>
      <c r="F65" s="680" t="str">
        <f>IF(E65&lt;&gt;"","?","")</f>
        <v/>
      </c>
      <c r="G65" s="1087"/>
      <c r="H65" s="1087"/>
      <c r="I65" s="1088">
        <f>IF(OR(G65="Ja",G65="JA",G65="ja",G65="Oui",G65="OUI",G65="oui"),100%,
IF(OR(G65="Nein",G65="NEIN",G65="nein",G65="Oon",G65="NON",G65="non"),0%,
IF(G65&lt;&gt;0,
IF(H65&gt;=G65,G65/H65,
IF(H65&lt;G65,H65/G65)),
0%)))</f>
        <v>0</v>
      </c>
      <c r="J65" s="1093">
        <v>0.7</v>
      </c>
      <c r="K65" s="1095">
        <v>0.9</v>
      </c>
      <c r="L65" s="1097" t="str">
        <f>IF(E65="","",IF(I65&lt;=J65,3,IF(I65&lt;=K65,2,1)))</f>
        <v/>
      </c>
      <c r="M65" s="669" t="s">
        <v>1797</v>
      </c>
      <c r="N65" s="681"/>
      <c r="O65" s="669" t="s">
        <v>824</v>
      </c>
      <c r="P65" s="681"/>
      <c r="Q65" s="681" t="str">
        <f t="shared" si="45"/>
        <v/>
      </c>
      <c r="R65" s="692"/>
      <c r="S65" s="692"/>
      <c r="T65" s="693">
        <f t="shared" si="47"/>
        <v>0</v>
      </c>
      <c r="U65" s="684">
        <v>0.7</v>
      </c>
      <c r="V65" s="694">
        <v>0.9</v>
      </c>
      <c r="W65" s="695" t="str">
        <f>IF(P65="","",IF(T65&lt;=U65,3,IF(T65&lt;=V65,2,1)))</f>
        <v/>
      </c>
      <c r="X65" s="623"/>
    </row>
    <row r="66" spans="2:24" ht="15.6" x14ac:dyDescent="0.3">
      <c r="B66" s="676">
        <v>8</v>
      </c>
      <c r="C66" s="1083"/>
      <c r="D66" s="1076"/>
      <c r="E66" s="1091"/>
      <c r="F66" s="687"/>
      <c r="G66" s="1087"/>
      <c r="H66" s="1087"/>
      <c r="I66" s="1088"/>
      <c r="J66" s="1094"/>
      <c r="K66" s="1096"/>
      <c r="L66" s="1097"/>
      <c r="M66" s="669" t="s">
        <v>1798</v>
      </c>
      <c r="N66" s="681"/>
      <c r="O66" s="669" t="s">
        <v>825</v>
      </c>
      <c r="P66" s="681"/>
      <c r="Q66" s="681" t="str">
        <f t="shared" si="45"/>
        <v/>
      </c>
      <c r="R66" s="692"/>
      <c r="S66" s="692"/>
      <c r="T66" s="693">
        <f t="shared" si="47"/>
        <v>0</v>
      </c>
      <c r="U66" s="684">
        <v>0.7</v>
      </c>
      <c r="V66" s="694">
        <v>0.9</v>
      </c>
      <c r="W66" s="695" t="str">
        <f t="shared" ref="W66:W70" si="48">IF(P66="","",IF(T66&lt;=U66,3,IF(T66&lt;=V66,2,1)))</f>
        <v/>
      </c>
      <c r="X66" s="623"/>
    </row>
    <row r="67" spans="2:24" ht="15.6" x14ac:dyDescent="0.3">
      <c r="B67" s="676">
        <v>8</v>
      </c>
      <c r="C67" s="1083"/>
      <c r="D67" s="1076" t="s">
        <v>992</v>
      </c>
      <c r="E67" s="1090"/>
      <c r="F67" s="680" t="str">
        <f>IF(E67&lt;&gt;"","?","")</f>
        <v/>
      </c>
      <c r="G67" s="1087"/>
      <c r="H67" s="1087"/>
      <c r="I67" s="1088">
        <f t="shared" ref="I67" si="49">IF(OR(G67="Ja",G67="JA",G67="ja",G67="Oui",G67="OUI",G67="oui"),100%,
IF(OR(G67="Nein",G67="NEIN",G67="nein",G67="Oon",G67="NON",G67="non"),0%,
IF(G67&lt;&gt;0,
IF(H67&gt;=G67,G67/H67,
IF(H67&lt;G67,H67/G67)),
0%)))</f>
        <v>0</v>
      </c>
      <c r="J67" s="1093">
        <v>0.7</v>
      </c>
      <c r="K67" s="1095">
        <v>0.9</v>
      </c>
      <c r="L67" s="1097" t="str">
        <f>IF(E67="","",IF(I67&lt;=J67,3,IF(I67&lt;=K67,2,1)))</f>
        <v/>
      </c>
      <c r="M67" s="669" t="s">
        <v>1799</v>
      </c>
      <c r="N67" s="681"/>
      <c r="O67" s="669" t="s">
        <v>827</v>
      </c>
      <c r="P67" s="681"/>
      <c r="Q67" s="681" t="str">
        <f t="shared" si="45"/>
        <v/>
      </c>
      <c r="R67" s="692"/>
      <c r="S67" s="692"/>
      <c r="T67" s="693">
        <f t="shared" si="47"/>
        <v>0</v>
      </c>
      <c r="U67" s="684">
        <v>0.7</v>
      </c>
      <c r="V67" s="694">
        <v>0.9</v>
      </c>
      <c r="W67" s="695" t="str">
        <f t="shared" si="48"/>
        <v/>
      </c>
      <c r="X67" s="623"/>
    </row>
    <row r="68" spans="2:24" ht="15.6" x14ac:dyDescent="0.3">
      <c r="B68" s="676">
        <v>8</v>
      </c>
      <c r="C68" s="1083"/>
      <c r="D68" s="1076"/>
      <c r="E68" s="1091"/>
      <c r="F68" s="687"/>
      <c r="G68" s="1087"/>
      <c r="H68" s="1087"/>
      <c r="I68" s="1088"/>
      <c r="J68" s="1094"/>
      <c r="K68" s="1096"/>
      <c r="L68" s="1097"/>
      <c r="M68" s="669" t="s">
        <v>1800</v>
      </c>
      <c r="N68" s="681"/>
      <c r="O68" s="669" t="s">
        <v>828</v>
      </c>
      <c r="P68" s="681"/>
      <c r="Q68" s="681" t="str">
        <f t="shared" si="45"/>
        <v/>
      </c>
      <c r="R68" s="692"/>
      <c r="S68" s="692"/>
      <c r="T68" s="693">
        <f t="shared" si="47"/>
        <v>0</v>
      </c>
      <c r="U68" s="684">
        <v>0.7</v>
      </c>
      <c r="V68" s="694">
        <v>0.9</v>
      </c>
      <c r="W68" s="695" t="str">
        <f t="shared" si="48"/>
        <v/>
      </c>
      <c r="X68" s="623"/>
    </row>
    <row r="69" spans="2:24" ht="15.6" x14ac:dyDescent="0.3">
      <c r="B69" s="676">
        <v>8</v>
      </c>
      <c r="C69" s="1083"/>
      <c r="D69" s="1076" t="s">
        <v>992</v>
      </c>
      <c r="E69" s="1091"/>
      <c r="F69" s="680" t="str">
        <f>IF(E69&lt;&gt;"","?","")</f>
        <v/>
      </c>
      <c r="G69" s="1087"/>
      <c r="H69" s="1087"/>
      <c r="I69" s="1088">
        <f t="shared" ref="I69" si="50">IF(OR(G69="Ja",G69="JA",G69="ja",G69="Oui",G69="OUI",G69="oui"),100%,
IF(OR(G69="Nein",G69="NEIN",G69="nein",G69="Oon",G69="NON",G69="non"),0%,
IF(G69&lt;&gt;0,
IF(H69&gt;=G69,G69/H69,
IF(H69&lt;G69,H69/G69)),
0%)))</f>
        <v>0</v>
      </c>
      <c r="J69" s="1093">
        <v>0.7</v>
      </c>
      <c r="K69" s="1095">
        <v>0.9</v>
      </c>
      <c r="L69" s="1097" t="str">
        <f>IF(E69="","",IF(I69&lt;=J69,3,IF(I69&lt;=K69,2,1)))</f>
        <v/>
      </c>
      <c r="M69" s="669" t="s">
        <v>1801</v>
      </c>
      <c r="N69" s="681"/>
      <c r="O69" s="669" t="s">
        <v>830</v>
      </c>
      <c r="P69" s="681"/>
      <c r="Q69" s="681" t="str">
        <f t="shared" si="45"/>
        <v/>
      </c>
      <c r="R69" s="692"/>
      <c r="S69" s="692"/>
      <c r="T69" s="693">
        <f t="shared" si="47"/>
        <v>0</v>
      </c>
      <c r="U69" s="684">
        <v>0.7</v>
      </c>
      <c r="V69" s="694">
        <v>0.9</v>
      </c>
      <c r="W69" s="695" t="str">
        <f t="shared" si="48"/>
        <v/>
      </c>
      <c r="X69" s="623"/>
    </row>
    <row r="70" spans="2:24" ht="15.6" x14ac:dyDescent="0.3">
      <c r="B70" s="676">
        <v>8</v>
      </c>
      <c r="C70" s="1083"/>
      <c r="D70" s="1076"/>
      <c r="E70" s="1091"/>
      <c r="F70" s="688"/>
      <c r="G70" s="1087"/>
      <c r="H70" s="1087"/>
      <c r="I70" s="1099"/>
      <c r="J70" s="1094"/>
      <c r="K70" s="1096"/>
      <c r="L70" s="1097"/>
      <c r="M70" s="669" t="s">
        <v>1802</v>
      </c>
      <c r="N70" s="681"/>
      <c r="O70" s="669" t="s">
        <v>831</v>
      </c>
      <c r="P70" s="681"/>
      <c r="Q70" s="681" t="str">
        <f t="shared" si="45"/>
        <v/>
      </c>
      <c r="R70" s="692"/>
      <c r="S70" s="692"/>
      <c r="T70" s="693">
        <f t="shared" si="47"/>
        <v>0</v>
      </c>
      <c r="U70" s="684">
        <v>0.7</v>
      </c>
      <c r="V70" s="694">
        <v>0.9</v>
      </c>
      <c r="W70" s="695" t="str">
        <f t="shared" si="48"/>
        <v/>
      </c>
      <c r="X70" s="623"/>
    </row>
    <row r="71" spans="2:24" ht="15.6" x14ac:dyDescent="0.3">
      <c r="B71" s="667">
        <v>9</v>
      </c>
      <c r="C71" s="1098">
        <v>9</v>
      </c>
      <c r="D71" s="1076" t="s">
        <v>992</v>
      </c>
      <c r="E71" s="1077"/>
      <c r="F71" s="668" t="str">
        <f>IF(E71&lt;&gt;"","?","")</f>
        <v/>
      </c>
      <c r="G71" s="1079"/>
      <c r="H71" s="1070"/>
      <c r="I71" s="1071">
        <f>IF(OR(G71="Ja",G71="JA",G71="ja",G71="Oui",G71="OUI",G71="oui"),100%,
IF(OR(G71="Nein",G71="NEIN",G71="nein",G71="Oon",G71="NON",G71="non"),0%,
IF(G71&lt;&gt;0,
IF(H71&gt;=G71,G71/H71,
IF(H71&lt;G71,H71/G71)),
0%)))</f>
        <v>0</v>
      </c>
      <c r="J71" s="1072">
        <v>0.7</v>
      </c>
      <c r="K71" s="1074">
        <v>0.9</v>
      </c>
      <c r="L71" s="1081" t="str">
        <f>IF(E71="","",IF(I71&lt;=J71,3,IF(I71&lt;=K71,2,1)))</f>
        <v/>
      </c>
      <c r="M71" s="669" t="s">
        <v>1803</v>
      </c>
      <c r="N71" s="670"/>
      <c r="O71" s="669" t="s">
        <v>833</v>
      </c>
      <c r="P71" s="670"/>
      <c r="Q71" s="670" t="str">
        <f t="shared" ref="Q71:Q78" si="51">IF(P71&lt;&gt;"","?","")</f>
        <v/>
      </c>
      <c r="R71" s="689"/>
      <c r="S71" s="689"/>
      <c r="T71" s="690">
        <f>IF(OR(R71="Ja",R71="JA",R71="ja",R71="Oui",R71="OUI",R71="oui"),100%,
IF(OR(R71="Nein",R71="NEIN",R71="nein",R71="Oon",R71="NON",R71="non"),0%,
IF(R71&lt;&gt;0,
IF(S71&gt;=R71,R71/S71,
IF(S71&lt;R71,S71/R71)),
0%)))</f>
        <v>0</v>
      </c>
      <c r="U71" s="673">
        <v>0.7</v>
      </c>
      <c r="V71" s="674">
        <v>0.9</v>
      </c>
      <c r="W71" s="691" t="str">
        <f t="shared" ref="W71:W72" si="52">IF(P71="","",IF(T71&lt;=U71,3,IF(T71&lt;=V71,2,1)))</f>
        <v/>
      </c>
      <c r="X71" s="623"/>
    </row>
    <row r="72" spans="2:24" ht="15.6" x14ac:dyDescent="0.3">
      <c r="B72" s="676">
        <v>9</v>
      </c>
      <c r="C72" s="1098"/>
      <c r="D72" s="1076"/>
      <c r="E72" s="1078"/>
      <c r="F72" s="677"/>
      <c r="G72" s="1080"/>
      <c r="H72" s="1070"/>
      <c r="I72" s="1071"/>
      <c r="J72" s="1073"/>
      <c r="K72" s="1075"/>
      <c r="L72" s="1081"/>
      <c r="M72" s="669" t="s">
        <v>1804</v>
      </c>
      <c r="N72" s="670"/>
      <c r="O72" s="669" t="s">
        <v>834</v>
      </c>
      <c r="P72" s="670"/>
      <c r="Q72" s="670" t="str">
        <f t="shared" si="51"/>
        <v/>
      </c>
      <c r="R72" s="689"/>
      <c r="S72" s="689"/>
      <c r="T72" s="690">
        <f t="shared" ref="T72:T78" si="53">IF(OR(R72="Ja",R72="JA",R72="ja",R72="Oui",R72="OUI",R72="oui"),100%,
IF(OR(R72="Nein",R72="NEIN",R72="nein",R72="Oon",R72="NON",R72="non"),0%,
IF(R72&lt;&gt;0,
IF(S72&gt;=R72,R72/S72,
IF(S72&lt;R72,S72/R72)),
0%)))</f>
        <v>0</v>
      </c>
      <c r="U72" s="673">
        <v>0.7</v>
      </c>
      <c r="V72" s="674">
        <v>0.9</v>
      </c>
      <c r="W72" s="691" t="str">
        <f t="shared" si="52"/>
        <v/>
      </c>
      <c r="X72" s="623"/>
    </row>
    <row r="73" spans="2:24" ht="15.6" x14ac:dyDescent="0.3">
      <c r="B73" s="676">
        <v>9</v>
      </c>
      <c r="C73" s="1098"/>
      <c r="D73" s="1076" t="s">
        <v>992</v>
      </c>
      <c r="E73" s="1084"/>
      <c r="F73" s="668" t="str">
        <f>IF(E73&lt;&gt;"","?","")</f>
        <v/>
      </c>
      <c r="G73" s="1070"/>
      <c r="H73" s="1070"/>
      <c r="I73" s="1071">
        <f>IF(OR(G73="Ja",G73="JA",G73="ja",G73="Oui",G73="OUI",G73="oui"),100%,
IF(OR(G73="Nein",G73="NEIN",G73="nein",G73="Oon",G73="NON",G73="non"),0%,
IF(G73&lt;&gt;0,
IF(H73&gt;=G73,G73/H73,
IF(H73&lt;G73,H73/G73)),
0%)))</f>
        <v>0</v>
      </c>
      <c r="J73" s="1072">
        <v>0.7</v>
      </c>
      <c r="K73" s="1074">
        <v>0.9</v>
      </c>
      <c r="L73" s="1081" t="str">
        <f>IF(E73="","",IF(I73&lt;=J73,3,IF(I73&lt;=K73,2,1)))</f>
        <v/>
      </c>
      <c r="M73" s="669" t="s">
        <v>1805</v>
      </c>
      <c r="N73" s="670"/>
      <c r="O73" s="669" t="s">
        <v>836</v>
      </c>
      <c r="P73" s="670"/>
      <c r="Q73" s="670" t="str">
        <f t="shared" si="51"/>
        <v/>
      </c>
      <c r="R73" s="689"/>
      <c r="S73" s="689"/>
      <c r="T73" s="690">
        <f t="shared" si="53"/>
        <v>0</v>
      </c>
      <c r="U73" s="673">
        <v>0.7</v>
      </c>
      <c r="V73" s="674">
        <v>0.9</v>
      </c>
      <c r="W73" s="691" t="str">
        <f>IF(P73="","",IF(T73&lt;=U73,3,IF(T73&lt;=V73,2,1)))</f>
        <v/>
      </c>
      <c r="X73" s="623"/>
    </row>
    <row r="74" spans="2:24" ht="15.6" x14ac:dyDescent="0.3">
      <c r="B74" s="676">
        <v>9</v>
      </c>
      <c r="C74" s="1098"/>
      <c r="D74" s="1076"/>
      <c r="E74" s="1084"/>
      <c r="F74" s="677"/>
      <c r="G74" s="1070"/>
      <c r="H74" s="1070"/>
      <c r="I74" s="1071"/>
      <c r="J74" s="1073"/>
      <c r="K74" s="1075"/>
      <c r="L74" s="1081"/>
      <c r="M74" s="669" t="s">
        <v>1806</v>
      </c>
      <c r="N74" s="670"/>
      <c r="O74" s="669" t="s">
        <v>837</v>
      </c>
      <c r="P74" s="670"/>
      <c r="Q74" s="670" t="str">
        <f t="shared" si="51"/>
        <v/>
      </c>
      <c r="R74" s="689"/>
      <c r="S74" s="689"/>
      <c r="T74" s="690">
        <f t="shared" si="53"/>
        <v>0</v>
      </c>
      <c r="U74" s="673">
        <v>0.7</v>
      </c>
      <c r="V74" s="674">
        <v>0.9</v>
      </c>
      <c r="W74" s="691" t="str">
        <f t="shared" ref="W74:W78" si="54">IF(P74="","",IF(T74&lt;=U74,3,IF(T74&lt;=V74,2,1)))</f>
        <v/>
      </c>
      <c r="X74" s="623"/>
    </row>
    <row r="75" spans="2:24" ht="15.6" x14ac:dyDescent="0.3">
      <c r="B75" s="676">
        <v>9</v>
      </c>
      <c r="C75" s="1098"/>
      <c r="D75" s="1076" t="s">
        <v>992</v>
      </c>
      <c r="E75" s="1092"/>
      <c r="F75" s="668" t="str">
        <f>IF(E75&lt;&gt;"","?","")</f>
        <v/>
      </c>
      <c r="G75" s="1070"/>
      <c r="H75" s="1070"/>
      <c r="I75" s="1071">
        <f t="shared" ref="I75" si="55">IF(OR(G75="Ja",G75="JA",G75="ja",G75="Oui",G75="OUI",G75="oui"),100%,
IF(OR(G75="Nein",G75="NEIN",G75="nein",G75="Oon",G75="NON",G75="non"),0%,
IF(G75&lt;&gt;0,
IF(H75&gt;=G75,G75/H75,
IF(H75&lt;G75,H75/G75)),
0%)))</f>
        <v>0</v>
      </c>
      <c r="J75" s="1072">
        <v>0.7</v>
      </c>
      <c r="K75" s="1074">
        <v>0.9</v>
      </c>
      <c r="L75" s="1081" t="str">
        <f>IF(E75="","",IF(I75&lt;=J75,3,IF(I75&lt;=K75,2,1)))</f>
        <v/>
      </c>
      <c r="M75" s="669" t="s">
        <v>1807</v>
      </c>
      <c r="N75" s="670"/>
      <c r="O75" s="669" t="s">
        <v>839</v>
      </c>
      <c r="P75" s="670"/>
      <c r="Q75" s="670" t="str">
        <f t="shared" si="51"/>
        <v/>
      </c>
      <c r="R75" s="689"/>
      <c r="S75" s="689"/>
      <c r="T75" s="690">
        <f t="shared" si="53"/>
        <v>0</v>
      </c>
      <c r="U75" s="673">
        <v>0.7</v>
      </c>
      <c r="V75" s="674">
        <v>0.9</v>
      </c>
      <c r="W75" s="691" t="str">
        <f t="shared" si="54"/>
        <v/>
      </c>
      <c r="X75" s="623"/>
    </row>
    <row r="76" spans="2:24" ht="15.6" x14ac:dyDescent="0.3">
      <c r="B76" s="676">
        <v>9</v>
      </c>
      <c r="C76" s="1098"/>
      <c r="D76" s="1076"/>
      <c r="E76" s="1084"/>
      <c r="F76" s="677"/>
      <c r="G76" s="1070"/>
      <c r="H76" s="1070"/>
      <c r="I76" s="1071"/>
      <c r="J76" s="1073"/>
      <c r="K76" s="1075"/>
      <c r="L76" s="1081"/>
      <c r="M76" s="669" t="s">
        <v>1808</v>
      </c>
      <c r="N76" s="670"/>
      <c r="O76" s="669" t="s">
        <v>840</v>
      </c>
      <c r="P76" s="670"/>
      <c r="Q76" s="670" t="str">
        <f t="shared" si="51"/>
        <v/>
      </c>
      <c r="R76" s="689"/>
      <c r="S76" s="689"/>
      <c r="T76" s="690">
        <f t="shared" si="53"/>
        <v>0</v>
      </c>
      <c r="U76" s="673">
        <v>0.7</v>
      </c>
      <c r="V76" s="674">
        <v>0.9</v>
      </c>
      <c r="W76" s="691" t="str">
        <f t="shared" si="54"/>
        <v/>
      </c>
      <c r="X76" s="623"/>
    </row>
    <row r="77" spans="2:24" ht="15.6" x14ac:dyDescent="0.3">
      <c r="B77" s="676">
        <v>9</v>
      </c>
      <c r="C77" s="1098"/>
      <c r="D77" s="1076" t="s">
        <v>992</v>
      </c>
      <c r="E77" s="1084"/>
      <c r="F77" s="668" t="str">
        <f>IF(E77&lt;&gt;"","?","")</f>
        <v/>
      </c>
      <c r="G77" s="1070"/>
      <c r="H77" s="1070"/>
      <c r="I77" s="1071">
        <f t="shared" ref="I77" si="56">IF(OR(G77="Ja",G77="JA",G77="ja",G77="Oui",G77="OUI",G77="oui"),100%,
IF(OR(G77="Nein",G77="NEIN",G77="nein",G77="Oon",G77="NON",G77="non"),0%,
IF(G77&lt;&gt;0,
IF(H77&gt;=G77,G77/H77,
IF(H77&lt;G77,H77/G77)),
0%)))</f>
        <v>0</v>
      </c>
      <c r="J77" s="1072">
        <v>0.7</v>
      </c>
      <c r="K77" s="1074">
        <v>0.9</v>
      </c>
      <c r="L77" s="1081" t="str">
        <f>IF(E77="","",IF(I77&lt;=J77,3,IF(I77&lt;=K77,2,1)))</f>
        <v/>
      </c>
      <c r="M77" s="669" t="s">
        <v>1809</v>
      </c>
      <c r="N77" s="670"/>
      <c r="O77" s="669" t="s">
        <v>842</v>
      </c>
      <c r="P77" s="670"/>
      <c r="Q77" s="670" t="str">
        <f t="shared" si="51"/>
        <v/>
      </c>
      <c r="R77" s="689"/>
      <c r="S77" s="689"/>
      <c r="T77" s="690">
        <f t="shared" si="53"/>
        <v>0</v>
      </c>
      <c r="U77" s="673">
        <v>0.7</v>
      </c>
      <c r="V77" s="674">
        <v>0.9</v>
      </c>
      <c r="W77" s="691" t="str">
        <f t="shared" si="54"/>
        <v/>
      </c>
      <c r="X77" s="623"/>
    </row>
    <row r="78" spans="2:24" ht="15.6" x14ac:dyDescent="0.3">
      <c r="B78" s="676">
        <v>9</v>
      </c>
      <c r="C78" s="1098"/>
      <c r="D78" s="1076"/>
      <c r="E78" s="1084"/>
      <c r="F78" s="679"/>
      <c r="G78" s="1070"/>
      <c r="H78" s="1070"/>
      <c r="I78" s="1082"/>
      <c r="J78" s="1073"/>
      <c r="K78" s="1075"/>
      <c r="L78" s="1081"/>
      <c r="M78" s="669" t="s">
        <v>1810</v>
      </c>
      <c r="N78" s="670"/>
      <c r="O78" s="669" t="s">
        <v>843</v>
      </c>
      <c r="P78" s="670"/>
      <c r="Q78" s="670" t="str">
        <f t="shared" si="51"/>
        <v/>
      </c>
      <c r="R78" s="689"/>
      <c r="S78" s="689"/>
      <c r="T78" s="690">
        <f t="shared" si="53"/>
        <v>0</v>
      </c>
      <c r="U78" s="673">
        <v>0.7</v>
      </c>
      <c r="V78" s="674">
        <v>0.9</v>
      </c>
      <c r="W78" s="691" t="str">
        <f t="shared" si="54"/>
        <v/>
      </c>
      <c r="X78" s="623"/>
    </row>
    <row r="79" spans="2:24" ht="15.6" x14ac:dyDescent="0.3">
      <c r="B79" s="667">
        <v>10</v>
      </c>
      <c r="C79" s="1083">
        <v>10</v>
      </c>
      <c r="D79" s="1076" t="s">
        <v>992</v>
      </c>
      <c r="E79" s="1100"/>
      <c r="F79" s="680"/>
      <c r="G79" s="1085"/>
      <c r="H79" s="1087"/>
      <c r="I79" s="1088"/>
      <c r="J79" s="1093"/>
      <c r="K79" s="1095"/>
      <c r="L79" s="1097"/>
      <c r="M79" s="669" t="s">
        <v>1811</v>
      </c>
      <c r="N79" s="681"/>
      <c r="O79" s="669" t="s">
        <v>845</v>
      </c>
      <c r="P79" s="681"/>
      <c r="Q79" s="681"/>
      <c r="R79" s="692"/>
      <c r="S79" s="692"/>
      <c r="T79" s="693"/>
      <c r="U79" s="684"/>
      <c r="V79" s="685"/>
      <c r="W79" s="695"/>
      <c r="X79" s="623"/>
    </row>
    <row r="80" spans="2:24" ht="15.6" x14ac:dyDescent="0.3">
      <c r="B80" s="676">
        <v>10</v>
      </c>
      <c r="C80" s="1083">
        <v>10</v>
      </c>
      <c r="D80" s="1076"/>
      <c r="E80" s="1101"/>
      <c r="F80" s="687" t="str">
        <f>IF(E80&lt;&gt;"","?","")</f>
        <v/>
      </c>
      <c r="G80" s="1086"/>
      <c r="H80" s="1087"/>
      <c r="I80" s="1088">
        <f>IF(OR(G80="Ja",G80="JA",G80="ja",G80="Oui",G80="OUI",G80="oui"),100%,
IF(OR(G80="Nein",G80="NEIN",G80="nein",G80="Oon",G80="NON",G80="non"),0%,
IF(G80&lt;&gt;0,
IF(H80&gt;=G80,G80/H80,
IF(H80&lt;G80,H80/G80)),
0%)))</f>
        <v>0</v>
      </c>
      <c r="J80" s="1094">
        <v>0.7</v>
      </c>
      <c r="K80" s="1096">
        <v>0.9</v>
      </c>
      <c r="L80" s="1097" t="str">
        <f>IF(E80="","",IF(I80&lt;=J80,3,IF(I80&lt;=K80,2,1)))</f>
        <v/>
      </c>
      <c r="M80" s="669" t="s">
        <v>1812</v>
      </c>
      <c r="N80" s="681"/>
      <c r="O80" s="669" t="s">
        <v>846</v>
      </c>
      <c r="P80" s="681"/>
      <c r="Q80" s="681" t="str">
        <f t="shared" ref="Q80:Q86" si="57">IF(P80&lt;&gt;"","?","")</f>
        <v/>
      </c>
      <c r="R80" s="692"/>
      <c r="S80" s="692"/>
      <c r="T80" s="693">
        <f>IF(OR(R80="Ja",R80="JA",R80="ja",R80="Oui",R80="OUI",R80="oui"),100%,
IF(OR(R80="Nein",R80="NEIN",R80="nein",R80="Oon",R80="NON",R80="non"),0%,
IF(R80&lt;&gt;0,
IF(S80&gt;=R80,R80/S80,
IF(S80&lt;R80,S80/R80)),
0%)))</f>
        <v>0</v>
      </c>
      <c r="U80" s="684">
        <v>0.7</v>
      </c>
      <c r="V80" s="685">
        <v>0.9</v>
      </c>
      <c r="W80" s="695" t="str">
        <f t="shared" ref="W80:W81" si="58">IF(P80="","",IF(T80&lt;=U80,3,IF(T80&lt;=V80,2,1)))</f>
        <v/>
      </c>
      <c r="X80" s="623"/>
    </row>
    <row r="81" spans="1:24" ht="15.6" x14ac:dyDescent="0.3">
      <c r="B81" s="676">
        <v>10</v>
      </c>
      <c r="C81" s="1083"/>
      <c r="D81" s="1076" t="s">
        <v>992</v>
      </c>
      <c r="E81" s="1091"/>
      <c r="F81" s="680"/>
      <c r="G81" s="1087"/>
      <c r="H81" s="1087"/>
      <c r="I81" s="1088"/>
      <c r="J81" s="1093"/>
      <c r="K81" s="1095"/>
      <c r="L81" s="1097"/>
      <c r="M81" s="669" t="s">
        <v>1813</v>
      </c>
      <c r="N81" s="681"/>
      <c r="O81" s="669" t="s">
        <v>848</v>
      </c>
      <c r="P81" s="681"/>
      <c r="Q81" s="681" t="str">
        <f t="shared" si="57"/>
        <v/>
      </c>
      <c r="R81" s="692"/>
      <c r="S81" s="692"/>
      <c r="T81" s="693">
        <f t="shared" ref="T81:T86" si="59">IF(OR(R81="Ja",R81="JA",R81="ja",R81="Oui",R81="OUI",R81="oui"),100%,
IF(OR(R81="Nein",R81="NEIN",R81="nein",R81="Oon",R81="NON",R81="non"),0%,
IF(R81&lt;&gt;0,
IF(S81&gt;=R81,R81/S81,
IF(S81&lt;R81,S81/R81)),
0%)))</f>
        <v>0</v>
      </c>
      <c r="U81" s="684">
        <v>0.7</v>
      </c>
      <c r="V81" s="685">
        <v>0.9</v>
      </c>
      <c r="W81" s="695" t="str">
        <f t="shared" si="58"/>
        <v/>
      </c>
      <c r="X81" s="623"/>
    </row>
    <row r="82" spans="1:24" ht="15.6" x14ac:dyDescent="0.3">
      <c r="B82" s="676">
        <v>10</v>
      </c>
      <c r="C82" s="1083"/>
      <c r="D82" s="1076"/>
      <c r="E82" s="1091"/>
      <c r="F82" s="687" t="str">
        <f>IF(E82&lt;&gt;"","?","")</f>
        <v/>
      </c>
      <c r="G82" s="1087"/>
      <c r="H82" s="1087"/>
      <c r="I82" s="1088">
        <f>IF(OR(G82="Ja",G82="JA",G82="ja",G82="Oui",G82="OUI",G82="oui"),100%,
IF(OR(G82="Nein",G82="NEIN",G82="nein",G82="Oon",G82="NON",G82="non"),0%,
IF(G82&lt;&gt;0,
IF(H82&gt;=G82,G82/H82,
IF(H82&lt;G82,H82/G82)),
0%)))</f>
        <v>0</v>
      </c>
      <c r="J82" s="1094">
        <v>0.7</v>
      </c>
      <c r="K82" s="1096">
        <v>0.9</v>
      </c>
      <c r="L82" s="1097" t="str">
        <f>IF(E82="","",IF(I82&lt;=J82,3,IF(I82&lt;=K82,2,1)))</f>
        <v/>
      </c>
      <c r="M82" s="669" t="s">
        <v>1814</v>
      </c>
      <c r="N82" s="681"/>
      <c r="O82" s="669" t="s">
        <v>849</v>
      </c>
      <c r="P82" s="681"/>
      <c r="Q82" s="681" t="str">
        <f t="shared" si="57"/>
        <v/>
      </c>
      <c r="R82" s="692"/>
      <c r="S82" s="692"/>
      <c r="T82" s="693">
        <f t="shared" si="59"/>
        <v>0</v>
      </c>
      <c r="U82" s="684">
        <v>0.7</v>
      </c>
      <c r="V82" s="685">
        <v>0.9</v>
      </c>
      <c r="W82" s="695" t="str">
        <f>IF(P82="","",IF(T82&lt;=U82,3,IF(T82&lt;=V82,2,1)))</f>
        <v/>
      </c>
      <c r="X82" s="623"/>
    </row>
    <row r="83" spans="1:24" ht="15.6" x14ac:dyDescent="0.3">
      <c r="B83" s="676">
        <v>10</v>
      </c>
      <c r="C83" s="1083"/>
      <c r="D83" s="1076" t="s">
        <v>992</v>
      </c>
      <c r="E83" s="1090"/>
      <c r="F83" s="680"/>
      <c r="G83" s="1087"/>
      <c r="H83" s="1087"/>
      <c r="I83" s="1088"/>
      <c r="J83" s="1093"/>
      <c r="K83" s="1095"/>
      <c r="L83" s="1097"/>
      <c r="M83" s="669" t="s">
        <v>1815</v>
      </c>
      <c r="N83" s="681"/>
      <c r="O83" s="669" t="s">
        <v>851</v>
      </c>
      <c r="P83" s="681"/>
      <c r="Q83" s="681" t="str">
        <f t="shared" si="57"/>
        <v/>
      </c>
      <c r="R83" s="692"/>
      <c r="S83" s="692"/>
      <c r="T83" s="693">
        <f t="shared" si="59"/>
        <v>0</v>
      </c>
      <c r="U83" s="684">
        <v>0.7</v>
      </c>
      <c r="V83" s="685">
        <v>0.9</v>
      </c>
      <c r="W83" s="695" t="str">
        <f t="shared" ref="W83:W86" si="60">IF(P83="","",IF(T83&lt;=U83,3,IF(T83&lt;=V83,2,1)))</f>
        <v/>
      </c>
      <c r="X83" s="623"/>
    </row>
    <row r="84" spans="1:24" ht="15.6" x14ac:dyDescent="0.3">
      <c r="B84" s="676">
        <v>10</v>
      </c>
      <c r="C84" s="1083"/>
      <c r="D84" s="1076"/>
      <c r="E84" s="1091"/>
      <c r="F84" s="687" t="str">
        <f>IF(E84&lt;&gt;"","?","")</f>
        <v/>
      </c>
      <c r="G84" s="1087"/>
      <c r="H84" s="1087"/>
      <c r="I84" s="1088">
        <f t="shared" ref="I84" si="61">IF(OR(G84="Ja",G84="JA",G84="ja",G84="Oui",G84="OUI",G84="oui"),100%,
IF(OR(G84="Nein",G84="NEIN",G84="nein",G84="Oon",G84="NON",G84="non"),0%,
IF(G84&lt;&gt;0,
IF(H84&gt;=G84,G84/H84,
IF(H84&lt;G84,H84/G84)),
0%)))</f>
        <v>0</v>
      </c>
      <c r="J84" s="1094">
        <v>0.7</v>
      </c>
      <c r="K84" s="1096">
        <v>0.9</v>
      </c>
      <c r="L84" s="1097" t="str">
        <f>IF(E84="","",IF(I84&lt;=J84,3,IF(I84&lt;=K84,2,1)))</f>
        <v/>
      </c>
      <c r="M84" s="669" t="s">
        <v>1816</v>
      </c>
      <c r="N84" s="681"/>
      <c r="O84" s="669" t="s">
        <v>852</v>
      </c>
      <c r="P84" s="681"/>
      <c r="Q84" s="681" t="str">
        <f t="shared" si="57"/>
        <v/>
      </c>
      <c r="R84" s="692"/>
      <c r="S84" s="692"/>
      <c r="T84" s="693">
        <f t="shared" si="59"/>
        <v>0</v>
      </c>
      <c r="U84" s="684">
        <v>0.7</v>
      </c>
      <c r="V84" s="685">
        <v>0.9</v>
      </c>
      <c r="W84" s="695" t="str">
        <f t="shared" si="60"/>
        <v/>
      </c>
      <c r="X84" s="623"/>
    </row>
    <row r="85" spans="1:24" ht="15.6" x14ac:dyDescent="0.3">
      <c r="B85" s="676">
        <v>10</v>
      </c>
      <c r="C85" s="1083"/>
      <c r="D85" s="1076" t="s">
        <v>992</v>
      </c>
      <c r="E85" s="1091"/>
      <c r="F85" s="680"/>
      <c r="G85" s="1087"/>
      <c r="H85" s="1087"/>
      <c r="I85" s="1088"/>
      <c r="J85" s="1093"/>
      <c r="K85" s="1095"/>
      <c r="L85" s="1097"/>
      <c r="M85" s="669" t="s">
        <v>1817</v>
      </c>
      <c r="N85" s="681"/>
      <c r="O85" s="669" t="s">
        <v>854</v>
      </c>
      <c r="P85" s="681"/>
      <c r="Q85" s="681" t="str">
        <f t="shared" si="57"/>
        <v/>
      </c>
      <c r="R85" s="692"/>
      <c r="S85" s="692"/>
      <c r="T85" s="693">
        <f t="shared" si="59"/>
        <v>0</v>
      </c>
      <c r="U85" s="684">
        <v>0.7</v>
      </c>
      <c r="V85" s="685">
        <v>0.9</v>
      </c>
      <c r="W85" s="695" t="str">
        <f t="shared" si="60"/>
        <v/>
      </c>
      <c r="X85" s="623"/>
    </row>
    <row r="86" spans="1:24" ht="15.6" x14ac:dyDescent="0.3">
      <c r="B86" s="676">
        <v>10</v>
      </c>
      <c r="C86" s="1083"/>
      <c r="D86" s="1076"/>
      <c r="E86" s="1091"/>
      <c r="F86" s="688" t="str">
        <f>IF(E86&lt;&gt;"","?","")</f>
        <v/>
      </c>
      <c r="G86" s="1087"/>
      <c r="H86" s="1087"/>
      <c r="I86" s="1099">
        <f t="shared" ref="I86" si="62">IF(OR(G86="Ja",G86="JA",G86="ja",G86="Oui",G86="OUI",G86="oui"),100%,
IF(OR(G86="Nein",G86="NEIN",G86="nein",G86="Oon",G86="NON",G86="non"),0%,
IF(G86&lt;&gt;0,
IF(H86&gt;=G86,G86/H86,
IF(H86&lt;G86,H86/G86)),
0%)))</f>
        <v>0</v>
      </c>
      <c r="J86" s="1094">
        <v>0.7</v>
      </c>
      <c r="K86" s="1096">
        <v>0.9</v>
      </c>
      <c r="L86" s="1097" t="str">
        <f>IF(E86="","",IF(I86&lt;=J86,3,IF(I86&lt;=K86,2,1)))</f>
        <v/>
      </c>
      <c r="M86" s="669" t="s">
        <v>1818</v>
      </c>
      <c r="N86" s="681"/>
      <c r="O86" s="669" t="s">
        <v>855</v>
      </c>
      <c r="P86" s="681"/>
      <c r="Q86" s="681" t="str">
        <f t="shared" si="57"/>
        <v/>
      </c>
      <c r="R86" s="692"/>
      <c r="S86" s="692"/>
      <c r="T86" s="693">
        <f t="shared" si="59"/>
        <v>0</v>
      </c>
      <c r="U86" s="684">
        <v>0.7</v>
      </c>
      <c r="V86" s="685">
        <v>0.9</v>
      </c>
      <c r="W86" s="695" t="str">
        <f t="shared" si="60"/>
        <v/>
      </c>
      <c r="X86" s="623"/>
    </row>
    <row r="87" spans="1:24" ht="15.6" x14ac:dyDescent="0.3">
      <c r="A87" s="633" t="str">
        <f>IF($C$87="","","ok")</f>
        <v>ok</v>
      </c>
      <c r="C87" s="638" t="s">
        <v>1776</v>
      </c>
      <c r="H87" s="700"/>
      <c r="I87" s="700"/>
      <c r="J87" s="700"/>
      <c r="K87" s="700"/>
      <c r="L87" s="701"/>
      <c r="M87" s="697"/>
      <c r="N87" s="702"/>
      <c r="O87" s="703"/>
      <c r="P87" s="702"/>
      <c r="Q87" s="702"/>
      <c r="R87" s="700"/>
      <c r="S87" s="700"/>
      <c r="T87" s="700"/>
      <c r="U87" s="700"/>
      <c r="V87" s="700"/>
      <c r="W87" s="701"/>
    </row>
    <row r="88" spans="1:24" ht="18.75" customHeight="1" x14ac:dyDescent="0.3">
      <c r="H88" s="700"/>
      <c r="I88" s="700"/>
      <c r="J88" s="700"/>
      <c r="K88" s="700"/>
      <c r="L88" s="701"/>
      <c r="M88" s="697"/>
      <c r="N88" s="702"/>
      <c r="O88" s="703"/>
      <c r="P88" s="702"/>
      <c r="Q88" s="702"/>
      <c r="R88" s="700"/>
      <c r="S88" s="700"/>
      <c r="T88" s="700"/>
      <c r="U88" s="700"/>
      <c r="V88" s="700"/>
      <c r="W88" s="701"/>
    </row>
    <row r="89" spans="1:24" ht="18.75" customHeight="1" x14ac:dyDescent="0.3">
      <c r="H89" s="700"/>
      <c r="I89" s="700"/>
      <c r="J89" s="700"/>
      <c r="K89" s="700"/>
      <c r="L89" s="701"/>
      <c r="M89" s="697"/>
      <c r="N89" s="702"/>
      <c r="O89" s="703"/>
      <c r="P89" s="702"/>
      <c r="Q89" s="702"/>
      <c r="R89" s="700"/>
      <c r="S89" s="700"/>
      <c r="T89" s="700"/>
      <c r="U89" s="700"/>
      <c r="V89" s="700"/>
      <c r="W89" s="701"/>
    </row>
    <row r="90" spans="1:24" ht="18.75" customHeight="1" x14ac:dyDescent="0.3">
      <c r="H90" s="700"/>
      <c r="I90" s="700"/>
      <c r="J90" s="700"/>
      <c r="K90" s="700"/>
      <c r="L90" s="701"/>
      <c r="M90" s="697"/>
      <c r="N90" s="702"/>
      <c r="O90" s="703"/>
      <c r="P90" s="702"/>
      <c r="Q90" s="702"/>
      <c r="R90" s="700"/>
      <c r="S90" s="700"/>
      <c r="T90" s="700"/>
      <c r="U90" s="700"/>
      <c r="V90" s="700"/>
      <c r="W90" s="701"/>
    </row>
    <row r="91" spans="1:24" ht="18.75" customHeight="1" x14ac:dyDescent="0.3">
      <c r="H91" s="700"/>
      <c r="I91" s="700"/>
      <c r="J91" s="700"/>
      <c r="K91" s="700"/>
      <c r="L91" s="701"/>
      <c r="M91" s="697"/>
      <c r="N91" s="702"/>
      <c r="O91" s="703"/>
      <c r="P91" s="702"/>
      <c r="Q91" s="702"/>
      <c r="R91" s="700"/>
      <c r="S91" s="700"/>
      <c r="T91" s="700"/>
      <c r="U91" s="700"/>
      <c r="V91" s="700"/>
      <c r="W91" s="701"/>
    </row>
    <row r="92" spans="1:24" ht="18.75" customHeight="1" x14ac:dyDescent="0.3">
      <c r="H92" s="700"/>
      <c r="I92" s="700"/>
      <c r="J92" s="700"/>
      <c r="K92" s="700"/>
      <c r="L92" s="701"/>
      <c r="M92" s="697"/>
      <c r="N92" s="702"/>
      <c r="O92" s="703"/>
      <c r="P92" s="702"/>
      <c r="Q92" s="702"/>
      <c r="R92" s="700"/>
      <c r="S92" s="700"/>
      <c r="T92" s="700"/>
      <c r="U92" s="700"/>
      <c r="V92" s="700"/>
      <c r="W92" s="701"/>
    </row>
  </sheetData>
  <sheetProtection sheet="1" objects="1" scenarios="1" formatCells="0" formatColumns="0" formatRows="0" insertHyperlinks="0" selectLockedCells="1" sort="0" autoFilter="0"/>
  <autoFilter ref="A6:W87" xr:uid="{00000000-0009-0000-0000-000013000000}"/>
  <mergeCells count="330">
    <mergeCell ref="J85:J86"/>
    <mergeCell ref="K85:K86"/>
    <mergeCell ref="L85:L86"/>
    <mergeCell ref="J79:J80"/>
    <mergeCell ref="K79:K80"/>
    <mergeCell ref="L79:L80"/>
    <mergeCell ref="J81:J82"/>
    <mergeCell ref="K81:K82"/>
    <mergeCell ref="L81:L82"/>
    <mergeCell ref="G83:G84"/>
    <mergeCell ref="H83:H84"/>
    <mergeCell ref="I83:I84"/>
    <mergeCell ref="J83:J84"/>
    <mergeCell ref="K83:K84"/>
    <mergeCell ref="L83:L84"/>
    <mergeCell ref="C79:C86"/>
    <mergeCell ref="D79:D80"/>
    <mergeCell ref="E79:E80"/>
    <mergeCell ref="G79:G80"/>
    <mergeCell ref="H79:H80"/>
    <mergeCell ref="I79:I80"/>
    <mergeCell ref="D81:D82"/>
    <mergeCell ref="E81:E82"/>
    <mergeCell ref="G81:G82"/>
    <mergeCell ref="H81:H82"/>
    <mergeCell ref="I81:I82"/>
    <mergeCell ref="D83:D84"/>
    <mergeCell ref="E83:E84"/>
    <mergeCell ref="D85:D86"/>
    <mergeCell ref="E85:E86"/>
    <mergeCell ref="G85:G86"/>
    <mergeCell ref="H85:H86"/>
    <mergeCell ref="I85:I86"/>
    <mergeCell ref="I73:I74"/>
    <mergeCell ref="J73:J74"/>
    <mergeCell ref="K73:K74"/>
    <mergeCell ref="L73:L74"/>
    <mergeCell ref="K75:K76"/>
    <mergeCell ref="L75:L76"/>
    <mergeCell ref="D77:D78"/>
    <mergeCell ref="E77:E78"/>
    <mergeCell ref="G77:G78"/>
    <mergeCell ref="H77:H78"/>
    <mergeCell ref="I77:I78"/>
    <mergeCell ref="J77:J78"/>
    <mergeCell ref="K77:K78"/>
    <mergeCell ref="L77:L78"/>
    <mergeCell ref="D75:D76"/>
    <mergeCell ref="E75:E76"/>
    <mergeCell ref="G75:G76"/>
    <mergeCell ref="H75:H76"/>
    <mergeCell ref="I75:I76"/>
    <mergeCell ref="J75:J76"/>
    <mergeCell ref="J67:J68"/>
    <mergeCell ref="K67:K68"/>
    <mergeCell ref="L67:L68"/>
    <mergeCell ref="K69:K70"/>
    <mergeCell ref="L69:L70"/>
    <mergeCell ref="C71:C78"/>
    <mergeCell ref="D71:D72"/>
    <mergeCell ref="E71:E72"/>
    <mergeCell ref="G71:G72"/>
    <mergeCell ref="H71:H72"/>
    <mergeCell ref="I71:I72"/>
    <mergeCell ref="J71:J72"/>
    <mergeCell ref="K71:K72"/>
    <mergeCell ref="D69:D70"/>
    <mergeCell ref="E69:E70"/>
    <mergeCell ref="G69:G70"/>
    <mergeCell ref="H69:H70"/>
    <mergeCell ref="I69:I70"/>
    <mergeCell ref="J69:J70"/>
    <mergeCell ref="L71:L72"/>
    <mergeCell ref="D73:D74"/>
    <mergeCell ref="E73:E74"/>
    <mergeCell ref="G73:G74"/>
    <mergeCell ref="H73:H74"/>
    <mergeCell ref="J63:J64"/>
    <mergeCell ref="K63:K64"/>
    <mergeCell ref="L63:L64"/>
    <mergeCell ref="D65:D66"/>
    <mergeCell ref="E65:E66"/>
    <mergeCell ref="G65:G66"/>
    <mergeCell ref="H65:H66"/>
    <mergeCell ref="I65:I66"/>
    <mergeCell ref="J65:J66"/>
    <mergeCell ref="K65:K66"/>
    <mergeCell ref="L65:L66"/>
    <mergeCell ref="C63:C70"/>
    <mergeCell ref="D63:D64"/>
    <mergeCell ref="E63:E64"/>
    <mergeCell ref="G63:G64"/>
    <mergeCell ref="H63:H64"/>
    <mergeCell ref="I63:I64"/>
    <mergeCell ref="C55:C62"/>
    <mergeCell ref="D61:D62"/>
    <mergeCell ref="E61:E62"/>
    <mergeCell ref="G61:G62"/>
    <mergeCell ref="H61:H62"/>
    <mergeCell ref="D67:D68"/>
    <mergeCell ref="E67:E68"/>
    <mergeCell ref="G67:G68"/>
    <mergeCell ref="H67:H68"/>
    <mergeCell ref="I67:I68"/>
    <mergeCell ref="D59:D60"/>
    <mergeCell ref="E59:E60"/>
    <mergeCell ref="G59:G60"/>
    <mergeCell ref="H59:H60"/>
    <mergeCell ref="I59:I60"/>
    <mergeCell ref="D57:D58"/>
    <mergeCell ref="E57:E58"/>
    <mergeCell ref="G57:G58"/>
    <mergeCell ref="J59:J60"/>
    <mergeCell ref="K59:K60"/>
    <mergeCell ref="L59:L60"/>
    <mergeCell ref="I61:I62"/>
    <mergeCell ref="J61:J62"/>
    <mergeCell ref="K61:K62"/>
    <mergeCell ref="L61:L62"/>
    <mergeCell ref="J55:J56"/>
    <mergeCell ref="K55:K56"/>
    <mergeCell ref="L55:L56"/>
    <mergeCell ref="L57:L58"/>
    <mergeCell ref="H57:H58"/>
    <mergeCell ref="I57:I58"/>
    <mergeCell ref="J57:J58"/>
    <mergeCell ref="K57:K58"/>
    <mergeCell ref="D55:D56"/>
    <mergeCell ref="E55:E56"/>
    <mergeCell ref="G55:G56"/>
    <mergeCell ref="H55:H56"/>
    <mergeCell ref="I55:I56"/>
    <mergeCell ref="I49:I50"/>
    <mergeCell ref="J49:J50"/>
    <mergeCell ref="K49:K50"/>
    <mergeCell ref="L49:L50"/>
    <mergeCell ref="K51:K52"/>
    <mergeCell ref="L51:L52"/>
    <mergeCell ref="D53:D54"/>
    <mergeCell ref="E53:E54"/>
    <mergeCell ref="G53:G54"/>
    <mergeCell ref="H53:H54"/>
    <mergeCell ref="I53:I54"/>
    <mergeCell ref="J53:J54"/>
    <mergeCell ref="K53:K54"/>
    <mergeCell ref="L53:L54"/>
    <mergeCell ref="D51:D52"/>
    <mergeCell ref="E51:E52"/>
    <mergeCell ref="G51:G52"/>
    <mergeCell ref="H51:H52"/>
    <mergeCell ref="I51:I52"/>
    <mergeCell ref="J51:J52"/>
    <mergeCell ref="J43:J44"/>
    <mergeCell ref="K43:K44"/>
    <mergeCell ref="L43:L44"/>
    <mergeCell ref="K45:K46"/>
    <mergeCell ref="L45:L46"/>
    <mergeCell ref="C47:C54"/>
    <mergeCell ref="D47:D48"/>
    <mergeCell ref="E47:E48"/>
    <mergeCell ref="G47:G48"/>
    <mergeCell ref="H47:H48"/>
    <mergeCell ref="I47:I48"/>
    <mergeCell ref="J47:J48"/>
    <mergeCell ref="K47:K48"/>
    <mergeCell ref="D45:D46"/>
    <mergeCell ref="E45:E46"/>
    <mergeCell ref="G45:G46"/>
    <mergeCell ref="H45:H46"/>
    <mergeCell ref="I45:I46"/>
    <mergeCell ref="J45:J46"/>
    <mergeCell ref="L47:L48"/>
    <mergeCell ref="D49:D50"/>
    <mergeCell ref="E49:E50"/>
    <mergeCell ref="G49:G50"/>
    <mergeCell ref="H49:H50"/>
    <mergeCell ref="J39:J40"/>
    <mergeCell ref="K39:K40"/>
    <mergeCell ref="L39:L40"/>
    <mergeCell ref="D41:D42"/>
    <mergeCell ref="E41:E42"/>
    <mergeCell ref="G41:G42"/>
    <mergeCell ref="H41:H42"/>
    <mergeCell ref="I41:I42"/>
    <mergeCell ref="J41:J42"/>
    <mergeCell ref="K41:K42"/>
    <mergeCell ref="L41:L42"/>
    <mergeCell ref="C39:C46"/>
    <mergeCell ref="D39:D40"/>
    <mergeCell ref="E39:E40"/>
    <mergeCell ref="G39:G40"/>
    <mergeCell ref="H39:H40"/>
    <mergeCell ref="I39:I40"/>
    <mergeCell ref="C31:C38"/>
    <mergeCell ref="D37:D38"/>
    <mergeCell ref="E37:E38"/>
    <mergeCell ref="G37:G38"/>
    <mergeCell ref="H37:H38"/>
    <mergeCell ref="D43:D44"/>
    <mergeCell ref="E43:E44"/>
    <mergeCell ref="G43:G44"/>
    <mergeCell ref="H43:H44"/>
    <mergeCell ref="I43:I44"/>
    <mergeCell ref="D35:D36"/>
    <mergeCell ref="E35:E36"/>
    <mergeCell ref="G35:G36"/>
    <mergeCell ref="H35:H36"/>
    <mergeCell ref="I35:I36"/>
    <mergeCell ref="D33:D34"/>
    <mergeCell ref="E33:E34"/>
    <mergeCell ref="G33:G34"/>
    <mergeCell ref="J35:J36"/>
    <mergeCell ref="K35:K36"/>
    <mergeCell ref="L35:L36"/>
    <mergeCell ref="I37:I38"/>
    <mergeCell ref="J37:J38"/>
    <mergeCell ref="K37:K38"/>
    <mergeCell ref="L37:L38"/>
    <mergeCell ref="J31:J32"/>
    <mergeCell ref="K31:K32"/>
    <mergeCell ref="L31:L32"/>
    <mergeCell ref="L33:L34"/>
    <mergeCell ref="H33:H34"/>
    <mergeCell ref="I33:I34"/>
    <mergeCell ref="J33:J34"/>
    <mergeCell ref="K33:K34"/>
    <mergeCell ref="D31:D32"/>
    <mergeCell ref="E31:E32"/>
    <mergeCell ref="G31:G32"/>
    <mergeCell ref="H31:H32"/>
    <mergeCell ref="I31:I32"/>
    <mergeCell ref="I25:I26"/>
    <mergeCell ref="J25:J26"/>
    <mergeCell ref="K25:K26"/>
    <mergeCell ref="L25:L26"/>
    <mergeCell ref="K27:K28"/>
    <mergeCell ref="L27:L28"/>
    <mergeCell ref="D29:D30"/>
    <mergeCell ref="E29:E30"/>
    <mergeCell ref="G29:G30"/>
    <mergeCell ref="H29:H30"/>
    <mergeCell ref="I29:I30"/>
    <mergeCell ref="J29:J30"/>
    <mergeCell ref="K29:K30"/>
    <mergeCell ref="L29:L30"/>
    <mergeCell ref="D27:D28"/>
    <mergeCell ref="E27:E28"/>
    <mergeCell ref="G27:G28"/>
    <mergeCell ref="H27:H28"/>
    <mergeCell ref="I27:I28"/>
    <mergeCell ref="J27:J28"/>
    <mergeCell ref="J19:J20"/>
    <mergeCell ref="K19:K20"/>
    <mergeCell ref="L19:L20"/>
    <mergeCell ref="K21:K22"/>
    <mergeCell ref="L21:L22"/>
    <mergeCell ref="C23:C30"/>
    <mergeCell ref="D23:D24"/>
    <mergeCell ref="E23:E24"/>
    <mergeCell ref="G23:G24"/>
    <mergeCell ref="H23:H24"/>
    <mergeCell ref="I23:I24"/>
    <mergeCell ref="J23:J24"/>
    <mergeCell ref="K23:K24"/>
    <mergeCell ref="D21:D22"/>
    <mergeCell ref="E21:E22"/>
    <mergeCell ref="G21:G22"/>
    <mergeCell ref="H21:H22"/>
    <mergeCell ref="I21:I22"/>
    <mergeCell ref="J21:J22"/>
    <mergeCell ref="L23:L24"/>
    <mergeCell ref="D25:D26"/>
    <mergeCell ref="E25:E26"/>
    <mergeCell ref="G25:G26"/>
    <mergeCell ref="H25:H26"/>
    <mergeCell ref="J15:J16"/>
    <mergeCell ref="K15:K16"/>
    <mergeCell ref="L15:L16"/>
    <mergeCell ref="D17:D18"/>
    <mergeCell ref="E17:E18"/>
    <mergeCell ref="G17:G18"/>
    <mergeCell ref="H17:H18"/>
    <mergeCell ref="I17:I18"/>
    <mergeCell ref="J17:J18"/>
    <mergeCell ref="K17:K18"/>
    <mergeCell ref="L17:L18"/>
    <mergeCell ref="C15:C22"/>
    <mergeCell ref="D15:D16"/>
    <mergeCell ref="E15:E16"/>
    <mergeCell ref="G15:G16"/>
    <mergeCell ref="H15:H16"/>
    <mergeCell ref="I15:I16"/>
    <mergeCell ref="C7:C14"/>
    <mergeCell ref="D13:D14"/>
    <mergeCell ref="E13:E14"/>
    <mergeCell ref="G13:G14"/>
    <mergeCell ref="H13:H14"/>
    <mergeCell ref="D19:D20"/>
    <mergeCell ref="E19:E20"/>
    <mergeCell ref="G19:G20"/>
    <mergeCell ref="H19:H20"/>
    <mergeCell ref="I19:I20"/>
    <mergeCell ref="D11:D12"/>
    <mergeCell ref="E11:E12"/>
    <mergeCell ref="G11:G12"/>
    <mergeCell ref="H11:H12"/>
    <mergeCell ref="I11:I12"/>
    <mergeCell ref="D9:D10"/>
    <mergeCell ref="E9:E10"/>
    <mergeCell ref="G9:G10"/>
    <mergeCell ref="J11:J12"/>
    <mergeCell ref="K11:K12"/>
    <mergeCell ref="L11:L12"/>
    <mergeCell ref="I13:I14"/>
    <mergeCell ref="J13:J14"/>
    <mergeCell ref="K13:K14"/>
    <mergeCell ref="L13:L14"/>
    <mergeCell ref="J7:J8"/>
    <mergeCell ref="K7:K8"/>
    <mergeCell ref="L7:L8"/>
    <mergeCell ref="L9:L10"/>
    <mergeCell ref="H9:H10"/>
    <mergeCell ref="I9:I10"/>
    <mergeCell ref="J9:J10"/>
    <mergeCell ref="K9:K10"/>
    <mergeCell ref="D7:D8"/>
    <mergeCell ref="E7:E8"/>
    <mergeCell ref="G7:G8"/>
    <mergeCell ref="H7:H8"/>
    <mergeCell ref="I7:I8"/>
  </mergeCells>
  <conditionalFormatting sqref="C7:C86 E7:I86 L7:L86">
    <cfRule type="expression" dxfId="94" priority="11">
      <formula>$B7=1</formula>
    </cfRule>
    <cfRule type="expression" dxfId="93" priority="12">
      <formula>$B7=2</formula>
    </cfRule>
    <cfRule type="expression" dxfId="92" priority="13">
      <formula>$B7=3</formula>
    </cfRule>
    <cfRule type="expression" dxfId="91" priority="14">
      <formula>$B7=4</formula>
    </cfRule>
    <cfRule type="expression" dxfId="90" priority="15">
      <formula>$B7=5</formula>
    </cfRule>
    <cfRule type="expression" dxfId="89" priority="16">
      <formula>$B7=6</formula>
    </cfRule>
    <cfRule type="expression" dxfId="88" priority="17">
      <formula>$B7=7</formula>
    </cfRule>
    <cfRule type="expression" dxfId="87" priority="18">
      <formula>$B7=8</formula>
    </cfRule>
    <cfRule type="expression" dxfId="86" priority="19">
      <formula>$B7=9</formula>
    </cfRule>
    <cfRule type="expression" dxfId="85" priority="20">
      <formula>$B7=10</formula>
    </cfRule>
  </conditionalFormatting>
  <conditionalFormatting sqref="N7:N86 P7:T86 W7:W86">
    <cfRule type="expression" dxfId="84" priority="1">
      <formula>$B7=1</formula>
    </cfRule>
    <cfRule type="expression" dxfId="83" priority="2">
      <formula>$B7=2</formula>
    </cfRule>
    <cfRule type="expression" dxfId="82" priority="3">
      <formula>$B7=3</formula>
    </cfRule>
    <cfRule type="expression" dxfId="81" priority="4">
      <formula>$B7=4</formula>
    </cfRule>
    <cfRule type="expression" dxfId="80" priority="5">
      <formula>$B7=5</formula>
    </cfRule>
    <cfRule type="expression" dxfId="79" priority="6">
      <formula>$B7=6</formula>
    </cfRule>
    <cfRule type="expression" dxfId="78" priority="7">
      <formula>$B7=7</formula>
    </cfRule>
    <cfRule type="expression" dxfId="77" priority="8">
      <formula>$B7=8</formula>
    </cfRule>
    <cfRule type="expression" dxfId="76" priority="9">
      <formula>$B7=9</formula>
    </cfRule>
    <cfRule type="expression" dxfId="75" priority="10">
      <formula>$B7=10</formula>
    </cfRule>
  </conditionalFormatting>
  <dataValidations count="1">
    <dataValidation type="list" errorStyle="warning" allowBlank="1" showInputMessage="1" showErrorMessage="1" sqref="J7:K78 J80:K86 U7:V78 U80:V86" xr:uid="{00000000-0002-0000-1300-000000000000}">
      <formula1>"0%,10%,20%,30%,40%,50%,60%,70%,80%,90%,100%"</formula1>
    </dataValidation>
  </dataValidations>
  <hyperlinks>
    <hyperlink ref="F7" location="_s1" display="_s1" xr:uid="{00000000-0004-0000-1300-000000000000}"/>
    <hyperlink ref="F9" location="_s2" display="_s2" xr:uid="{00000000-0004-0000-1300-000001000000}"/>
    <hyperlink ref="F11" location="_s3" display="_s3" xr:uid="{00000000-0004-0000-1300-000002000000}"/>
    <hyperlink ref="F13" location="_s4" display="_s4" xr:uid="{00000000-0004-0000-1300-000003000000}"/>
    <hyperlink ref="F15" location="_s5" display="_s5" xr:uid="{00000000-0004-0000-1300-000004000000}"/>
    <hyperlink ref="F17" location="_s6" display="_s6" xr:uid="{00000000-0004-0000-1300-000005000000}"/>
    <hyperlink ref="F19" location="_s7" display="_s7" xr:uid="{00000000-0004-0000-1300-000006000000}"/>
    <hyperlink ref="F21" location="_s8" display="_s8" xr:uid="{00000000-0004-0000-1300-000007000000}"/>
    <hyperlink ref="F23" location="_s9" display="_s9" xr:uid="{00000000-0004-0000-1300-000008000000}"/>
    <hyperlink ref="F25" location="_s10" display="_s10" xr:uid="{00000000-0004-0000-1300-000009000000}"/>
    <hyperlink ref="F27" location="_s11" display="_s11" xr:uid="{00000000-0004-0000-1300-00000A000000}"/>
    <hyperlink ref="F29" location="_s12" display="_s12" xr:uid="{00000000-0004-0000-1300-00000B000000}"/>
    <hyperlink ref="F31" location="_s13" display="_s13" xr:uid="{00000000-0004-0000-1300-00000C000000}"/>
    <hyperlink ref="F33" location="_s14" display="_s14" xr:uid="{00000000-0004-0000-1300-00000D000000}"/>
    <hyperlink ref="F35" location="_s15" display="_s15" xr:uid="{00000000-0004-0000-1300-00000E000000}"/>
    <hyperlink ref="F37" location="_s16" display="_s16" xr:uid="{00000000-0004-0000-1300-00000F000000}"/>
    <hyperlink ref="F39" location="_s17" display="_s17" xr:uid="{00000000-0004-0000-1300-000010000000}"/>
    <hyperlink ref="F41" location="_s18" display="_s18" xr:uid="{00000000-0004-0000-1300-000011000000}"/>
    <hyperlink ref="F43" location="_s19" display="_s19" xr:uid="{00000000-0004-0000-1300-000012000000}"/>
    <hyperlink ref="F45" location="_s20" display="_s20" xr:uid="{00000000-0004-0000-1300-000013000000}"/>
    <hyperlink ref="F47" location="_s21" display="_s21" xr:uid="{00000000-0004-0000-1300-000014000000}"/>
    <hyperlink ref="F49" location="_s22" display="_s22" xr:uid="{00000000-0004-0000-1300-000015000000}"/>
    <hyperlink ref="F51" location="_s23" display="_s23" xr:uid="{00000000-0004-0000-1300-000016000000}"/>
    <hyperlink ref="F53" location="_s24" display="_s24" xr:uid="{00000000-0004-0000-1300-000017000000}"/>
    <hyperlink ref="F55" location="_s25" display="_s25" xr:uid="{00000000-0004-0000-1300-000018000000}"/>
    <hyperlink ref="F57" location="_s26" display="_s26" xr:uid="{00000000-0004-0000-1300-000019000000}"/>
    <hyperlink ref="F59" location="_s27" display="_s27" xr:uid="{00000000-0004-0000-1300-00001A000000}"/>
    <hyperlink ref="F61" location="_s28" display="_s28" xr:uid="{00000000-0004-0000-1300-00001B000000}"/>
    <hyperlink ref="F63" location="_s29" display="_s29" xr:uid="{00000000-0004-0000-1300-00001C000000}"/>
    <hyperlink ref="F65" location="_s30" display="_s30" xr:uid="{00000000-0004-0000-1300-00001D000000}"/>
    <hyperlink ref="F67" location="_s31" display="_s31" xr:uid="{00000000-0004-0000-1300-00001E000000}"/>
    <hyperlink ref="F69" location="_s32" display="_s32" xr:uid="{00000000-0004-0000-1300-00001F000000}"/>
    <hyperlink ref="F71" location="_s33" display="_s33" xr:uid="{00000000-0004-0000-1300-000020000000}"/>
    <hyperlink ref="F73" location="_s34" display="_s34" xr:uid="{00000000-0004-0000-1300-000021000000}"/>
    <hyperlink ref="F75" location="_s35" display="_s35" xr:uid="{00000000-0004-0000-1300-000022000000}"/>
    <hyperlink ref="F77" location="_s36" display="_s36" xr:uid="{00000000-0004-0000-1300-000023000000}"/>
    <hyperlink ref="F80" location="_s37" display="_s37" xr:uid="{00000000-0004-0000-1300-000024000000}"/>
    <hyperlink ref="F82" location="_s38" display="_s38" xr:uid="{00000000-0004-0000-1300-000025000000}"/>
    <hyperlink ref="F84" location="_s39" display="_s39" xr:uid="{00000000-0004-0000-1300-000026000000}"/>
    <hyperlink ref="F86" location="_s40" display="_s40" xr:uid="{00000000-0004-0000-1300-000027000000}"/>
    <hyperlink ref="Q7" location="__o1" display="__o1" xr:uid="{00000000-0004-0000-1300-000028000000}"/>
    <hyperlink ref="Q9" location="__o3" display="__o3" xr:uid="{00000000-0004-0000-1300-000029000000}"/>
    <hyperlink ref="Q11" location="__o5" display="__o5" xr:uid="{00000000-0004-0000-1300-00002A000000}"/>
    <hyperlink ref="Q13" location="__o7" display="__o7" xr:uid="{00000000-0004-0000-1300-00002B000000}"/>
    <hyperlink ref="Q10" location="__o4" display="__o4" xr:uid="{00000000-0004-0000-1300-00002C000000}"/>
    <hyperlink ref="Q12" location="__o6" display="__o6" xr:uid="{00000000-0004-0000-1300-00002D000000}"/>
    <hyperlink ref="Q14" location="__o8" display="__o8" xr:uid="{00000000-0004-0000-1300-00002E000000}"/>
    <hyperlink ref="Q8" location="__o2" display="__o2" xr:uid="{00000000-0004-0000-1300-00002F000000}"/>
    <hyperlink ref="Q15" location="__o9" display="__o9" xr:uid="{00000000-0004-0000-1300-000030000000}"/>
    <hyperlink ref="Q17" location="__11" display="__11" xr:uid="{00000000-0004-0000-1300-000031000000}"/>
    <hyperlink ref="Q19" location="__13" display="__13" xr:uid="{00000000-0004-0000-1300-000032000000}"/>
    <hyperlink ref="Q21" location="__15" display="__15" xr:uid="{00000000-0004-0000-1300-000033000000}"/>
    <hyperlink ref="Q18" location="__12" display="__12" xr:uid="{00000000-0004-0000-1300-000034000000}"/>
    <hyperlink ref="Q20" location="__14" display="__14" xr:uid="{00000000-0004-0000-1300-000035000000}"/>
    <hyperlink ref="Q22" location="__16" display="__16" xr:uid="{00000000-0004-0000-1300-000036000000}"/>
    <hyperlink ref="Q16" location="__10" display="__10" xr:uid="{00000000-0004-0000-1300-000037000000}"/>
    <hyperlink ref="Q23" location="__17" display="__17" xr:uid="{00000000-0004-0000-1300-000038000000}"/>
    <hyperlink ref="Q24" location="__18" display="__18" xr:uid="{00000000-0004-0000-1300-000039000000}"/>
    <hyperlink ref="Q25" location="__19" display="__19" xr:uid="{00000000-0004-0000-1300-00003A000000}"/>
    <hyperlink ref="Q26" location="__20" display="__20" xr:uid="{00000000-0004-0000-1300-00003B000000}"/>
    <hyperlink ref="Q27" location="__21" display="__21" xr:uid="{00000000-0004-0000-1300-00003C000000}"/>
    <hyperlink ref="Q28" location="__22" display="__22" xr:uid="{00000000-0004-0000-1300-00003D000000}"/>
    <hyperlink ref="Q29" location="__23" display="__23" xr:uid="{00000000-0004-0000-1300-00003E000000}"/>
    <hyperlink ref="Q30" location="__24" display="__24" xr:uid="{00000000-0004-0000-1300-00003F000000}"/>
    <hyperlink ref="Q31" location="__25" display="__25" xr:uid="{00000000-0004-0000-1300-000040000000}"/>
    <hyperlink ref="Q32" location="__26" display="__26" xr:uid="{00000000-0004-0000-1300-000041000000}"/>
    <hyperlink ref="Q33" location="__27" display="__27" xr:uid="{00000000-0004-0000-1300-000042000000}"/>
    <hyperlink ref="Q34" location="__28" display="__28" xr:uid="{00000000-0004-0000-1300-000043000000}"/>
    <hyperlink ref="Q35" location="__29" display="__29" xr:uid="{00000000-0004-0000-1300-000044000000}"/>
    <hyperlink ref="Q36" location="__30" display="__30" xr:uid="{00000000-0004-0000-1300-000045000000}"/>
    <hyperlink ref="Q37" location="__31" display="__31" xr:uid="{00000000-0004-0000-1300-000046000000}"/>
    <hyperlink ref="Q38" location="__32" display="__32" xr:uid="{00000000-0004-0000-1300-000047000000}"/>
    <hyperlink ref="Q39" location="__33" display="__33" xr:uid="{00000000-0004-0000-1300-000048000000}"/>
    <hyperlink ref="Q40" location="__34" display="__34" xr:uid="{00000000-0004-0000-1300-000049000000}"/>
    <hyperlink ref="Q41" location="__35" display="__35" xr:uid="{00000000-0004-0000-1300-00004A000000}"/>
    <hyperlink ref="Q42" location="__36" display="__36" xr:uid="{00000000-0004-0000-1300-00004B000000}"/>
    <hyperlink ref="Q43" location="__37" display="__37" xr:uid="{00000000-0004-0000-1300-00004C000000}"/>
    <hyperlink ref="Q44" location="__38" display="__38" xr:uid="{00000000-0004-0000-1300-00004D000000}"/>
    <hyperlink ref="Q45" location="__39" display="__39" xr:uid="{00000000-0004-0000-1300-00004E000000}"/>
    <hyperlink ref="Q46" location="__40" display="__40" xr:uid="{00000000-0004-0000-1300-00004F000000}"/>
    <hyperlink ref="Q47" location="__41" display="__41" xr:uid="{00000000-0004-0000-1300-000050000000}"/>
    <hyperlink ref="Q48" location="__42" display="__42" xr:uid="{00000000-0004-0000-1300-000051000000}"/>
    <hyperlink ref="Q49" location="__43" display="__43" xr:uid="{00000000-0004-0000-1300-000052000000}"/>
    <hyperlink ref="Q50" location="__44" display="__44" xr:uid="{00000000-0004-0000-1300-000053000000}"/>
    <hyperlink ref="Q51" location="__45" display="__45" xr:uid="{00000000-0004-0000-1300-000054000000}"/>
    <hyperlink ref="Q52" location="__46" display="__46" xr:uid="{00000000-0004-0000-1300-000055000000}"/>
    <hyperlink ref="Q53" location="__47" display="__47" xr:uid="{00000000-0004-0000-1300-000056000000}"/>
    <hyperlink ref="Q54" location="__48" display="__48" xr:uid="{00000000-0004-0000-1300-000057000000}"/>
    <hyperlink ref="Q55" location="__49" display="__49" xr:uid="{00000000-0004-0000-1300-000058000000}"/>
    <hyperlink ref="Q56" location="__50" display="__50" xr:uid="{00000000-0004-0000-1300-000059000000}"/>
    <hyperlink ref="Q57" location="__51" display="__51" xr:uid="{00000000-0004-0000-1300-00005A000000}"/>
    <hyperlink ref="Q58" location="__52" display="__52" xr:uid="{00000000-0004-0000-1300-00005B000000}"/>
    <hyperlink ref="Q59" location="__53" display="__53" xr:uid="{00000000-0004-0000-1300-00005C000000}"/>
    <hyperlink ref="Q60" location="__54" display="__54" xr:uid="{00000000-0004-0000-1300-00005D000000}"/>
    <hyperlink ref="Q61" location="__55" display="__55" xr:uid="{00000000-0004-0000-1300-00005E000000}"/>
    <hyperlink ref="Q62" location="__56" display="__56" xr:uid="{00000000-0004-0000-1300-00005F000000}"/>
    <hyperlink ref="Q63" location="__57" display="__57" xr:uid="{00000000-0004-0000-1300-000060000000}"/>
    <hyperlink ref="Q64" location="__58" display="__58" xr:uid="{00000000-0004-0000-1300-000061000000}"/>
    <hyperlink ref="Q65" location="__59" display="__59" xr:uid="{00000000-0004-0000-1300-000062000000}"/>
    <hyperlink ref="Q66" location="__60" display="__60" xr:uid="{00000000-0004-0000-1300-000063000000}"/>
    <hyperlink ref="Q67" location="__61" display="__61" xr:uid="{00000000-0004-0000-1300-000064000000}"/>
    <hyperlink ref="Q68" location="__62" display="__62" xr:uid="{00000000-0004-0000-1300-000065000000}"/>
    <hyperlink ref="Q69" location="__63" display="__63" xr:uid="{00000000-0004-0000-1300-000066000000}"/>
    <hyperlink ref="Q70" location="__64" display="__64" xr:uid="{00000000-0004-0000-1300-000067000000}"/>
    <hyperlink ref="Q71" location="__65" display="__65" xr:uid="{00000000-0004-0000-1300-000068000000}"/>
    <hyperlink ref="Q72" location="__66" display="__66" xr:uid="{00000000-0004-0000-1300-000069000000}"/>
    <hyperlink ref="Q73" location="__67" display="__67" xr:uid="{00000000-0004-0000-1300-00006A000000}"/>
    <hyperlink ref="Q74" location="__68" display="__68" xr:uid="{00000000-0004-0000-1300-00006B000000}"/>
    <hyperlink ref="Q75" location="__69" display="__69" xr:uid="{00000000-0004-0000-1300-00006C000000}"/>
    <hyperlink ref="Q76" location="__70" display="__70" xr:uid="{00000000-0004-0000-1300-00006D000000}"/>
    <hyperlink ref="Q77" location="__71" display="__71" xr:uid="{00000000-0004-0000-1300-00006E000000}"/>
    <hyperlink ref="Q78" location="__72" display="__72" xr:uid="{00000000-0004-0000-1300-00006F000000}"/>
    <hyperlink ref="Q80" location="__73" display="__73" xr:uid="{00000000-0004-0000-1300-000070000000}"/>
    <hyperlink ref="Q81" location="__74" display="__74" xr:uid="{00000000-0004-0000-1300-000071000000}"/>
    <hyperlink ref="Q82" location="__75" display="__75" xr:uid="{00000000-0004-0000-1300-000072000000}"/>
    <hyperlink ref="Q83" location="__76" display="__76" xr:uid="{00000000-0004-0000-1300-000073000000}"/>
    <hyperlink ref="Q84" location="__77" display="__77" xr:uid="{00000000-0004-0000-1300-000074000000}"/>
    <hyperlink ref="Q85" location="__78" display="__78" xr:uid="{00000000-0004-0000-1300-000075000000}"/>
    <hyperlink ref="Q86" location="__79" display="__79" xr:uid="{00000000-0004-0000-1300-000076000000}"/>
  </hyperlinks>
  <pageMargins left="0.19685039370078741" right="0.19685039370078741" top="0.31496062992125984" bottom="0.43307086614173229" header="0" footer="0.19685039370078741"/>
  <pageSetup paperSize="8" fitToHeight="2" orientation="landscape" r:id="rId1"/>
  <headerFooter>
    <oddFooter>&amp;L&amp;8(c) S. Imboden&amp;C&amp;8gedruckt am &amp;D&amp;R&amp;8&amp;P/&amp;N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1" id="{D73E254B-6904-40D3-94CD-A1B0FEE521E7}">
            <x14:iconSet iconSet="3Symbols2" showValue="0" custom="1">
              <x14:cfvo type="percent">
                <xm:f>0</xm:f>
              </x14:cfvo>
              <x14:cfvo type="num">
                <xm:f>1.25</xm:f>
              </x14:cfvo>
              <x14:cfvo type="num">
                <xm:f>2.25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L7:L86</xm:sqref>
        </x14:conditionalFormatting>
        <x14:conditionalFormatting xmlns:xm="http://schemas.microsoft.com/office/excel/2006/main">
          <x14:cfRule type="iconSet" priority="22" id="{3F2F3885-DCE5-471E-B9DF-4C8A1A88EDCC}">
            <x14:iconSet iconSet="3Symbols2" showValue="0" custom="1">
              <x14:cfvo type="percent">
                <xm:f>0</xm:f>
              </x14:cfvo>
              <x14:cfvo type="num">
                <xm:f>1.25</xm:f>
              </x14:cfvo>
              <x14:cfvo type="num">
                <xm:f>2.25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W7:W86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Tabelle13">
    <tabColor theme="6" tint="0.59999389629810485"/>
    <pageSetUpPr fitToPage="1"/>
  </sheetPr>
  <dimension ref="A1:M99"/>
  <sheetViews>
    <sheetView showGridLines="0" zoomScaleNormal="100" workbookViewId="0">
      <pane ySplit="4" topLeftCell="A5" activePane="bottomLeft" state="frozen"/>
      <selection activeCell="K1" sqref="K1"/>
      <selection pane="bottomLeft" activeCell="C5" sqref="C5"/>
    </sheetView>
  </sheetViews>
  <sheetFormatPr baseColWidth="10" defaultColWidth="12.5546875" defaultRowHeight="14.4" x14ac:dyDescent="0.3"/>
  <cols>
    <col min="1" max="1" width="7" style="7" customWidth="1"/>
    <col min="2" max="2" width="4.5546875" style="16" customWidth="1"/>
    <col min="3" max="3" width="29" style="16" customWidth="1"/>
    <col min="4" max="4" width="11.6640625" style="16" customWidth="1"/>
    <col min="5" max="5" width="13.88671875" style="16" customWidth="1"/>
    <col min="6" max="6" width="7.109375" style="16" customWidth="1"/>
    <col min="7" max="7" width="19.44140625" style="16" customWidth="1"/>
    <col min="8" max="8" width="31" style="16" customWidth="1"/>
    <col min="9" max="9" width="7.44140625" style="16" customWidth="1"/>
    <col min="10" max="10" width="12.5546875" style="8"/>
    <col min="11" max="11" width="7" style="16" customWidth="1"/>
    <col min="12" max="20" width="4" style="16" customWidth="1"/>
    <col min="21" max="16384" width="12.5546875" style="16"/>
  </cols>
  <sheetData>
    <row r="1" spans="1:13" s="12" customFormat="1" ht="44.4" customHeight="1" x14ac:dyDescent="0.3">
      <c r="A1" s="2"/>
      <c r="B1" s="11" t="str">
        <f ca="1">' '!A157</f>
        <v>C O Û T S  -   A V A N T A G E</v>
      </c>
      <c r="C1" s="11"/>
      <c r="D1" s="11"/>
      <c r="E1" s="11"/>
      <c r="F1" s="11"/>
      <c r="G1" s="11"/>
      <c r="H1" s="11"/>
      <c r="I1" s="260"/>
      <c r="L1" s="13"/>
    </row>
    <row r="2" spans="1:13" s="8" customFormat="1" ht="14.25" customHeight="1" x14ac:dyDescent="0.3">
      <c r="A2" s="7"/>
      <c r="B2" s="14"/>
    </row>
    <row r="3" spans="1:13" x14ac:dyDescent="0.3">
      <c r="A3" s="15"/>
    </row>
    <row r="4" spans="1:13" ht="41.25" customHeight="1" x14ac:dyDescent="0.3">
      <c r="B4" s="340" t="str">
        <f ca="1">' '!A53</f>
        <v>No.</v>
      </c>
      <c r="C4" s="341" t="str">
        <f ca="1">' '!A161</f>
        <v>Innovation</v>
      </c>
      <c r="D4" s="341" t="str">
        <f ca="1">' '!A162</f>
        <v>Coûts</v>
      </c>
      <c r="E4" s="341" t="str">
        <f ca="1">' '!A158</f>
        <v>Avantages</v>
      </c>
      <c r="F4" s="1102" t="str">
        <f ca="1">' '!A163</f>
        <v>Efforts</v>
      </c>
      <c r="G4" s="1102"/>
      <c r="H4" s="341" t="str">
        <f ca="1">' '!A164</f>
        <v>Remarques</v>
      </c>
      <c r="I4" s="342" t="str">
        <f ca="1">' '!A59</f>
        <v>Statut</v>
      </c>
      <c r="M4" s="8"/>
    </row>
    <row r="5" spans="1:13" ht="31.5" customHeight="1" x14ac:dyDescent="0.3">
      <c r="B5" s="726" t="s">
        <v>951</v>
      </c>
      <c r="C5" s="727" t="s">
        <v>971</v>
      </c>
      <c r="D5" s="728">
        <v>4</v>
      </c>
      <c r="E5" s="729">
        <v>7</v>
      </c>
      <c r="F5" s="729">
        <v>2</v>
      </c>
      <c r="G5" s="730" t="str">
        <f ca="1">IF(F5=4,' '!$A$165,
IF(F5=3,' '!$A$166,
IF(F5=2,' '!$A$167,
IF(F5=1,' '!$A$168,""))))</f>
        <v>Innovation processus</v>
      </c>
      <c r="H5" s="731"/>
      <c r="I5" s="732">
        <v>2</v>
      </c>
      <c r="M5" s="8"/>
    </row>
    <row r="6" spans="1:13" ht="31.5" customHeight="1" x14ac:dyDescent="0.3">
      <c r="B6" s="726" t="s">
        <v>952</v>
      </c>
      <c r="C6" s="727" t="s">
        <v>972</v>
      </c>
      <c r="D6" s="728">
        <v>9</v>
      </c>
      <c r="E6" s="729">
        <v>7</v>
      </c>
      <c r="F6" s="729">
        <v>2</v>
      </c>
      <c r="G6" s="730" t="str">
        <f ca="1">IF(F6=4,' '!$A$165,
IF(F6=3,' '!$A$166,
IF(F6=2,' '!$A$167,
IF(F6=1,' '!$A$168,""))))</f>
        <v>Innovation processus</v>
      </c>
      <c r="H6" s="731"/>
      <c r="I6" s="732">
        <v>3</v>
      </c>
      <c r="M6" s="8"/>
    </row>
    <row r="7" spans="1:13" ht="31.5" customHeight="1" x14ac:dyDescent="0.3">
      <c r="B7" s="726" t="s">
        <v>953</v>
      </c>
      <c r="C7" s="733"/>
      <c r="D7" s="734">
        <v>1</v>
      </c>
      <c r="E7" s="735">
        <v>2</v>
      </c>
      <c r="F7" s="736">
        <v>4</v>
      </c>
      <c r="G7" s="730" t="str">
        <f ca="1">IF(F7=4,' '!$A$165,
IF(F7=3,' '!$A$166,
IF(F7=2,' '!$A$167,
IF(F7=1,' '!$A$168,""))))</f>
        <v>Innovation produit</v>
      </c>
      <c r="H7" s="737"/>
      <c r="I7" s="362"/>
      <c r="M7" s="8"/>
    </row>
    <row r="8" spans="1:13" ht="31.5" customHeight="1" x14ac:dyDescent="0.3">
      <c r="B8" s="726" t="s">
        <v>954</v>
      </c>
      <c r="C8" s="738"/>
      <c r="D8" s="734"/>
      <c r="E8" s="735"/>
      <c r="F8" s="736"/>
      <c r="G8" s="730" t="str">
        <f>IF(F8=4,' '!$A$165,
IF(F8=3,' '!$A$166,
IF(F8=2,' '!$A$167,
IF(F8=1,' '!$A$168,""))))</f>
        <v/>
      </c>
      <c r="H8" s="739"/>
      <c r="I8" s="361"/>
      <c r="M8" s="8"/>
    </row>
    <row r="9" spans="1:13" ht="31.5" customHeight="1" x14ac:dyDescent="0.3">
      <c r="B9" s="726" t="s">
        <v>955</v>
      </c>
      <c r="C9" s="733"/>
      <c r="D9" s="734"/>
      <c r="E9" s="735"/>
      <c r="F9" s="736"/>
      <c r="G9" s="730" t="str">
        <f>IF(F9=4,' '!$A$165,
IF(F9=3,' '!$A$166,
IF(F9=2,' '!$A$167,
IF(F9=1,' '!$A$168,""))))</f>
        <v/>
      </c>
      <c r="H9" s="737"/>
      <c r="I9" s="362"/>
      <c r="M9" s="8"/>
    </row>
    <row r="10" spans="1:13" ht="31.5" customHeight="1" x14ac:dyDescent="0.3">
      <c r="B10" s="726" t="s">
        <v>956</v>
      </c>
      <c r="C10" s="738"/>
      <c r="D10" s="734"/>
      <c r="E10" s="735"/>
      <c r="F10" s="736"/>
      <c r="G10" s="730" t="str">
        <f>IF(F10=4,' '!$A$165,
IF(F10=3,' '!$A$166,
IF(F10=2,' '!$A$167,
IF(F10=1,' '!$A$168,""))))</f>
        <v/>
      </c>
      <c r="H10" s="739"/>
      <c r="I10" s="361"/>
      <c r="M10" s="8"/>
    </row>
    <row r="11" spans="1:13" ht="31.5" customHeight="1" x14ac:dyDescent="0.3">
      <c r="B11" s="726" t="s">
        <v>957</v>
      </c>
      <c r="C11" s="733"/>
      <c r="D11" s="734"/>
      <c r="E11" s="735"/>
      <c r="F11" s="736"/>
      <c r="G11" s="730" t="str">
        <f>IF(F11=4,' '!$A$165,
IF(F11=3,' '!$A$166,
IF(F11=2,' '!$A$167,
IF(F11=1,' '!$A$168,""))))</f>
        <v/>
      </c>
      <c r="H11" s="737"/>
      <c r="I11" s="362"/>
      <c r="M11" s="8"/>
    </row>
    <row r="12" spans="1:13" ht="31.5" customHeight="1" x14ac:dyDescent="0.3">
      <c r="B12" s="726" t="s">
        <v>958</v>
      </c>
      <c r="C12" s="738"/>
      <c r="D12" s="734"/>
      <c r="E12" s="735"/>
      <c r="F12" s="736"/>
      <c r="G12" s="730" t="str">
        <f>IF(F12=4,' '!$A$165,
IF(F12=3,' '!$A$166,
IF(F12=2,' '!$A$167,
IF(F12=1,' '!$A$168,""))))</f>
        <v/>
      </c>
      <c r="H12" s="739"/>
      <c r="I12" s="361"/>
      <c r="M12" s="8"/>
    </row>
    <row r="13" spans="1:13" ht="31.5" customHeight="1" x14ac:dyDescent="0.3">
      <c r="B13" s="726" t="s">
        <v>959</v>
      </c>
      <c r="C13" s="733"/>
      <c r="D13" s="734"/>
      <c r="E13" s="735"/>
      <c r="F13" s="736"/>
      <c r="G13" s="730" t="str">
        <f>IF(F13=4,' '!$A$165,
IF(F13=3,' '!$A$166,
IF(F13=2,' '!$A$167,
IF(F13=1,' '!$A$168,""))))</f>
        <v/>
      </c>
      <c r="H13" s="737"/>
      <c r="I13" s="362"/>
      <c r="M13" s="8"/>
    </row>
    <row r="14" spans="1:13" ht="31.5" customHeight="1" x14ac:dyDescent="0.3">
      <c r="B14" s="726" t="s">
        <v>960</v>
      </c>
      <c r="C14" s="733"/>
      <c r="D14" s="734"/>
      <c r="E14" s="735"/>
      <c r="F14" s="736"/>
      <c r="G14" s="730" t="str">
        <f>IF(F14=4,' '!$A$165,
IF(F14=3,' '!$A$166,
IF(F14=2,' '!$A$167,
IF(F14=1,' '!$A$168,""))))</f>
        <v/>
      </c>
      <c r="H14" s="737"/>
      <c r="I14" s="361"/>
      <c r="M14" s="8"/>
    </row>
    <row r="15" spans="1:13" ht="31.5" customHeight="1" x14ac:dyDescent="0.3">
      <c r="B15" s="726" t="s">
        <v>961</v>
      </c>
      <c r="C15" s="733"/>
      <c r="D15" s="734"/>
      <c r="E15" s="735"/>
      <c r="F15" s="736"/>
      <c r="G15" s="730" t="str">
        <f>IF(F15=4,' '!$A$165,
IF(F15=3,' '!$A$166,
IF(F15=2,' '!$A$167,
IF(F15=1,' '!$A$168,""))))</f>
        <v/>
      </c>
      <c r="H15" s="737"/>
      <c r="I15" s="362"/>
      <c r="M15" s="8"/>
    </row>
    <row r="16" spans="1:13" ht="31.5" customHeight="1" x14ac:dyDescent="0.3">
      <c r="B16" s="726" t="s">
        <v>962</v>
      </c>
      <c r="C16" s="733"/>
      <c r="D16" s="734"/>
      <c r="E16" s="735"/>
      <c r="F16" s="736"/>
      <c r="G16" s="730" t="str">
        <f>IF(F16=4,' '!$A$165,
IF(F16=3,' '!$A$166,
IF(F16=2,' '!$A$167,
IF(F16=1,' '!$A$168,""))))</f>
        <v/>
      </c>
      <c r="H16" s="737"/>
      <c r="I16" s="361"/>
    </row>
    <row r="17" spans="2:9" ht="31.5" customHeight="1" x14ac:dyDescent="0.3">
      <c r="B17" s="726" t="s">
        <v>963</v>
      </c>
      <c r="C17" s="733"/>
      <c r="D17" s="734"/>
      <c r="E17" s="735"/>
      <c r="F17" s="736"/>
      <c r="G17" s="730" t="str">
        <f>IF(F17=4,' '!$A$165,
IF(F17=3,' '!$A$166,
IF(F17=2,' '!$A$167,
IF(F17=1,' '!$A$168,""))))</f>
        <v/>
      </c>
      <c r="H17" s="737"/>
      <c r="I17" s="362"/>
    </row>
    <row r="18" spans="2:9" ht="31.5" customHeight="1" x14ac:dyDescent="0.3">
      <c r="B18" s="726" t="s">
        <v>964</v>
      </c>
      <c r="C18" s="733"/>
      <c r="D18" s="734"/>
      <c r="E18" s="735"/>
      <c r="F18" s="736"/>
      <c r="G18" s="730" t="str">
        <f>IF(F18=4,' '!$A$165,
IF(F18=3,' '!$A$166,
IF(F18=2,' '!$A$167,
IF(F18=1,' '!$A$168,""))))</f>
        <v/>
      </c>
      <c r="H18" s="737"/>
      <c r="I18" s="361"/>
    </row>
    <row r="19" spans="2:9" ht="31.5" customHeight="1" x14ac:dyDescent="0.3">
      <c r="B19" s="726" t="s">
        <v>965</v>
      </c>
      <c r="C19" s="733"/>
      <c r="D19" s="734"/>
      <c r="E19" s="735"/>
      <c r="F19" s="736"/>
      <c r="G19" s="730" t="str">
        <f>IF(F19=4,' '!$A$165,
IF(F19=3,' '!$A$166,
IF(F19=2,' '!$A$167,
IF(F19=1,' '!$A$168,""))))</f>
        <v/>
      </c>
      <c r="H19" s="737"/>
      <c r="I19" s="362"/>
    </row>
    <row r="20" spans="2:9" ht="31.5" customHeight="1" x14ac:dyDescent="0.3">
      <c r="B20" s="726" t="s">
        <v>966</v>
      </c>
      <c r="C20" s="733"/>
      <c r="D20" s="734"/>
      <c r="E20" s="735"/>
      <c r="F20" s="736"/>
      <c r="G20" s="730" t="str">
        <f>IF(F20=4,' '!$A$165,
IF(F20=3,' '!$A$166,
IF(F20=2,' '!$A$167,
IF(F20=1,' '!$A$168,""))))</f>
        <v/>
      </c>
      <c r="H20" s="737"/>
      <c r="I20" s="362"/>
    </row>
    <row r="21" spans="2:9" ht="31.5" customHeight="1" x14ac:dyDescent="0.3">
      <c r="B21" s="726" t="s">
        <v>967</v>
      </c>
      <c r="C21" s="733"/>
      <c r="D21" s="734"/>
      <c r="E21" s="735"/>
      <c r="F21" s="736"/>
      <c r="G21" s="730" t="str">
        <f>IF(F21=4,' '!$A$165,
IF(F21=3,' '!$A$166,
IF(F21=2,' '!$A$167,
IF(F21=1,' '!$A$168,""))))</f>
        <v/>
      </c>
      <c r="H21" s="737"/>
      <c r="I21" s="361"/>
    </row>
    <row r="22" spans="2:9" ht="31.5" customHeight="1" x14ac:dyDescent="0.3">
      <c r="B22" s="726" t="s">
        <v>968</v>
      </c>
      <c r="C22" s="733"/>
      <c r="D22" s="734"/>
      <c r="E22" s="735"/>
      <c r="F22" s="736"/>
      <c r="G22" s="730" t="str">
        <f>IF(F22=4,' '!$A$165,
IF(F22=3,' '!$A$166,
IF(F22=2,' '!$A$167,
IF(F22=1,' '!$A$168,""))))</f>
        <v/>
      </c>
      <c r="H22" s="737"/>
      <c r="I22" s="362"/>
    </row>
    <row r="23" spans="2:9" ht="31.5" customHeight="1" x14ac:dyDescent="0.3">
      <c r="B23" s="726" t="s">
        <v>969</v>
      </c>
      <c r="C23" s="733"/>
      <c r="D23" s="734"/>
      <c r="E23" s="735"/>
      <c r="F23" s="736"/>
      <c r="G23" s="730" t="str">
        <f>IF(F23=4,' '!$A$165,
IF(F23=3,' '!$A$166,
IF(F23=2,' '!$A$167,
IF(F23=1,' '!$A$168,""))))</f>
        <v/>
      </c>
      <c r="H23" s="737"/>
      <c r="I23" s="361"/>
    </row>
    <row r="24" spans="2:9" ht="31.5" customHeight="1" x14ac:dyDescent="0.3">
      <c r="B24" s="740" t="s">
        <v>970</v>
      </c>
      <c r="C24" s="741"/>
      <c r="D24" s="742"/>
      <c r="E24" s="743"/>
      <c r="F24" s="744"/>
      <c r="G24" s="745" t="str">
        <f>IF(F24=4,' '!$A$165,
IF(F24=3,' '!$A$166,
IF(F24=2,' '!$A$167,
IF(F24=1,' '!$A$168,""))))</f>
        <v/>
      </c>
      <c r="H24" s="746"/>
      <c r="I24" s="747"/>
    </row>
    <row r="25" spans="2:9" x14ac:dyDescent="0.3">
      <c r="B25" s="335" t="s">
        <v>1776</v>
      </c>
      <c r="C25"/>
    </row>
    <row r="64" spans="1:1" ht="0.9" customHeight="1" x14ac:dyDescent="0.3">
      <c r="A64" s="20"/>
    </row>
    <row r="65" spans="2:7" x14ac:dyDescent="0.3">
      <c r="B65"/>
      <c r="C65"/>
    </row>
    <row r="74" spans="2:7" ht="15.6" x14ac:dyDescent="0.3">
      <c r="F74" s="9"/>
      <c r="G74" s="9"/>
    </row>
    <row r="80" spans="2:7" x14ac:dyDescent="0.3">
      <c r="D80" s="22"/>
    </row>
    <row r="81" spans="4:4" x14ac:dyDescent="0.3">
      <c r="D81" s="8"/>
    </row>
    <row r="82" spans="4:4" x14ac:dyDescent="0.3">
      <c r="D82" s="8"/>
    </row>
    <row r="83" spans="4:4" x14ac:dyDescent="0.3">
      <c r="D83" s="8"/>
    </row>
    <row r="84" spans="4:4" x14ac:dyDescent="0.3">
      <c r="D84" s="8"/>
    </row>
    <row r="85" spans="4:4" x14ac:dyDescent="0.3">
      <c r="D85" s="8"/>
    </row>
    <row r="86" spans="4:4" x14ac:dyDescent="0.3">
      <c r="D86" s="8"/>
    </row>
    <row r="87" spans="4:4" x14ac:dyDescent="0.3">
      <c r="D87" s="8"/>
    </row>
    <row r="88" spans="4:4" x14ac:dyDescent="0.3">
      <c r="D88" s="8"/>
    </row>
    <row r="89" spans="4:4" x14ac:dyDescent="0.3">
      <c r="D89" s="8"/>
    </row>
    <row r="90" spans="4:4" x14ac:dyDescent="0.3">
      <c r="D90" s="8"/>
    </row>
    <row r="91" spans="4:4" x14ac:dyDescent="0.3">
      <c r="D91" s="8"/>
    </row>
    <row r="92" spans="4:4" x14ac:dyDescent="0.3">
      <c r="D92" s="8"/>
    </row>
    <row r="93" spans="4:4" x14ac:dyDescent="0.3">
      <c r="D93" s="8"/>
    </row>
    <row r="94" spans="4:4" x14ac:dyDescent="0.3">
      <c r="D94" s="8"/>
    </row>
    <row r="95" spans="4:4" x14ac:dyDescent="0.3">
      <c r="D95" s="8"/>
    </row>
    <row r="96" spans="4:4" x14ac:dyDescent="0.3">
      <c r="D96" s="8"/>
    </row>
    <row r="97" spans="4:4" x14ac:dyDescent="0.3">
      <c r="D97" s="8"/>
    </row>
    <row r="98" spans="4:4" x14ac:dyDescent="0.3">
      <c r="D98" s="8"/>
    </row>
    <row r="99" spans="4:4" x14ac:dyDescent="0.3">
      <c r="D99" s="8"/>
    </row>
  </sheetData>
  <sheetProtection sheet="1" objects="1" scenarios="1" formatCells="0" formatColumns="0" formatRows="0" insertHyperlinks="0" selectLockedCells="1" sort="0" autoFilter="0"/>
  <mergeCells count="1">
    <mergeCell ref="F4:G4"/>
  </mergeCells>
  <conditionalFormatting sqref="B5:I24">
    <cfRule type="expression" dxfId="74" priority="9">
      <formula>MOD(ROW(A1),2)=0</formula>
    </cfRule>
    <cfRule type="expression" dxfId="73" priority="10">
      <formula>MOD(ROW(A2),2)=0</formula>
    </cfRule>
  </conditionalFormatting>
  <conditionalFormatting sqref="D5:D24">
    <cfRule type="iconSet" priority="1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5:E23">
    <cfRule type="iconSet" priority="12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3">
    <dataValidation type="list" allowBlank="1" showInputMessage="1" showErrorMessage="1" sqref="D5:E24" xr:uid="{00000000-0002-0000-1400-000000000000}">
      <formula1>"1,2,3,4,5,6,7,8,9,10"</formula1>
    </dataValidation>
    <dataValidation type="list" allowBlank="1" showInputMessage="1" showErrorMessage="1" sqref="K25:K64 I5:I24" xr:uid="{00000000-0002-0000-1400-000001000000}">
      <formula1>"1,2,3"</formula1>
    </dataValidation>
    <dataValidation type="list" allowBlank="1" showInputMessage="1" showErrorMessage="1" sqref="F5:F24" xr:uid="{00000000-0002-0000-1400-000002000000}">
      <formula1>"1,2,3,4"</formula1>
    </dataValidation>
  </dataValidations>
  <printOptions horizontalCentered="1" verticalCentered="1"/>
  <pageMargins left="0.23622047244094491" right="0.23622047244094491" top="0.19685039370078741" bottom="0.19685039370078741" header="0.19685039370078741" footer="0.19685039370078741"/>
  <pageSetup paperSize="8" scale="89" orientation="portrait" r:id="rId1"/>
  <headerFooter>
    <oddFooter>&amp;L&amp;8&amp;K00-048(c) S.Imboden&amp;R&amp;8&amp;K00-048Seite &amp;P von &amp;N</oddFooter>
  </headerFooter>
  <rowBreaks count="1" manualBreakCount="1">
    <brk id="27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3975FD23-32F0-4325-8D84-5E5D087CC0B8}">
            <x14:iconSet iconSet="5Boxe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F5:F24</xm:sqref>
        </x14:conditionalFormatting>
        <x14:conditionalFormatting xmlns:xm="http://schemas.microsoft.com/office/excel/2006/main">
          <x14:cfRule type="iconSet" priority="7" id="{AFCD472A-2F6D-4142-8FDB-B60CBCC2709C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I5:I24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Tabelle27">
    <tabColor theme="6" tint="0.59999389629810485"/>
    <pageSetUpPr fitToPage="1"/>
  </sheetPr>
  <dimension ref="A1:Q27"/>
  <sheetViews>
    <sheetView showGridLines="0" zoomScaleNormal="100" workbookViewId="0">
      <pane ySplit="1" topLeftCell="A2" activePane="bottomLeft" state="frozen"/>
      <selection activeCell="K1" sqref="K1"/>
      <selection pane="bottomLeft" activeCell="E15" sqref="E15:F15"/>
    </sheetView>
  </sheetViews>
  <sheetFormatPr baseColWidth="10" defaultColWidth="11.44140625" defaultRowHeight="13.2" x14ac:dyDescent="0.25"/>
  <cols>
    <col min="1" max="1" width="7" customWidth="1"/>
    <col min="2" max="2" width="4.33203125" customWidth="1"/>
    <col min="3" max="3" width="29.33203125" customWidth="1"/>
    <col min="4" max="4" width="7" customWidth="1"/>
    <col min="5" max="5" width="11" bestFit="1" customWidth="1"/>
    <col min="6" max="6" width="8.109375" customWidth="1"/>
    <col min="7" max="7" width="11" bestFit="1" customWidth="1"/>
    <col min="8" max="8" width="8.109375" customWidth="1"/>
    <col min="9" max="9" width="11" bestFit="1" customWidth="1"/>
    <col min="10" max="10" width="8.109375" customWidth="1"/>
    <col min="11" max="11" width="11" bestFit="1" customWidth="1"/>
    <col min="12" max="12" width="8.109375" customWidth="1"/>
    <col min="13" max="13" width="11" bestFit="1" customWidth="1"/>
    <col min="14" max="14" width="8.109375" customWidth="1"/>
    <col min="15" max="15" width="11" bestFit="1" customWidth="1"/>
    <col min="16" max="16" width="8.109375" customWidth="1"/>
    <col min="17" max="19" width="3.44140625" customWidth="1"/>
    <col min="20" max="20" width="11.44140625" customWidth="1"/>
  </cols>
  <sheetData>
    <row r="1" spans="1:17" s="316" customFormat="1" ht="44.4" customHeight="1" x14ac:dyDescent="0.3">
      <c r="A1" s="401"/>
      <c r="B1" s="979" t="str">
        <f ca="1">' '!A336</f>
        <v>M A T R I C E  D E  C O M P A R A I S O N   D' I D É E S</v>
      </c>
      <c r="C1" s="980"/>
      <c r="D1" s="980"/>
      <c r="E1" s="979"/>
      <c r="F1" s="979"/>
      <c r="G1" s="979"/>
      <c r="H1" s="979"/>
      <c r="I1" s="979"/>
      <c r="J1" s="979"/>
      <c r="K1" s="979"/>
      <c r="L1" s="981"/>
      <c r="M1" s="981"/>
      <c r="N1" s="979"/>
      <c r="O1" s="979"/>
      <c r="P1" s="981"/>
      <c r="Q1" s="318"/>
    </row>
    <row r="2" spans="1:17" s="315" customFormat="1" ht="1.2" customHeight="1" x14ac:dyDescent="0.3">
      <c r="A2" s="585"/>
      <c r="B2" s="982"/>
      <c r="C2" s="982"/>
      <c r="D2" s="982"/>
      <c r="E2" s="983"/>
      <c r="F2" s="983"/>
      <c r="G2" s="983"/>
      <c r="H2" s="983"/>
      <c r="I2" s="983"/>
      <c r="J2" s="983"/>
      <c r="K2" s="983"/>
      <c r="L2" s="983"/>
      <c r="M2" s="983"/>
      <c r="N2" s="983"/>
      <c r="O2" s="983"/>
      <c r="P2" s="983"/>
      <c r="Q2" s="748"/>
    </row>
    <row r="3" spans="1:17" ht="33.75" customHeight="1" x14ac:dyDescent="0.3">
      <c r="A3" s="320"/>
      <c r="B3" s="984"/>
      <c r="C3" s="985"/>
      <c r="D3" s="985"/>
      <c r="E3" s="985"/>
      <c r="F3" s="985"/>
      <c r="G3" s="985"/>
      <c r="H3" s="985"/>
      <c r="I3" s="985"/>
      <c r="J3" s="985"/>
      <c r="K3" s="985"/>
      <c r="L3" s="985"/>
      <c r="M3" s="985"/>
      <c r="N3" s="985"/>
      <c r="O3" s="985"/>
      <c r="P3" s="985"/>
    </row>
    <row r="4" spans="1:17" ht="15.6" x14ac:dyDescent="0.3">
      <c r="A4" s="320"/>
      <c r="B4" s="984"/>
      <c r="C4" s="985"/>
      <c r="D4" s="985" t="str">
        <f>E15</f>
        <v>Idee 1</v>
      </c>
      <c r="E4" s="985" t="str">
        <f>G15</f>
        <v>Idee 2</v>
      </c>
      <c r="F4" s="985" t="str">
        <f>I15</f>
        <v>?</v>
      </c>
      <c r="G4" s="985" t="str">
        <f>K15</f>
        <v>?</v>
      </c>
      <c r="H4" s="985" t="str">
        <f>M15</f>
        <v>?</v>
      </c>
      <c r="I4" s="985" t="str">
        <f>O15</f>
        <v>?</v>
      </c>
      <c r="J4" s="985"/>
      <c r="K4" s="985"/>
      <c r="L4" s="985"/>
      <c r="M4" s="985"/>
      <c r="N4" s="985"/>
      <c r="O4" s="985"/>
      <c r="P4" s="985"/>
    </row>
    <row r="5" spans="1:17" ht="15.6" x14ac:dyDescent="0.3">
      <c r="A5" s="320"/>
      <c r="B5" s="984"/>
      <c r="C5" s="986" t="str">
        <f t="shared" ref="C5:C12" si="0">C17</f>
        <v>Kriterium 1</v>
      </c>
      <c r="D5" s="985">
        <f>F17</f>
        <v>100</v>
      </c>
      <c r="E5" s="985">
        <f>H17</f>
        <v>40</v>
      </c>
      <c r="F5" s="985">
        <f>J17</f>
        <v>40</v>
      </c>
      <c r="G5" s="985">
        <f>L17</f>
        <v>40</v>
      </c>
      <c r="H5" s="985">
        <f>N17</f>
        <v>40</v>
      </c>
      <c r="I5" s="985">
        <f>P17</f>
        <v>40</v>
      </c>
      <c r="J5" s="985"/>
      <c r="K5" s="985"/>
      <c r="L5" s="985"/>
      <c r="M5" s="985"/>
      <c r="N5" s="985"/>
      <c r="O5" s="985"/>
      <c r="P5" s="985"/>
    </row>
    <row r="6" spans="1:17" ht="15.6" x14ac:dyDescent="0.3">
      <c r="A6" s="320"/>
      <c r="B6" s="984"/>
      <c r="C6" s="986" t="str">
        <f t="shared" si="0"/>
        <v>Kriterium 2</v>
      </c>
      <c r="D6" s="985">
        <f>F18</f>
        <v>25</v>
      </c>
      <c r="E6" s="985">
        <f t="shared" ref="E6:E12" si="1">H18</f>
        <v>25</v>
      </c>
      <c r="F6" s="985">
        <f t="shared" ref="F6:F12" si="2">J18</f>
        <v>25</v>
      </c>
      <c r="G6" s="985">
        <f t="shared" ref="G6:G12" si="3">L18</f>
        <v>25</v>
      </c>
      <c r="H6" s="985">
        <f t="shared" ref="H6:H12" si="4">N18</f>
        <v>25</v>
      </c>
      <c r="I6" s="985">
        <f t="shared" ref="I6:I12" si="5">P18</f>
        <v>25</v>
      </c>
      <c r="J6" s="985"/>
      <c r="K6" s="985"/>
      <c r="L6" s="985"/>
      <c r="M6" s="985"/>
      <c r="N6" s="985"/>
      <c r="O6" s="985"/>
      <c r="P6" s="985"/>
    </row>
    <row r="7" spans="1:17" ht="15.6" x14ac:dyDescent="0.3">
      <c r="A7" s="320"/>
      <c r="B7" s="984"/>
      <c r="C7" s="986" t="str">
        <f t="shared" si="0"/>
        <v>?</v>
      </c>
      <c r="D7" s="985">
        <f t="shared" ref="D7:D12" si="6">F19</f>
        <v>25</v>
      </c>
      <c r="E7" s="985">
        <f t="shared" si="1"/>
        <v>25</v>
      </c>
      <c r="F7" s="985">
        <f t="shared" si="2"/>
        <v>25</v>
      </c>
      <c r="G7" s="985">
        <f t="shared" si="3"/>
        <v>25</v>
      </c>
      <c r="H7" s="985">
        <f t="shared" si="4"/>
        <v>25</v>
      </c>
      <c r="I7" s="985">
        <f t="shared" si="5"/>
        <v>25</v>
      </c>
      <c r="J7" s="985"/>
      <c r="K7" s="985"/>
      <c r="L7" s="985"/>
      <c r="M7" s="985"/>
      <c r="N7" s="985"/>
      <c r="O7" s="985"/>
      <c r="P7" s="985"/>
    </row>
    <row r="8" spans="1:17" ht="15.6" x14ac:dyDescent="0.3">
      <c r="A8" s="320"/>
      <c r="B8" s="984"/>
      <c r="C8" s="986" t="str">
        <f t="shared" si="0"/>
        <v>?</v>
      </c>
      <c r="D8" s="985">
        <f t="shared" si="6"/>
        <v>81</v>
      </c>
      <c r="E8" s="985">
        <f t="shared" si="1"/>
        <v>81</v>
      </c>
      <c r="F8" s="985">
        <f t="shared" si="2"/>
        <v>54</v>
      </c>
      <c r="G8" s="985">
        <f t="shared" si="3"/>
        <v>36</v>
      </c>
      <c r="H8" s="985">
        <f t="shared" si="4"/>
        <v>9</v>
      </c>
      <c r="I8" s="985">
        <f t="shared" si="5"/>
        <v>18</v>
      </c>
      <c r="J8" s="985"/>
      <c r="K8" s="985"/>
      <c r="L8" s="985"/>
      <c r="M8" s="985"/>
      <c r="N8" s="985"/>
      <c r="O8" s="985"/>
      <c r="P8" s="985"/>
    </row>
    <row r="9" spans="1:17" ht="15.6" x14ac:dyDescent="0.3">
      <c r="A9" s="320"/>
      <c r="B9" s="984"/>
      <c r="C9" s="986" t="str">
        <f t="shared" si="0"/>
        <v>?</v>
      </c>
      <c r="D9" s="985">
        <f t="shared" si="6"/>
        <v>16</v>
      </c>
      <c r="E9" s="985">
        <f t="shared" si="1"/>
        <v>16</v>
      </c>
      <c r="F9" s="985">
        <f t="shared" si="2"/>
        <v>16</v>
      </c>
      <c r="G9" s="985">
        <f t="shared" si="3"/>
        <v>16</v>
      </c>
      <c r="H9" s="985">
        <f t="shared" si="4"/>
        <v>16</v>
      </c>
      <c r="I9" s="985">
        <f t="shared" si="5"/>
        <v>16</v>
      </c>
      <c r="J9" s="985"/>
      <c r="K9" s="985"/>
      <c r="L9" s="985"/>
      <c r="M9" s="985"/>
      <c r="N9" s="985"/>
      <c r="O9" s="985"/>
      <c r="P9" s="985"/>
    </row>
    <row r="10" spans="1:17" ht="15.6" x14ac:dyDescent="0.3">
      <c r="A10" s="320"/>
      <c r="B10" s="984"/>
      <c r="C10" s="986" t="str">
        <f t="shared" si="0"/>
        <v>?</v>
      </c>
      <c r="D10" s="985">
        <f t="shared" si="6"/>
        <v>35</v>
      </c>
      <c r="E10" s="985">
        <f t="shared" si="1"/>
        <v>30</v>
      </c>
      <c r="F10" s="985">
        <f t="shared" si="2"/>
        <v>35</v>
      </c>
      <c r="G10" s="985">
        <f t="shared" si="3"/>
        <v>30</v>
      </c>
      <c r="H10" s="985">
        <f t="shared" si="4"/>
        <v>30</v>
      </c>
      <c r="I10" s="985">
        <f t="shared" si="5"/>
        <v>30</v>
      </c>
      <c r="J10" s="985"/>
      <c r="K10" s="985"/>
      <c r="L10" s="985"/>
      <c r="M10" s="985"/>
      <c r="N10" s="985"/>
      <c r="O10" s="985"/>
      <c r="P10" s="985"/>
    </row>
    <row r="11" spans="1:17" ht="13.8" x14ac:dyDescent="0.3">
      <c r="A11" s="15" t="s">
        <v>534</v>
      </c>
      <c r="B11" s="987"/>
      <c r="C11" s="986" t="str">
        <f t="shared" si="0"/>
        <v>?</v>
      </c>
      <c r="D11" s="985">
        <f t="shared" si="6"/>
        <v>9</v>
      </c>
      <c r="E11" s="985">
        <f t="shared" si="1"/>
        <v>9</v>
      </c>
      <c r="F11" s="985">
        <f t="shared" si="2"/>
        <v>9</v>
      </c>
      <c r="G11" s="985">
        <f t="shared" si="3"/>
        <v>9</v>
      </c>
      <c r="H11" s="985">
        <f t="shared" si="4"/>
        <v>9</v>
      </c>
      <c r="I11" s="985">
        <f t="shared" si="5"/>
        <v>27</v>
      </c>
      <c r="J11" s="985"/>
      <c r="K11" s="985"/>
      <c r="L11" s="985"/>
      <c r="M11" s="985"/>
      <c r="N11" s="985"/>
      <c r="O11" s="985"/>
      <c r="P11" s="985"/>
    </row>
    <row r="12" spans="1:17" ht="13.8" x14ac:dyDescent="0.3">
      <c r="B12" s="988"/>
      <c r="C12" s="986" t="str">
        <f t="shared" si="0"/>
        <v>?</v>
      </c>
      <c r="D12" s="985">
        <f t="shared" si="6"/>
        <v>20</v>
      </c>
      <c r="E12" s="985">
        <f t="shared" si="1"/>
        <v>20</v>
      </c>
      <c r="F12" s="985">
        <f t="shared" si="2"/>
        <v>20</v>
      </c>
      <c r="G12" s="985">
        <f t="shared" si="3"/>
        <v>20</v>
      </c>
      <c r="H12" s="985">
        <f t="shared" si="4"/>
        <v>20</v>
      </c>
      <c r="I12" s="985">
        <f t="shared" si="5"/>
        <v>50</v>
      </c>
      <c r="J12" s="985"/>
      <c r="K12" s="985"/>
      <c r="L12" s="985"/>
      <c r="M12" s="985"/>
      <c r="N12" s="985"/>
      <c r="O12" s="985"/>
      <c r="P12" s="985"/>
    </row>
    <row r="13" spans="1:17" ht="13.8" x14ac:dyDescent="0.3">
      <c r="B13" s="988"/>
      <c r="C13" s="989"/>
      <c r="D13" s="985"/>
      <c r="E13" s="985"/>
      <c r="F13" s="985"/>
      <c r="G13" s="985"/>
      <c r="H13" s="985"/>
      <c r="I13" s="985"/>
      <c r="J13" s="985"/>
      <c r="K13" s="985"/>
      <c r="L13" s="985"/>
      <c r="M13" s="985"/>
      <c r="N13" s="985"/>
      <c r="O13" s="985"/>
      <c r="P13" s="985"/>
    </row>
    <row r="14" spans="1:17" ht="163.5" customHeight="1" x14ac:dyDescent="0.3">
      <c r="B14" s="988"/>
      <c r="C14" s="985"/>
      <c r="D14" s="985"/>
      <c r="E14" s="985"/>
      <c r="F14" s="985"/>
      <c r="G14" s="985"/>
      <c r="H14" s="985"/>
      <c r="I14" s="985"/>
      <c r="J14" s="985"/>
      <c r="K14" s="985"/>
      <c r="L14" s="985"/>
      <c r="M14" s="985"/>
      <c r="N14" s="985"/>
      <c r="O14" s="985"/>
      <c r="P14" s="985"/>
    </row>
    <row r="15" spans="1:17" ht="71.25" customHeight="1" x14ac:dyDescent="0.3">
      <c r="B15" s="990" t="str">
        <f ca="1">' '!A468</f>
        <v>No.</v>
      </c>
      <c r="C15" s="991"/>
      <c r="D15" s="992" t="str">
        <f ca="1">' '!A339</f>
        <v>Pondération</v>
      </c>
      <c r="E15" s="1103" t="s">
        <v>587</v>
      </c>
      <c r="F15" s="1103"/>
      <c r="G15" s="1103" t="s">
        <v>588</v>
      </c>
      <c r="H15" s="1103"/>
      <c r="I15" s="1103" t="s">
        <v>946</v>
      </c>
      <c r="J15" s="1103"/>
      <c r="K15" s="1103" t="s">
        <v>946</v>
      </c>
      <c r="L15" s="1103"/>
      <c r="M15" s="1103" t="s">
        <v>946</v>
      </c>
      <c r="N15" s="1103"/>
      <c r="O15" s="1103" t="s">
        <v>946</v>
      </c>
      <c r="P15" s="1104"/>
    </row>
    <row r="16" spans="1:17" s="752" customFormat="1" ht="15.6" x14ac:dyDescent="0.25">
      <c r="A16"/>
      <c r="B16" s="993"/>
      <c r="C16" s="994"/>
      <c r="D16" s="994"/>
      <c r="E16" s="994" t="str">
        <f ca="1">' '!A340</f>
        <v>Evaluation</v>
      </c>
      <c r="F16" s="995" t="str">
        <f ca="1">' '!A341</f>
        <v>Totale</v>
      </c>
      <c r="G16" s="994" t="str">
        <f ca="1">E16</f>
        <v>Evaluation</v>
      </c>
      <c r="H16" s="995" t="str">
        <f ca="1">F16</f>
        <v>Totale</v>
      </c>
      <c r="I16" s="994" t="str">
        <f ca="1">E16</f>
        <v>Evaluation</v>
      </c>
      <c r="J16" s="995" t="str">
        <f ca="1">F16</f>
        <v>Totale</v>
      </c>
      <c r="K16" s="994" t="str">
        <f ca="1">E16</f>
        <v>Evaluation</v>
      </c>
      <c r="L16" s="995" t="str">
        <f ca="1">F16</f>
        <v>Totale</v>
      </c>
      <c r="M16" s="994" t="str">
        <f ca="1">E16</f>
        <v>Evaluation</v>
      </c>
      <c r="N16" s="995" t="str">
        <f ca="1">F16</f>
        <v>Totale</v>
      </c>
      <c r="O16" s="994" t="str">
        <f ca="1">E16</f>
        <v>Evaluation</v>
      </c>
      <c r="P16" s="996" t="str">
        <f ca="1">F16</f>
        <v>Totale</v>
      </c>
    </row>
    <row r="17" spans="1:16" s="371" customFormat="1" ht="18" x14ac:dyDescent="0.3">
      <c r="A17"/>
      <c r="B17" s="997">
        <v>1</v>
      </c>
      <c r="C17" s="998" t="s">
        <v>535</v>
      </c>
      <c r="D17" s="999">
        <v>10</v>
      </c>
      <c r="E17" s="1000">
        <v>10</v>
      </c>
      <c r="F17" s="1001">
        <f>E17*D17</f>
        <v>100</v>
      </c>
      <c r="G17" s="1000">
        <v>4</v>
      </c>
      <c r="H17" s="1001">
        <f>D17*G17</f>
        <v>40</v>
      </c>
      <c r="I17" s="1000">
        <v>4</v>
      </c>
      <c r="J17" s="1001">
        <f>D17*I17</f>
        <v>40</v>
      </c>
      <c r="K17" s="1000">
        <v>4</v>
      </c>
      <c r="L17" s="1001">
        <f>D17*K17</f>
        <v>40</v>
      </c>
      <c r="M17" s="1000">
        <v>4</v>
      </c>
      <c r="N17" s="1001">
        <f>D17*M17</f>
        <v>40</v>
      </c>
      <c r="O17" s="1000">
        <v>4</v>
      </c>
      <c r="P17" s="1002">
        <f>D17*O17</f>
        <v>40</v>
      </c>
    </row>
    <row r="18" spans="1:16" s="371" customFormat="1" ht="18" x14ac:dyDescent="0.3">
      <c r="A18"/>
      <c r="B18" s="1003">
        <v>2</v>
      </c>
      <c r="C18" s="998" t="s">
        <v>536</v>
      </c>
      <c r="D18" s="999">
        <v>5</v>
      </c>
      <c r="E18" s="1000">
        <v>5</v>
      </c>
      <c r="F18" s="1001">
        <f t="shared" ref="F18:F24" si="7">E18*D18</f>
        <v>25</v>
      </c>
      <c r="G18" s="1000">
        <v>5</v>
      </c>
      <c r="H18" s="1001">
        <f t="shared" ref="H18:H24" si="8">D18*G18</f>
        <v>25</v>
      </c>
      <c r="I18" s="1000">
        <v>5</v>
      </c>
      <c r="J18" s="1001">
        <f t="shared" ref="J18:J24" si="9">D18*I18</f>
        <v>25</v>
      </c>
      <c r="K18" s="1000">
        <v>5</v>
      </c>
      <c r="L18" s="1001">
        <f t="shared" ref="L18:L24" si="10">D18*K18</f>
        <v>25</v>
      </c>
      <c r="M18" s="1000">
        <v>5</v>
      </c>
      <c r="N18" s="1001">
        <f t="shared" ref="N18:N24" si="11">D18*M18</f>
        <v>25</v>
      </c>
      <c r="O18" s="1000">
        <v>5</v>
      </c>
      <c r="P18" s="1002">
        <f t="shared" ref="P18:P24" si="12">D18*O18</f>
        <v>25</v>
      </c>
    </row>
    <row r="19" spans="1:16" s="371" customFormat="1" ht="18" x14ac:dyDescent="0.3">
      <c r="A19"/>
      <c r="B19" s="1004">
        <v>3</v>
      </c>
      <c r="C19" s="998" t="s">
        <v>946</v>
      </c>
      <c r="D19" s="999">
        <v>5</v>
      </c>
      <c r="E19" s="1000">
        <v>5</v>
      </c>
      <c r="F19" s="1001">
        <f t="shared" si="7"/>
        <v>25</v>
      </c>
      <c r="G19" s="1000">
        <v>5</v>
      </c>
      <c r="H19" s="1001">
        <f t="shared" si="8"/>
        <v>25</v>
      </c>
      <c r="I19" s="1000">
        <v>5</v>
      </c>
      <c r="J19" s="1001">
        <f t="shared" si="9"/>
        <v>25</v>
      </c>
      <c r="K19" s="1000">
        <v>5</v>
      </c>
      <c r="L19" s="1001">
        <f t="shared" si="10"/>
        <v>25</v>
      </c>
      <c r="M19" s="1000">
        <v>5</v>
      </c>
      <c r="N19" s="1001">
        <f t="shared" si="11"/>
        <v>25</v>
      </c>
      <c r="O19" s="1000">
        <v>5</v>
      </c>
      <c r="P19" s="1002">
        <f t="shared" si="12"/>
        <v>25</v>
      </c>
    </row>
    <row r="20" spans="1:16" s="371" customFormat="1" ht="18" x14ac:dyDescent="0.3">
      <c r="A20"/>
      <c r="B20" s="1005">
        <v>4</v>
      </c>
      <c r="C20" s="998" t="s">
        <v>946</v>
      </c>
      <c r="D20" s="999">
        <v>9</v>
      </c>
      <c r="E20" s="1000">
        <v>9</v>
      </c>
      <c r="F20" s="1001">
        <f t="shared" si="7"/>
        <v>81</v>
      </c>
      <c r="G20" s="1000">
        <v>9</v>
      </c>
      <c r="H20" s="1001">
        <f t="shared" si="8"/>
        <v>81</v>
      </c>
      <c r="I20" s="1000">
        <v>6</v>
      </c>
      <c r="J20" s="1001">
        <f t="shared" si="9"/>
        <v>54</v>
      </c>
      <c r="K20" s="1000">
        <v>4</v>
      </c>
      <c r="L20" s="1001">
        <f t="shared" si="10"/>
        <v>36</v>
      </c>
      <c r="M20" s="1000">
        <v>1</v>
      </c>
      <c r="N20" s="1001">
        <f t="shared" si="11"/>
        <v>9</v>
      </c>
      <c r="O20" s="1000">
        <v>2</v>
      </c>
      <c r="P20" s="1002">
        <f t="shared" si="12"/>
        <v>18</v>
      </c>
    </row>
    <row r="21" spans="1:16" s="371" customFormat="1" ht="18" x14ac:dyDescent="0.3">
      <c r="A21"/>
      <c r="B21" s="1006">
        <v>5</v>
      </c>
      <c r="C21" s="998" t="s">
        <v>946</v>
      </c>
      <c r="D21" s="999">
        <v>4</v>
      </c>
      <c r="E21" s="1000">
        <v>4</v>
      </c>
      <c r="F21" s="1001">
        <f t="shared" si="7"/>
        <v>16</v>
      </c>
      <c r="G21" s="1000">
        <v>4</v>
      </c>
      <c r="H21" s="1001">
        <f t="shared" si="8"/>
        <v>16</v>
      </c>
      <c r="I21" s="1000">
        <v>4</v>
      </c>
      <c r="J21" s="1001">
        <f t="shared" si="9"/>
        <v>16</v>
      </c>
      <c r="K21" s="1000">
        <v>4</v>
      </c>
      <c r="L21" s="1001">
        <f t="shared" si="10"/>
        <v>16</v>
      </c>
      <c r="M21" s="1000">
        <v>4</v>
      </c>
      <c r="N21" s="1001">
        <f t="shared" si="11"/>
        <v>16</v>
      </c>
      <c r="O21" s="1000">
        <v>4</v>
      </c>
      <c r="P21" s="1002">
        <f t="shared" si="12"/>
        <v>16</v>
      </c>
    </row>
    <row r="22" spans="1:16" s="371" customFormat="1" ht="18" x14ac:dyDescent="0.3">
      <c r="A22"/>
      <c r="B22" s="1007">
        <v>6</v>
      </c>
      <c r="C22" s="998" t="s">
        <v>946</v>
      </c>
      <c r="D22" s="999">
        <v>5</v>
      </c>
      <c r="E22" s="1000">
        <v>7</v>
      </c>
      <c r="F22" s="1001">
        <f t="shared" si="7"/>
        <v>35</v>
      </c>
      <c r="G22" s="1000">
        <v>6</v>
      </c>
      <c r="H22" s="1001">
        <f t="shared" si="8"/>
        <v>30</v>
      </c>
      <c r="I22" s="1000">
        <v>7</v>
      </c>
      <c r="J22" s="1001">
        <f t="shared" si="9"/>
        <v>35</v>
      </c>
      <c r="K22" s="1000">
        <v>6</v>
      </c>
      <c r="L22" s="1001">
        <f t="shared" si="10"/>
        <v>30</v>
      </c>
      <c r="M22" s="1000">
        <v>6</v>
      </c>
      <c r="N22" s="1001">
        <f t="shared" si="11"/>
        <v>30</v>
      </c>
      <c r="O22" s="1000">
        <v>6</v>
      </c>
      <c r="P22" s="1002">
        <f t="shared" si="12"/>
        <v>30</v>
      </c>
    </row>
    <row r="23" spans="1:16" s="371" customFormat="1" ht="18" x14ac:dyDescent="0.3">
      <c r="A23"/>
      <c r="B23" s="1008">
        <v>7</v>
      </c>
      <c r="C23" s="998" t="s">
        <v>946</v>
      </c>
      <c r="D23" s="999">
        <v>3</v>
      </c>
      <c r="E23" s="1000">
        <v>3</v>
      </c>
      <c r="F23" s="1001">
        <f t="shared" si="7"/>
        <v>9</v>
      </c>
      <c r="G23" s="1000">
        <v>3</v>
      </c>
      <c r="H23" s="1001">
        <f t="shared" si="8"/>
        <v>9</v>
      </c>
      <c r="I23" s="1000">
        <v>3</v>
      </c>
      <c r="J23" s="1001">
        <f t="shared" si="9"/>
        <v>9</v>
      </c>
      <c r="K23" s="1000">
        <v>3</v>
      </c>
      <c r="L23" s="1001">
        <f t="shared" si="10"/>
        <v>9</v>
      </c>
      <c r="M23" s="1000">
        <v>3</v>
      </c>
      <c r="N23" s="1001">
        <f t="shared" si="11"/>
        <v>9</v>
      </c>
      <c r="O23" s="1000">
        <v>9</v>
      </c>
      <c r="P23" s="1002">
        <f t="shared" si="12"/>
        <v>27</v>
      </c>
    </row>
    <row r="24" spans="1:16" s="371" customFormat="1" ht="18" x14ac:dyDescent="0.3">
      <c r="A24"/>
      <c r="B24" s="1009">
        <v>8</v>
      </c>
      <c r="C24" s="1010" t="s">
        <v>946</v>
      </c>
      <c r="D24" s="1011">
        <v>5</v>
      </c>
      <c r="E24" s="1012">
        <v>4</v>
      </c>
      <c r="F24" s="1013">
        <f t="shared" si="7"/>
        <v>20</v>
      </c>
      <c r="G24" s="1012">
        <v>4</v>
      </c>
      <c r="H24" s="1013">
        <f t="shared" si="8"/>
        <v>20</v>
      </c>
      <c r="I24" s="1012">
        <v>4</v>
      </c>
      <c r="J24" s="1013">
        <f t="shared" si="9"/>
        <v>20</v>
      </c>
      <c r="K24" s="1012">
        <v>4</v>
      </c>
      <c r="L24" s="1013">
        <f t="shared" si="10"/>
        <v>20</v>
      </c>
      <c r="M24" s="1012">
        <v>4</v>
      </c>
      <c r="N24" s="1013">
        <f t="shared" si="11"/>
        <v>20</v>
      </c>
      <c r="O24" s="1012">
        <v>10</v>
      </c>
      <c r="P24" s="1014">
        <f t="shared" si="12"/>
        <v>50</v>
      </c>
    </row>
    <row r="25" spans="1:16" ht="18.75" customHeight="1" x14ac:dyDescent="0.25">
      <c r="B25" s="1015"/>
      <c r="C25" s="1016" t="str">
        <f ca="1">' '!A341</f>
        <v>Totale</v>
      </c>
      <c r="D25" s="1017"/>
      <c r="E25" s="1018"/>
      <c r="F25" s="1018">
        <f>SUM(F17:F24)</f>
        <v>311</v>
      </c>
      <c r="G25" s="1018"/>
      <c r="H25" s="1018">
        <f>SUM(H17:H24)</f>
        <v>246</v>
      </c>
      <c r="I25" s="1018"/>
      <c r="J25" s="1018">
        <f>SUM(J17:J24)</f>
        <v>224</v>
      </c>
      <c r="K25" s="1018"/>
      <c r="L25" s="1018">
        <f>SUM(L17:L24)</f>
        <v>201</v>
      </c>
      <c r="M25" s="1018"/>
      <c r="N25" s="1018">
        <f>SUM(N17:N24)</f>
        <v>174</v>
      </c>
      <c r="O25" s="1018"/>
      <c r="P25" s="1018">
        <f>SUM(P17:P24)</f>
        <v>231</v>
      </c>
    </row>
    <row r="26" spans="1:16" ht="18.75" customHeight="1" x14ac:dyDescent="0.25">
      <c r="B26" s="335" t="s">
        <v>1776</v>
      </c>
    </row>
    <row r="27" spans="1:16" ht="18.75" customHeight="1" x14ac:dyDescent="0.25"/>
  </sheetData>
  <sheetProtection sheet="1" objects="1" scenarios="1" formatCells="0" formatColumns="0" formatRows="0" insertHyperlinks="0" selectLockedCells="1" sort="0" autoFilter="0"/>
  <mergeCells count="6">
    <mergeCell ref="O15:P15"/>
    <mergeCell ref="E15:F15"/>
    <mergeCell ref="G15:H15"/>
    <mergeCell ref="I15:J15"/>
    <mergeCell ref="K15:L15"/>
    <mergeCell ref="M15:N15"/>
  </mergeCells>
  <conditionalFormatting sqref="B25:C25">
    <cfRule type="expression" dxfId="72" priority="2">
      <formula>MOD(ROW(#REF!),2)=0</formula>
    </cfRule>
    <cfRule type="expression" dxfId="71" priority="3">
      <formula>MOD(ROW(#REF!),2)=0</formula>
    </cfRule>
  </conditionalFormatting>
  <conditionalFormatting sqref="C17:P24">
    <cfRule type="expression" dxfId="70" priority="1">
      <formula>MOD(ROW(A2),2)=0</formula>
    </cfRule>
    <cfRule type="expression" dxfId="69" priority="4">
      <formula>MOD(ROW(A1),2)=0</formula>
    </cfRule>
  </conditionalFormatting>
  <conditionalFormatting sqref="E17:E24">
    <cfRule type="iconSet" priority="5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G17:G24">
    <cfRule type="iconSet" priority="6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I17:I24">
    <cfRule type="iconSet" priority="7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K17:K24">
    <cfRule type="iconSet" priority="8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M17:M24">
    <cfRule type="iconSet" priority="9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O17:O24">
    <cfRule type="iconSet" priority="10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3">
    <dataValidation type="list" allowBlank="1" showInputMessage="1" showErrorMessage="1" sqref="D17:E24 G17:G24 I17:I24 K17:K24 M17:M24 O17:O24" xr:uid="{00000000-0002-0000-1500-000000000000}">
      <formula1>"1,2,3,4,5,6,7,8,9,10"</formula1>
    </dataValidation>
    <dataValidation showInputMessage="1" showErrorMessage="1" sqref="G26:G27" xr:uid="{00000000-0002-0000-1500-000001000000}"/>
    <dataValidation type="list" showInputMessage="1" showErrorMessage="1" sqref="J27" xr:uid="{00000000-0002-0000-1500-000002000000}">
      <formula1>"1,2,3"</formula1>
    </dataValidation>
  </dataValidations>
  <hyperlinks>
    <hyperlink ref="A11" location="x!A192" display="x!A192" xr:uid="{00000000-0004-0000-1500-000000000000}"/>
  </hyperlinks>
  <printOptions horizontalCentered="1" verticalCentered="1"/>
  <pageMargins left="0.25" right="0.25" top="0.75" bottom="0.75" header="0.3" footer="0.3"/>
  <pageSetup paperSize="9" scale="74" orientation="landscape" r:id="rId1"/>
  <headerFooter>
    <oddFooter>&amp;L&amp;8&amp;K00-048(c) S.Imboden&amp;R&amp;8&amp;K00-048Seite &amp;P von &amp;N</oddFooter>
  </headerFooter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Tabelle31">
    <tabColor theme="6" tint="0.59999389629810485"/>
  </sheetPr>
  <dimension ref="A1:K42"/>
  <sheetViews>
    <sheetView showGridLines="0" zoomScaleNormal="100" workbookViewId="0">
      <pane xSplit="2" ySplit="4" topLeftCell="C5" activePane="bottomRight" state="frozen"/>
      <selection activeCell="K1" sqref="K1"/>
      <selection pane="topRight" activeCell="K1" sqref="K1"/>
      <selection pane="bottomLeft" activeCell="K1" sqref="K1"/>
      <selection pane="bottomRight" activeCell="G4" sqref="G4"/>
    </sheetView>
  </sheetViews>
  <sheetFormatPr baseColWidth="10" defaultColWidth="28.44140625" defaultRowHeight="14.4" x14ac:dyDescent="0.3"/>
  <cols>
    <col min="1" max="1" width="7" style="7" customWidth="1"/>
    <col min="2" max="2" width="13.6640625" style="211" customWidth="1"/>
    <col min="3" max="3" width="32.33203125" style="211" customWidth="1"/>
    <col min="4" max="4" width="9.33203125" style="211" customWidth="1"/>
    <col min="5" max="5" width="11" style="211" customWidth="1"/>
    <col min="6" max="6" width="8.109375" style="211" bestFit="1" customWidth="1"/>
    <col min="7" max="11" width="14.33203125" style="212" customWidth="1"/>
    <col min="12" max="16384" width="28.44140625" style="211"/>
  </cols>
  <sheetData>
    <row r="1" spans="1:11" s="5" customFormat="1" ht="44.4" customHeight="1" x14ac:dyDescent="0.3">
      <c r="A1" s="3"/>
      <c r="B1" s="3" t="str">
        <f ca="1">' '!A352</f>
        <v>É V A L U A T I O N   D E S   V A R I A N T E S</v>
      </c>
      <c r="C1" s="2"/>
      <c r="D1" s="3"/>
      <c r="E1" s="3"/>
      <c r="F1" s="3"/>
      <c r="G1" s="3"/>
      <c r="H1" s="3"/>
      <c r="I1" s="3"/>
      <c r="J1" s="3"/>
      <c r="K1" s="260"/>
    </row>
    <row r="2" spans="1:11" s="7" customFormat="1" ht="22.5" customHeight="1" x14ac:dyDescent="0.3">
      <c r="C2" s="63"/>
      <c r="I2" s="210"/>
    </row>
    <row r="3" spans="1:11" s="216" customFormat="1" ht="30.75" customHeight="1" thickBot="1" x14ac:dyDescent="0.35">
      <c r="A3" s="7"/>
      <c r="B3" s="231" t="str">
        <f ca="1">' '!A353</f>
        <v>Domaine</v>
      </c>
      <c r="C3" s="232" t="str">
        <f ca="1">' '!A354</f>
        <v>Indicateur</v>
      </c>
      <c r="D3" s="213" t="str">
        <f ca="1">' '!A355</f>
        <v>Unité</v>
      </c>
      <c r="E3" s="213" t="str">
        <f ca="1">' '!A356</f>
        <v>Valeur actuelle</v>
      </c>
      <c r="F3" s="214"/>
      <c r="G3" s="215"/>
      <c r="H3" s="215"/>
      <c r="I3" s="215" t="str">
        <f ca="1">' '!A357</f>
        <v>Amélioration / détérioration</v>
      </c>
      <c r="J3" s="215"/>
      <c r="K3" s="215"/>
    </row>
    <row r="4" spans="1:11" x14ac:dyDescent="0.3">
      <c r="B4" s="231"/>
      <c r="C4" s="232"/>
      <c r="D4" s="213"/>
      <c r="E4" s="213"/>
      <c r="F4" s="214"/>
      <c r="G4" s="208" t="s">
        <v>587</v>
      </c>
      <c r="H4" s="208" t="s">
        <v>588</v>
      </c>
      <c r="I4" s="208" t="s">
        <v>946</v>
      </c>
      <c r="J4" s="208" t="s">
        <v>946</v>
      </c>
      <c r="K4" s="209" t="s">
        <v>946</v>
      </c>
    </row>
    <row r="5" spans="1:11" s="219" customFormat="1" ht="17.25" customHeight="1" x14ac:dyDescent="0.3">
      <c r="A5" s="217"/>
      <c r="B5" s="1119" t="str">
        <f ca="1">' '!A359</f>
        <v>Finances</v>
      </c>
      <c r="C5" s="1125" t="s">
        <v>54</v>
      </c>
      <c r="D5" s="1126" t="s">
        <v>598</v>
      </c>
      <c r="E5" s="1127">
        <v>200</v>
      </c>
      <c r="F5" s="218" t="str">
        <f ca="1">' '!A358</f>
        <v>absolue</v>
      </c>
      <c r="G5" s="227">
        <v>20</v>
      </c>
      <c r="H5" s="227">
        <v>-50</v>
      </c>
      <c r="I5" s="227">
        <v>15</v>
      </c>
      <c r="J5" s="227">
        <v>17</v>
      </c>
      <c r="K5" s="228">
        <v>19</v>
      </c>
    </row>
    <row r="6" spans="1:11" s="219" customFormat="1" ht="17.25" customHeight="1" x14ac:dyDescent="0.3">
      <c r="A6" s="217"/>
      <c r="B6" s="1119"/>
      <c r="C6" s="1105"/>
      <c r="D6" s="1106"/>
      <c r="E6" s="1107"/>
      <c r="F6" s="220" t="s">
        <v>593</v>
      </c>
      <c r="G6" s="221">
        <f>IF(AND(G5&lt;&gt;"",E5&lt;&gt;""),G5/$E5,"")</f>
        <v>0.1</v>
      </c>
      <c r="H6" s="221">
        <f>IF(AND(H5&lt;&gt;"",E5&lt;&gt;""),H5/$E5,"")</f>
        <v>-0.25</v>
      </c>
      <c r="I6" s="221">
        <f>IF(AND(I5&lt;&gt;"",E5&lt;&gt;""),I5/$E5,"")</f>
        <v>7.4999999999999997E-2</v>
      </c>
      <c r="J6" s="221">
        <f>IF(AND(J5&lt;&gt;"",E5&lt;&gt;""),J5/$E5,"")</f>
        <v>8.5000000000000006E-2</v>
      </c>
      <c r="K6" s="222">
        <f>IF(AND(K5&lt;&gt;"",E5&lt;&gt;""),K5/$E5,"")</f>
        <v>9.5000000000000001E-2</v>
      </c>
    </row>
    <row r="7" spans="1:11" s="219" customFormat="1" ht="17.25" customHeight="1" x14ac:dyDescent="0.3">
      <c r="A7" s="217"/>
      <c r="B7" s="1119"/>
      <c r="C7" s="1105" t="s">
        <v>594</v>
      </c>
      <c r="D7" s="1106" t="s">
        <v>593</v>
      </c>
      <c r="E7" s="1127">
        <v>0.53</v>
      </c>
      <c r="F7" s="223" t="str">
        <f ca="1">$F$5</f>
        <v>absolue</v>
      </c>
      <c r="G7" s="229">
        <v>0.01</v>
      </c>
      <c r="H7" s="229">
        <v>0.03</v>
      </c>
      <c r="I7" s="229">
        <v>0.02</v>
      </c>
      <c r="J7" s="229">
        <v>0.05</v>
      </c>
      <c r="K7" s="230">
        <v>-0.02</v>
      </c>
    </row>
    <row r="8" spans="1:11" s="219" customFormat="1" ht="17.25" customHeight="1" x14ac:dyDescent="0.3">
      <c r="A8" s="217"/>
      <c r="B8" s="1119"/>
      <c r="C8" s="1105"/>
      <c r="D8" s="1106"/>
      <c r="E8" s="1107"/>
      <c r="F8" s="220" t="s">
        <v>593</v>
      </c>
      <c r="G8" s="221">
        <f>IF(AND(G7&lt;&gt;"",E7&lt;&gt;""),G7/$E7,"")</f>
        <v>1.8867924528301886E-2</v>
      </c>
      <c r="H8" s="221">
        <f>IF(AND(H7&lt;&gt;"",E7&lt;&gt;""),H7/$E7,"")</f>
        <v>5.6603773584905655E-2</v>
      </c>
      <c r="I8" s="221">
        <f>IF(AND(I7&lt;&gt;"",E7&lt;&gt;""),I7/$E7,"")</f>
        <v>3.7735849056603772E-2</v>
      </c>
      <c r="J8" s="221">
        <f>IF(AND(J7&lt;&gt;"",E7&lt;&gt;""),J7/$E7,"")</f>
        <v>9.4339622641509441E-2</v>
      </c>
      <c r="K8" s="222">
        <f>IF(AND(K7&lt;&gt;"",E7&lt;&gt;""),K7/$E7,"")</f>
        <v>-3.7735849056603772E-2</v>
      </c>
    </row>
    <row r="9" spans="1:11" s="219" customFormat="1" ht="17.25" customHeight="1" x14ac:dyDescent="0.3">
      <c r="A9" s="217"/>
      <c r="B9" s="1119"/>
      <c r="C9" s="1105" t="s">
        <v>597</v>
      </c>
      <c r="D9" s="1106" t="s">
        <v>598</v>
      </c>
      <c r="E9" s="1127">
        <v>57</v>
      </c>
      <c r="F9" s="223" t="str">
        <f ca="1">$F$5</f>
        <v>absolue</v>
      </c>
      <c r="G9" s="229">
        <v>20</v>
      </c>
      <c r="H9" s="229">
        <v>300</v>
      </c>
      <c r="I9" s="229">
        <v>25</v>
      </c>
      <c r="J9" s="229">
        <v>30</v>
      </c>
      <c r="K9" s="230">
        <v>50</v>
      </c>
    </row>
    <row r="10" spans="1:11" s="219" customFormat="1" ht="17.25" customHeight="1" x14ac:dyDescent="0.3">
      <c r="A10" s="217"/>
      <c r="B10" s="1119"/>
      <c r="C10" s="1105"/>
      <c r="D10" s="1106"/>
      <c r="E10" s="1107"/>
      <c r="F10" s="220" t="s">
        <v>593</v>
      </c>
      <c r="G10" s="221">
        <f>IF(AND(G9&lt;&gt;"",E9&lt;&gt;""),G9/$E9,"")</f>
        <v>0.35087719298245612</v>
      </c>
      <c r="H10" s="221">
        <f>IF(AND(H9&lt;&gt;"",E9&lt;&gt;""),H9/$E9,"")</f>
        <v>5.2631578947368425</v>
      </c>
      <c r="I10" s="221">
        <f>IF(AND(I9&lt;&gt;"",E9&lt;&gt;""),I9/$E9,"")</f>
        <v>0.43859649122807015</v>
      </c>
      <c r="J10" s="221">
        <f>IF(AND(J9&lt;&gt;"",E9&lt;&gt;""),J9/$E9,"")</f>
        <v>0.52631578947368418</v>
      </c>
      <c r="K10" s="222">
        <f>IF(AND(K9&lt;&gt;"",E9&lt;&gt;""),K9/$E9,"")</f>
        <v>0.8771929824561403</v>
      </c>
    </row>
    <row r="11" spans="1:11" s="219" customFormat="1" ht="17.25" customHeight="1" x14ac:dyDescent="0.3">
      <c r="A11" s="217"/>
      <c r="B11" s="1119"/>
      <c r="C11" s="1128" t="s">
        <v>944</v>
      </c>
      <c r="D11" s="1106" t="s">
        <v>598</v>
      </c>
      <c r="E11" s="1116"/>
      <c r="F11" s="223" t="str">
        <f ca="1">$F$5</f>
        <v>absolue</v>
      </c>
      <c r="G11" s="229">
        <v>1</v>
      </c>
      <c r="H11" s="229">
        <v>2</v>
      </c>
      <c r="I11" s="229">
        <v>10</v>
      </c>
      <c r="J11" s="229">
        <v>0.5</v>
      </c>
      <c r="K11" s="230">
        <v>0.3</v>
      </c>
    </row>
    <row r="12" spans="1:11" s="219" customFormat="1" ht="17.25" customHeight="1" x14ac:dyDescent="0.3">
      <c r="A12" s="217"/>
      <c r="B12" s="1120"/>
      <c r="C12" s="1114"/>
      <c r="D12" s="1115"/>
      <c r="E12" s="1117"/>
      <c r="F12" s="224" t="s">
        <v>593</v>
      </c>
      <c r="G12" s="225" t="str">
        <f>IF(AND(G11&lt;&gt;"",E11&lt;&gt;""),G11/$E11,"")</f>
        <v/>
      </c>
      <c r="H12" s="225" t="str">
        <f>IF(AND(H11&lt;&gt;"",E11&lt;&gt;""),H11/$E11,"")</f>
        <v/>
      </c>
      <c r="I12" s="225" t="str">
        <f>IF(AND(I11&lt;&gt;"",E11&lt;&gt;""),I11/$E11,"")</f>
        <v/>
      </c>
      <c r="J12" s="225" t="str">
        <f>IF(AND(J11&lt;&gt;"",E11&lt;&gt;""),J11/$E11,"")</f>
        <v/>
      </c>
      <c r="K12" s="226" t="str">
        <f>IF(AND(K11&lt;&gt;"",E11&lt;&gt;""),K11/$E11,"")</f>
        <v/>
      </c>
    </row>
    <row r="13" spans="1:11" s="219" customFormat="1" ht="17.25" customHeight="1" x14ac:dyDescent="0.3">
      <c r="A13" s="217"/>
      <c r="B13" s="1118" t="str">
        <f ca="1">' '!A360</f>
        <v>Clients</v>
      </c>
      <c r="C13" s="1105" t="s">
        <v>595</v>
      </c>
      <c r="D13" s="1129" t="s">
        <v>596</v>
      </c>
      <c r="E13" s="1107">
        <v>1270</v>
      </c>
      <c r="F13" s="218" t="str">
        <f ca="1">$F$5</f>
        <v>absolue</v>
      </c>
      <c r="G13" s="227"/>
      <c r="H13" s="227"/>
      <c r="I13" s="227"/>
      <c r="J13" s="227"/>
      <c r="K13" s="228"/>
    </row>
    <row r="14" spans="1:11" s="219" customFormat="1" ht="17.25" customHeight="1" x14ac:dyDescent="0.3">
      <c r="A14" s="217"/>
      <c r="B14" s="1119"/>
      <c r="C14" s="1105"/>
      <c r="D14" s="1106"/>
      <c r="E14" s="1107"/>
      <c r="F14" s="220" t="s">
        <v>593</v>
      </c>
      <c r="G14" s="221" t="str">
        <f>IF(AND(G13&lt;&gt;"",E13&lt;&gt;""),G13/$E13,"")</f>
        <v/>
      </c>
      <c r="H14" s="221" t="str">
        <f>IF(AND(H13&lt;&gt;"",E13&lt;&gt;""),H13/$E13,"")</f>
        <v/>
      </c>
      <c r="I14" s="221" t="str">
        <f>IF(AND(I13&lt;&gt;"",E13&lt;&gt;""),I13/$E13,"")</f>
        <v/>
      </c>
      <c r="J14" s="221" t="str">
        <f>IF(AND(J13&lt;&gt;"",E13&lt;&gt;""),J13/$E13,"")</f>
        <v/>
      </c>
      <c r="K14" s="222" t="str">
        <f>IF(AND(K13&lt;&gt;"",E13&lt;&gt;""),K13/$E13,"")</f>
        <v/>
      </c>
    </row>
    <row r="15" spans="1:11" s="219" customFormat="1" ht="17.25" customHeight="1" x14ac:dyDescent="0.3">
      <c r="A15" s="217"/>
      <c r="B15" s="1119"/>
      <c r="C15" s="1128" t="s">
        <v>580</v>
      </c>
      <c r="D15" s="1129" t="s">
        <v>945</v>
      </c>
      <c r="E15" s="1127">
        <v>5</v>
      </c>
      <c r="F15" s="223" t="str">
        <f ca="1">$F$5</f>
        <v>absolue</v>
      </c>
      <c r="G15" s="229"/>
      <c r="H15" s="229"/>
      <c r="I15" s="229"/>
      <c r="J15" s="229"/>
      <c r="K15" s="230"/>
    </row>
    <row r="16" spans="1:11" s="219" customFormat="1" ht="17.25" customHeight="1" x14ac:dyDescent="0.3">
      <c r="A16" s="217"/>
      <c r="B16" s="1119"/>
      <c r="C16" s="1105"/>
      <c r="D16" s="1106"/>
      <c r="E16" s="1107"/>
      <c r="F16" s="220" t="s">
        <v>593</v>
      </c>
      <c r="G16" s="221" t="str">
        <f>IF(AND(G15&lt;&gt;"",E15&lt;&gt;""),G15/$E15,"")</f>
        <v/>
      </c>
      <c r="H16" s="221" t="str">
        <f>IF(AND(H15&lt;&gt;"",E15&lt;&gt;""),H15/$E15,"")</f>
        <v/>
      </c>
      <c r="I16" s="221" t="str">
        <f>IF(AND(I15&lt;&gt;"",E15&lt;&gt;""),I15/$E15,"")</f>
        <v/>
      </c>
      <c r="J16" s="221" t="str">
        <f>IF(AND(J15&lt;&gt;"",E15&lt;&gt;""),J15/$E15,"")</f>
        <v/>
      </c>
      <c r="K16" s="222" t="str">
        <f>IF(AND(K15&lt;&gt;"",E15&lt;&gt;""),K15/$E15,"")</f>
        <v/>
      </c>
    </row>
    <row r="17" spans="1:11" s="219" customFormat="1" ht="17.25" customHeight="1" x14ac:dyDescent="0.3">
      <c r="A17" s="217"/>
      <c r="B17" s="1119"/>
      <c r="C17" s="1105"/>
      <c r="D17" s="1106"/>
      <c r="E17" s="1107"/>
      <c r="F17" s="223" t="str">
        <f ca="1">$F$5</f>
        <v>absolue</v>
      </c>
      <c r="G17" s="229"/>
      <c r="H17" s="229"/>
      <c r="I17" s="229"/>
      <c r="J17" s="229"/>
      <c r="K17" s="230"/>
    </row>
    <row r="18" spans="1:11" s="219" customFormat="1" ht="17.25" customHeight="1" x14ac:dyDescent="0.3">
      <c r="A18" s="217"/>
      <c r="B18" s="1119"/>
      <c r="C18" s="1105"/>
      <c r="D18" s="1106"/>
      <c r="E18" s="1107"/>
      <c r="F18" s="220" t="s">
        <v>593</v>
      </c>
      <c r="G18" s="221" t="str">
        <f>IF(AND(G17&lt;&gt;"",E17&lt;&gt;""),G17/$E17,"")</f>
        <v/>
      </c>
      <c r="H18" s="221" t="str">
        <f>IF(AND(H17&lt;&gt;"",E17&lt;&gt;""),H17/$E17,"")</f>
        <v/>
      </c>
      <c r="I18" s="221" t="str">
        <f>IF(AND(I17&lt;&gt;"",E17&lt;&gt;""),I17/$E17,"")</f>
        <v/>
      </c>
      <c r="J18" s="221" t="str">
        <f>IF(AND(J17&lt;&gt;"",E17&lt;&gt;""),J17/$E17,"")</f>
        <v/>
      </c>
      <c r="K18" s="222" t="str">
        <f>IF(AND(K17&lt;&gt;"",E17&lt;&gt;""),K17/$E17,"")</f>
        <v/>
      </c>
    </row>
    <row r="19" spans="1:11" s="219" customFormat="1" ht="17.25" customHeight="1" x14ac:dyDescent="0.3">
      <c r="A19" s="217"/>
      <c r="B19" s="1119"/>
      <c r="C19" s="1105"/>
      <c r="D19" s="1106"/>
      <c r="E19" s="1116"/>
      <c r="F19" s="223" t="str">
        <f ca="1">$F$5</f>
        <v>absolue</v>
      </c>
      <c r="G19" s="229"/>
      <c r="H19" s="229"/>
      <c r="I19" s="229"/>
      <c r="J19" s="229"/>
      <c r="K19" s="230"/>
    </row>
    <row r="20" spans="1:11" s="219" customFormat="1" ht="17.25" customHeight="1" x14ac:dyDescent="0.3">
      <c r="A20" s="217"/>
      <c r="B20" s="1120"/>
      <c r="C20" s="1114"/>
      <c r="D20" s="1115"/>
      <c r="E20" s="1117"/>
      <c r="F20" s="224" t="s">
        <v>593</v>
      </c>
      <c r="G20" s="225" t="str">
        <f>IF(AND(G19&lt;&gt;"",E19&lt;&gt;""),G19/$E19,"")</f>
        <v/>
      </c>
      <c r="H20" s="225" t="str">
        <f>IF(AND(H19&lt;&gt;"",E19&lt;&gt;""),H19/$E19,"")</f>
        <v/>
      </c>
      <c r="I20" s="225" t="str">
        <f>IF(AND(I19&lt;&gt;"",E19&lt;&gt;""),I19/$E19,"")</f>
        <v/>
      </c>
      <c r="J20" s="225" t="str">
        <f>IF(AND(J19&lt;&gt;"",E19&lt;&gt;""),J19/$E19,"")</f>
        <v/>
      </c>
      <c r="K20" s="226" t="str">
        <f>IF(AND(K19&lt;&gt;"",E19&lt;&gt;""),K19/$E19,"")</f>
        <v/>
      </c>
    </row>
    <row r="21" spans="1:11" s="219" customFormat="1" ht="17.25" customHeight="1" x14ac:dyDescent="0.3">
      <c r="A21" s="217"/>
      <c r="B21" s="1118" t="s">
        <v>946</v>
      </c>
      <c r="C21" s="1121"/>
      <c r="D21" s="1122"/>
      <c r="E21" s="1123"/>
      <c r="F21" s="218" t="str">
        <f ca="1">$F$5</f>
        <v>absolue</v>
      </c>
      <c r="G21" s="227"/>
      <c r="H21" s="227"/>
      <c r="I21" s="227"/>
      <c r="J21" s="227"/>
      <c r="K21" s="228"/>
    </row>
    <row r="22" spans="1:11" s="219" customFormat="1" ht="17.25" customHeight="1" x14ac:dyDescent="0.3">
      <c r="A22" s="217"/>
      <c r="B22" s="1119"/>
      <c r="C22" s="1105"/>
      <c r="D22" s="1106"/>
      <c r="E22" s="1107"/>
      <c r="F22" s="220" t="s">
        <v>593</v>
      </c>
      <c r="G22" s="221" t="str">
        <f>IF(AND(G21&lt;&gt;"",E21&lt;&gt;""),G21/$E21,"")</f>
        <v/>
      </c>
      <c r="H22" s="221" t="str">
        <f>IF(AND(H21&lt;&gt;"",E21&lt;&gt;""),H21/$E21,"")</f>
        <v/>
      </c>
      <c r="I22" s="221" t="str">
        <f>IF(AND(I21&lt;&gt;"",E21&lt;&gt;""),I21/$E21,"")</f>
        <v/>
      </c>
      <c r="J22" s="221" t="str">
        <f>IF(AND(J21&lt;&gt;"",E21&lt;&gt;""),J21/$E21,"")</f>
        <v/>
      </c>
      <c r="K22" s="222" t="str">
        <f>IF(AND(K21&lt;&gt;"",E21&lt;&gt;""),K21/$E21,"")</f>
        <v/>
      </c>
    </row>
    <row r="23" spans="1:11" s="219" customFormat="1" ht="17.25" customHeight="1" x14ac:dyDescent="0.3">
      <c r="A23" s="217"/>
      <c r="B23" s="1119"/>
      <c r="C23" s="1105"/>
      <c r="D23" s="1106"/>
      <c r="E23" s="1124"/>
      <c r="F23" s="223" t="str">
        <f ca="1">$F$5</f>
        <v>absolue</v>
      </c>
      <c r="G23" s="229"/>
      <c r="H23" s="229"/>
      <c r="I23" s="229"/>
      <c r="J23" s="229"/>
      <c r="K23" s="230"/>
    </row>
    <row r="24" spans="1:11" s="219" customFormat="1" ht="17.25" customHeight="1" x14ac:dyDescent="0.3">
      <c r="A24" s="217"/>
      <c r="B24" s="1119"/>
      <c r="C24" s="1105"/>
      <c r="D24" s="1106"/>
      <c r="E24" s="1107"/>
      <c r="F24" s="220" t="s">
        <v>593</v>
      </c>
      <c r="G24" s="221" t="str">
        <f>IF(AND(G23&lt;&gt;"",E23&lt;&gt;""),G23/$E23,"")</f>
        <v/>
      </c>
      <c r="H24" s="221" t="str">
        <f>IF(AND(H23&lt;&gt;"",E23&lt;&gt;""),H23/$E23,"")</f>
        <v/>
      </c>
      <c r="I24" s="221" t="str">
        <f>IF(AND(I23&lt;&gt;"",E23&lt;&gt;""),I23/$E23,"")</f>
        <v/>
      </c>
      <c r="J24" s="221" t="str">
        <f>IF(AND(J23&lt;&gt;"",E23&lt;&gt;""),J23/$E23,"")</f>
        <v/>
      </c>
      <c r="K24" s="222" t="str">
        <f>IF(AND(K23&lt;&gt;"",E23&lt;&gt;""),K23/$E23,"")</f>
        <v/>
      </c>
    </row>
    <row r="25" spans="1:11" s="219" customFormat="1" ht="17.25" customHeight="1" x14ac:dyDescent="0.3">
      <c r="A25" s="217"/>
      <c r="B25" s="1119"/>
      <c r="C25" s="1105"/>
      <c r="D25" s="1106"/>
      <c r="E25" s="1107"/>
      <c r="F25" s="223" t="str">
        <f ca="1">$F$5</f>
        <v>absolue</v>
      </c>
      <c r="G25" s="229"/>
      <c r="H25" s="229"/>
      <c r="I25" s="229"/>
      <c r="J25" s="229"/>
      <c r="K25" s="230"/>
    </row>
    <row r="26" spans="1:11" s="219" customFormat="1" ht="17.25" customHeight="1" x14ac:dyDescent="0.3">
      <c r="A26" s="217"/>
      <c r="B26" s="1119"/>
      <c r="C26" s="1105"/>
      <c r="D26" s="1106"/>
      <c r="E26" s="1107"/>
      <c r="F26" s="220" t="s">
        <v>593</v>
      </c>
      <c r="G26" s="221" t="str">
        <f>IF(AND(G25&lt;&gt;"",E25&lt;&gt;""),G25/$E25,"")</f>
        <v/>
      </c>
      <c r="H26" s="221" t="str">
        <f>IF(AND(H25&lt;&gt;"",E25&lt;&gt;""),H25/$E25,"")</f>
        <v/>
      </c>
      <c r="I26" s="221" t="str">
        <f>IF(AND(I25&lt;&gt;"",E25&lt;&gt;""),I25/$E25,"")</f>
        <v/>
      </c>
      <c r="J26" s="221" t="str">
        <f>IF(AND(J25&lt;&gt;"",E25&lt;&gt;""),J25/$E25,"")</f>
        <v/>
      </c>
      <c r="K26" s="222" t="str">
        <f>IF(AND(K25&lt;&gt;"",E25&lt;&gt;""),K25/$E25,"")</f>
        <v/>
      </c>
    </row>
    <row r="27" spans="1:11" s="219" customFormat="1" ht="17.25" customHeight="1" x14ac:dyDescent="0.3">
      <c r="A27" s="217"/>
      <c r="B27" s="1119"/>
      <c r="C27" s="1105"/>
      <c r="D27" s="1106"/>
      <c r="E27" s="1116"/>
      <c r="F27" s="223" t="str">
        <f ca="1">$F$5</f>
        <v>absolue</v>
      </c>
      <c r="G27" s="229"/>
      <c r="H27" s="229"/>
      <c r="I27" s="229"/>
      <c r="J27" s="229"/>
      <c r="K27" s="230"/>
    </row>
    <row r="28" spans="1:11" s="219" customFormat="1" ht="17.25" customHeight="1" x14ac:dyDescent="0.3">
      <c r="A28" s="217"/>
      <c r="B28" s="1120"/>
      <c r="C28" s="1114"/>
      <c r="D28" s="1115"/>
      <c r="E28" s="1117"/>
      <c r="F28" s="224" t="s">
        <v>593</v>
      </c>
      <c r="G28" s="225" t="str">
        <f>IF(AND(G27&lt;&gt;"",E27&lt;&gt;""),G27/$E27,"")</f>
        <v/>
      </c>
      <c r="H28" s="225" t="str">
        <f>IF(AND(H27&lt;&gt;"",E27&lt;&gt;""),H27/$E27,"")</f>
        <v/>
      </c>
      <c r="I28" s="225" t="str">
        <f>IF(AND(I27&lt;&gt;"",E27&lt;&gt;""),I27/$E27,"")</f>
        <v/>
      </c>
      <c r="J28" s="225" t="str">
        <f>IF(AND(J27&lt;&gt;"",E27&lt;&gt;""),J27/$E27,"")</f>
        <v/>
      </c>
      <c r="K28" s="226" t="str">
        <f>IF(AND(K27&lt;&gt;"",E27&lt;&gt;""),K27/$E27,"")</f>
        <v/>
      </c>
    </row>
    <row r="29" spans="1:11" s="219" customFormat="1" ht="17.25" customHeight="1" x14ac:dyDescent="0.3">
      <c r="A29" s="217"/>
      <c r="B29" s="1118" t="s">
        <v>946</v>
      </c>
      <c r="C29" s="1121"/>
      <c r="D29" s="1122"/>
      <c r="E29" s="1123"/>
      <c r="F29" s="218" t="str">
        <f ca="1">$F$5</f>
        <v>absolue</v>
      </c>
      <c r="G29" s="227"/>
      <c r="H29" s="227"/>
      <c r="I29" s="227"/>
      <c r="J29" s="227"/>
      <c r="K29" s="228"/>
    </row>
    <row r="30" spans="1:11" s="219" customFormat="1" ht="17.25" customHeight="1" x14ac:dyDescent="0.3">
      <c r="A30" s="217"/>
      <c r="B30" s="1119"/>
      <c r="C30" s="1105"/>
      <c r="D30" s="1106"/>
      <c r="E30" s="1107"/>
      <c r="F30" s="220" t="s">
        <v>593</v>
      </c>
      <c r="G30" s="221" t="str">
        <f>IF(AND(G29&lt;&gt;"",E29&lt;&gt;""),G29/$E29,"")</f>
        <v/>
      </c>
      <c r="H30" s="221" t="str">
        <f>IF(AND(H29&lt;&gt;"",E29&lt;&gt;""),H29/$E29,"")</f>
        <v/>
      </c>
      <c r="I30" s="221" t="str">
        <f>IF(AND(I29&lt;&gt;"",E29&lt;&gt;""),I29/$E29,"")</f>
        <v/>
      </c>
      <c r="J30" s="221" t="str">
        <f>IF(AND(J29&lt;&gt;"",E29&lt;&gt;""),J29/$E29,"")</f>
        <v/>
      </c>
      <c r="K30" s="222" t="str">
        <f>IF(AND(K29&lt;&gt;"",E29&lt;&gt;""),K29/$E29,"")</f>
        <v/>
      </c>
    </row>
    <row r="31" spans="1:11" s="219" customFormat="1" ht="17.25" customHeight="1" x14ac:dyDescent="0.3">
      <c r="A31" s="217"/>
      <c r="B31" s="1119"/>
      <c r="C31" s="1105"/>
      <c r="D31" s="1106"/>
      <c r="E31" s="1124"/>
      <c r="F31" s="223" t="str">
        <f ca="1">$F$5</f>
        <v>absolue</v>
      </c>
      <c r="G31" s="229"/>
      <c r="H31" s="229"/>
      <c r="I31" s="229"/>
      <c r="J31" s="229"/>
      <c r="K31" s="230"/>
    </row>
    <row r="32" spans="1:11" s="219" customFormat="1" ht="17.25" customHeight="1" x14ac:dyDescent="0.3">
      <c r="A32" s="217"/>
      <c r="B32" s="1119"/>
      <c r="C32" s="1105"/>
      <c r="D32" s="1106"/>
      <c r="E32" s="1107"/>
      <c r="F32" s="220" t="s">
        <v>593</v>
      </c>
      <c r="G32" s="221" t="str">
        <f>IF(AND(G31&lt;&gt;"",E31&lt;&gt;""),G31/$E31,"")</f>
        <v/>
      </c>
      <c r="H32" s="221" t="str">
        <f>IF(AND(H31&lt;&gt;"",E31&lt;&gt;""),H31/$E31,"")</f>
        <v/>
      </c>
      <c r="I32" s="221" t="str">
        <f>IF(AND(I31&lt;&gt;"",E31&lt;&gt;""),I31/$E31,"")</f>
        <v/>
      </c>
      <c r="J32" s="221" t="str">
        <f>IF(AND(J31&lt;&gt;"",E31&lt;&gt;""),J31/$E31,"")</f>
        <v/>
      </c>
      <c r="K32" s="222" t="str">
        <f>IF(AND(K31&lt;&gt;"",E31&lt;&gt;""),K31/$E31,"")</f>
        <v/>
      </c>
    </row>
    <row r="33" spans="1:11" s="219" customFormat="1" ht="17.25" customHeight="1" x14ac:dyDescent="0.3">
      <c r="A33" s="217"/>
      <c r="B33" s="1119"/>
      <c r="C33" s="1105"/>
      <c r="D33" s="1106"/>
      <c r="E33" s="1107"/>
      <c r="F33" s="223" t="str">
        <f ca="1">$F$5</f>
        <v>absolue</v>
      </c>
      <c r="G33" s="229"/>
      <c r="H33" s="229"/>
      <c r="I33" s="229"/>
      <c r="J33" s="229"/>
      <c r="K33" s="230"/>
    </row>
    <row r="34" spans="1:11" s="219" customFormat="1" ht="17.25" customHeight="1" x14ac:dyDescent="0.3">
      <c r="A34" s="217"/>
      <c r="B34" s="1119"/>
      <c r="C34" s="1105"/>
      <c r="D34" s="1106"/>
      <c r="E34" s="1107"/>
      <c r="F34" s="220" t="s">
        <v>593</v>
      </c>
      <c r="G34" s="221" t="str">
        <f>IF(AND(G33&lt;&gt;"",E33&lt;&gt;""),G33/$E33,"")</f>
        <v/>
      </c>
      <c r="H34" s="221" t="str">
        <f>IF(AND(H33&lt;&gt;"",E33&lt;&gt;""),H33/$E33,"")</f>
        <v/>
      </c>
      <c r="I34" s="221" t="str">
        <f>IF(AND(I33&lt;&gt;"",E33&lt;&gt;""),I33/$E33,"")</f>
        <v/>
      </c>
      <c r="J34" s="221" t="str">
        <f>IF(AND(J33&lt;&gt;"",E33&lt;&gt;""),J33/$E33,"")</f>
        <v/>
      </c>
      <c r="K34" s="222" t="str">
        <f>IF(AND(K33&lt;&gt;"",E33&lt;&gt;""),K33/$E33,"")</f>
        <v/>
      </c>
    </row>
    <row r="35" spans="1:11" s="219" customFormat="1" ht="17.25" customHeight="1" x14ac:dyDescent="0.3">
      <c r="A35" s="217"/>
      <c r="B35" s="1119"/>
      <c r="C35" s="1108"/>
      <c r="D35" s="1110"/>
      <c r="E35" s="1112"/>
      <c r="F35" s="223" t="str">
        <f ca="1">$F$5</f>
        <v>absolue</v>
      </c>
      <c r="G35" s="229"/>
      <c r="H35" s="229"/>
      <c r="I35" s="229"/>
      <c r="J35" s="229"/>
      <c r="K35" s="230"/>
    </row>
    <row r="36" spans="1:11" s="219" customFormat="1" ht="17.25" customHeight="1" x14ac:dyDescent="0.3">
      <c r="A36" s="217"/>
      <c r="B36" s="1120"/>
      <c r="C36" s="1109"/>
      <c r="D36" s="1111"/>
      <c r="E36" s="1113"/>
      <c r="F36" s="224" t="s">
        <v>593</v>
      </c>
      <c r="G36" s="225" t="str">
        <f>IF(AND(G35&lt;&gt;"",E35&lt;&gt;""),G35/$E35,"")</f>
        <v/>
      </c>
      <c r="H36" s="225" t="str">
        <f>IF(AND(H35&lt;&gt;"",E35&lt;&gt;""),H35/$E35,"")</f>
        <v/>
      </c>
      <c r="I36" s="225" t="str">
        <f>IF(AND(I35&lt;&gt;"",E35&lt;&gt;""),I35/$E35,"")</f>
        <v/>
      </c>
      <c r="J36" s="225" t="str">
        <f>IF(AND(J35&lt;&gt;"",E35&lt;&gt;""),J35/$E35,"")</f>
        <v/>
      </c>
      <c r="K36" s="226" t="str">
        <f>IF(AND(K35&lt;&gt;"",E35&lt;&gt;""),K35/$E35,"")</f>
        <v/>
      </c>
    </row>
    <row r="37" spans="1:11" ht="17.25" customHeight="1" x14ac:dyDescent="0.3">
      <c r="B37" s="335" t="s">
        <v>1776</v>
      </c>
      <c r="C37"/>
    </row>
    <row r="38" spans="1:11" ht="17.25" customHeight="1" x14ac:dyDescent="0.3"/>
    <row r="39" spans="1:11" ht="17.25" customHeight="1" x14ac:dyDescent="0.3"/>
    <row r="40" spans="1:11" ht="17.25" customHeight="1" x14ac:dyDescent="0.3"/>
    <row r="41" spans="1:11" ht="17.25" customHeight="1" x14ac:dyDescent="0.3"/>
    <row r="42" spans="1:11" ht="17.25" customHeight="1" x14ac:dyDescent="0.3"/>
  </sheetData>
  <sheetProtection sheet="1" objects="1" scenarios="1" formatCells="0" formatColumns="0" formatRows="0" insertHyperlinks="0" selectLockedCells="1" sort="0" autoFilter="0"/>
  <mergeCells count="52">
    <mergeCell ref="B13:B20"/>
    <mergeCell ref="C13:C14"/>
    <mergeCell ref="D13:D14"/>
    <mergeCell ref="E13:E14"/>
    <mergeCell ref="C15:C16"/>
    <mergeCell ref="D15:D16"/>
    <mergeCell ref="E15:E16"/>
    <mergeCell ref="B5:B12"/>
    <mergeCell ref="C5:C6"/>
    <mergeCell ref="D5:D6"/>
    <mergeCell ref="E5:E6"/>
    <mergeCell ref="C7:C8"/>
    <mergeCell ref="D7:D8"/>
    <mergeCell ref="E7:E8"/>
    <mergeCell ref="C9:C10"/>
    <mergeCell ref="D9:D10"/>
    <mergeCell ref="E9:E10"/>
    <mergeCell ref="C11:C12"/>
    <mergeCell ref="D11:D12"/>
    <mergeCell ref="E11:E12"/>
    <mergeCell ref="E23:E24"/>
    <mergeCell ref="C25:C26"/>
    <mergeCell ref="D25:D26"/>
    <mergeCell ref="E25:E26"/>
    <mergeCell ref="C17:C18"/>
    <mergeCell ref="D17:D18"/>
    <mergeCell ref="E17:E18"/>
    <mergeCell ref="C19:C20"/>
    <mergeCell ref="D19:D20"/>
    <mergeCell ref="E19:E20"/>
    <mergeCell ref="C27:C28"/>
    <mergeCell ref="D27:D28"/>
    <mergeCell ref="E27:E28"/>
    <mergeCell ref="B29:B36"/>
    <mergeCell ref="C29:C30"/>
    <mergeCell ref="D29:D30"/>
    <mergeCell ref="E29:E30"/>
    <mergeCell ref="C31:C32"/>
    <mergeCell ref="D31:D32"/>
    <mergeCell ref="E31:E32"/>
    <mergeCell ref="B21:B28"/>
    <mergeCell ref="C21:C22"/>
    <mergeCell ref="D21:D22"/>
    <mergeCell ref="E21:E22"/>
    <mergeCell ref="C23:C24"/>
    <mergeCell ref="D23:D24"/>
    <mergeCell ref="C33:C34"/>
    <mergeCell ref="D33:D34"/>
    <mergeCell ref="E33:E34"/>
    <mergeCell ref="C35:C36"/>
    <mergeCell ref="D35:D36"/>
    <mergeCell ref="E35:E36"/>
  </mergeCells>
  <conditionalFormatting sqref="G6 G8">
    <cfRule type="colorScale" priority="23">
      <colorScale>
        <cfvo type="num" val="-0.1"/>
        <cfvo type="num" val="0.1"/>
        <color theme="5" tint="0.59999389629810485"/>
        <color theme="6" tint="0.59999389629810485"/>
      </colorScale>
    </cfRule>
    <cfRule type="dataBar" priority="24">
      <dataBar>
        <cfvo type="min"/>
        <cfvo type="max"/>
        <color theme="4" tint="-0.249977111117893"/>
      </dataBar>
    </cfRule>
  </conditionalFormatting>
  <conditionalFormatting sqref="G10">
    <cfRule type="colorScale" priority="21">
      <colorScale>
        <cfvo type="num" val="-0.1"/>
        <cfvo type="num" val="0.1"/>
        <color theme="5" tint="0.59999389629810485"/>
        <color theme="6" tint="0.59999389629810485"/>
      </colorScale>
    </cfRule>
    <cfRule type="dataBar" priority="22">
      <dataBar>
        <cfvo type="min"/>
        <cfvo type="max"/>
        <color theme="4" tint="-0.249977111117893"/>
      </dataBar>
    </cfRule>
  </conditionalFormatting>
  <conditionalFormatting sqref="G12">
    <cfRule type="colorScale" priority="19">
      <colorScale>
        <cfvo type="num" val="-0.1"/>
        <cfvo type="num" val="0.1"/>
        <color theme="5" tint="0.59999389629810485"/>
        <color theme="6" tint="0.59999389629810485"/>
      </colorScale>
    </cfRule>
    <cfRule type="dataBar" priority="20">
      <dataBar>
        <cfvo type="min"/>
        <cfvo type="max"/>
        <color theme="4" tint="-0.249977111117893"/>
      </dataBar>
    </cfRule>
  </conditionalFormatting>
  <conditionalFormatting sqref="G14 G16">
    <cfRule type="colorScale" priority="17">
      <colorScale>
        <cfvo type="num" val="-0.1"/>
        <cfvo type="num" val="0.1"/>
        <color theme="5" tint="0.59999389629810485"/>
        <color theme="6" tint="0.59999389629810485"/>
      </colorScale>
    </cfRule>
    <cfRule type="dataBar" priority="18">
      <dataBar>
        <cfvo type="min"/>
        <cfvo type="max"/>
        <color theme="4" tint="-0.249977111117893"/>
      </dataBar>
    </cfRule>
  </conditionalFormatting>
  <conditionalFormatting sqref="G18">
    <cfRule type="colorScale" priority="15">
      <colorScale>
        <cfvo type="num" val="-0.1"/>
        <cfvo type="num" val="0.1"/>
        <color theme="5" tint="0.59999389629810485"/>
        <color theme="6" tint="0.59999389629810485"/>
      </colorScale>
    </cfRule>
    <cfRule type="dataBar" priority="16">
      <dataBar>
        <cfvo type="min"/>
        <cfvo type="max"/>
        <color theme="4" tint="-0.249977111117893"/>
      </dataBar>
    </cfRule>
  </conditionalFormatting>
  <conditionalFormatting sqref="G20">
    <cfRule type="colorScale" priority="13">
      <colorScale>
        <cfvo type="num" val="-0.1"/>
        <cfvo type="num" val="0.1"/>
        <color theme="5" tint="0.59999389629810485"/>
        <color theme="6" tint="0.59999389629810485"/>
      </colorScale>
    </cfRule>
    <cfRule type="dataBar" priority="14">
      <dataBar>
        <cfvo type="min"/>
        <cfvo type="max"/>
        <color theme="4" tint="-0.249977111117893"/>
      </dataBar>
    </cfRule>
  </conditionalFormatting>
  <conditionalFormatting sqref="G22 G24">
    <cfRule type="colorScale" priority="11">
      <colorScale>
        <cfvo type="num" val="-0.1"/>
        <cfvo type="num" val="0.1"/>
        <color theme="5" tint="0.59999389629810485"/>
        <color theme="6" tint="0.59999389629810485"/>
      </colorScale>
    </cfRule>
    <cfRule type="dataBar" priority="12">
      <dataBar>
        <cfvo type="min"/>
        <cfvo type="max"/>
        <color theme="4" tint="-0.249977111117893"/>
      </dataBar>
    </cfRule>
  </conditionalFormatting>
  <conditionalFormatting sqref="G26">
    <cfRule type="colorScale" priority="9">
      <colorScale>
        <cfvo type="num" val="-0.1"/>
        <cfvo type="num" val="0.1"/>
        <color theme="5" tint="0.59999389629810485"/>
        <color theme="6" tint="0.59999389629810485"/>
      </colorScale>
    </cfRule>
    <cfRule type="dataBar" priority="10">
      <dataBar>
        <cfvo type="min"/>
        <cfvo type="max"/>
        <color theme="4" tint="-0.249977111117893"/>
      </dataBar>
    </cfRule>
  </conditionalFormatting>
  <conditionalFormatting sqref="G28">
    <cfRule type="colorScale" priority="7">
      <colorScale>
        <cfvo type="num" val="-0.1"/>
        <cfvo type="num" val="0.1"/>
        <color theme="5" tint="0.59999389629810485"/>
        <color theme="6" tint="0.59999389629810485"/>
      </colorScale>
    </cfRule>
    <cfRule type="dataBar" priority="8">
      <dataBar>
        <cfvo type="min"/>
        <cfvo type="max"/>
        <color theme="4" tint="-0.249977111117893"/>
      </dataBar>
    </cfRule>
  </conditionalFormatting>
  <conditionalFormatting sqref="G30 G32">
    <cfRule type="colorScale" priority="5">
      <colorScale>
        <cfvo type="num" val="-0.1"/>
        <cfvo type="num" val="0.1"/>
        <color theme="5" tint="0.59999389629810485"/>
        <color theme="6" tint="0.59999389629810485"/>
      </colorScale>
    </cfRule>
    <cfRule type="dataBar" priority="6">
      <dataBar>
        <cfvo type="min"/>
        <cfvo type="max"/>
        <color theme="4" tint="-0.249977111117893"/>
      </dataBar>
    </cfRule>
  </conditionalFormatting>
  <conditionalFormatting sqref="G34">
    <cfRule type="colorScale" priority="3">
      <colorScale>
        <cfvo type="num" val="-0.1"/>
        <cfvo type="num" val="0.1"/>
        <color theme="5" tint="0.59999389629810485"/>
        <color theme="6" tint="0.59999389629810485"/>
      </colorScale>
    </cfRule>
    <cfRule type="dataBar" priority="4">
      <dataBar>
        <cfvo type="min"/>
        <cfvo type="max"/>
        <color theme="4" tint="-0.249977111117893"/>
      </dataBar>
    </cfRule>
  </conditionalFormatting>
  <conditionalFormatting sqref="G36">
    <cfRule type="dataBar" priority="2">
      <dataBar>
        <cfvo type="min"/>
        <cfvo type="max"/>
        <color theme="4" tint="-0.249977111117893"/>
      </dataBar>
    </cfRule>
    <cfRule type="colorScale" priority="1">
      <colorScale>
        <cfvo type="num" val="-0.1"/>
        <cfvo type="num" val="0.1"/>
        <color theme="5" tint="0.59999389629810485"/>
        <color theme="6" tint="0.59999389629810485"/>
      </colorScale>
    </cfRule>
  </conditionalFormatting>
  <conditionalFormatting sqref="H6:K6 H8:K8">
    <cfRule type="dataBar" priority="84">
      <dataBar>
        <cfvo type="min"/>
        <cfvo type="max"/>
        <color theme="4" tint="-0.249977111117893"/>
      </dataBar>
    </cfRule>
    <cfRule type="colorScale" priority="83">
      <colorScale>
        <cfvo type="num" val="-0.1"/>
        <cfvo type="num" val="0.1"/>
        <color theme="5" tint="0.59999389629810485"/>
        <color theme="6" tint="0.59999389629810485"/>
      </colorScale>
    </cfRule>
  </conditionalFormatting>
  <conditionalFormatting sqref="H10:K10">
    <cfRule type="colorScale" priority="45">
      <colorScale>
        <cfvo type="num" val="-0.1"/>
        <cfvo type="num" val="0.1"/>
        <color theme="5" tint="0.59999389629810485"/>
        <color theme="6" tint="0.59999389629810485"/>
      </colorScale>
    </cfRule>
    <cfRule type="dataBar" priority="46">
      <dataBar>
        <cfvo type="min"/>
        <cfvo type="max"/>
        <color theme="4" tint="-0.249977111117893"/>
      </dataBar>
    </cfRule>
  </conditionalFormatting>
  <conditionalFormatting sqref="H12:K12">
    <cfRule type="colorScale" priority="43">
      <colorScale>
        <cfvo type="num" val="-0.1"/>
        <cfvo type="num" val="0.1"/>
        <color theme="5" tint="0.59999389629810485"/>
        <color theme="6" tint="0.59999389629810485"/>
      </colorScale>
    </cfRule>
    <cfRule type="dataBar" priority="44">
      <dataBar>
        <cfvo type="min"/>
        <cfvo type="max"/>
        <color theme="4" tint="-0.249977111117893"/>
      </dataBar>
    </cfRule>
  </conditionalFormatting>
  <conditionalFormatting sqref="H14:K14 H16:K16">
    <cfRule type="colorScale" priority="41">
      <colorScale>
        <cfvo type="num" val="-0.1"/>
        <cfvo type="num" val="0.1"/>
        <color theme="5" tint="0.59999389629810485"/>
        <color theme="6" tint="0.59999389629810485"/>
      </colorScale>
    </cfRule>
    <cfRule type="dataBar" priority="42">
      <dataBar>
        <cfvo type="min"/>
        <cfvo type="max"/>
        <color theme="4" tint="-0.249977111117893"/>
      </dataBar>
    </cfRule>
  </conditionalFormatting>
  <conditionalFormatting sqref="H18:K18">
    <cfRule type="colorScale" priority="39">
      <colorScale>
        <cfvo type="num" val="-0.1"/>
        <cfvo type="num" val="0.1"/>
        <color theme="5" tint="0.59999389629810485"/>
        <color theme="6" tint="0.59999389629810485"/>
      </colorScale>
    </cfRule>
    <cfRule type="dataBar" priority="40">
      <dataBar>
        <cfvo type="min"/>
        <cfvo type="max"/>
        <color theme="4" tint="-0.249977111117893"/>
      </dataBar>
    </cfRule>
  </conditionalFormatting>
  <conditionalFormatting sqref="H20:K20">
    <cfRule type="colorScale" priority="37">
      <colorScale>
        <cfvo type="num" val="-0.1"/>
        <cfvo type="num" val="0.1"/>
        <color theme="5" tint="0.59999389629810485"/>
        <color theme="6" tint="0.59999389629810485"/>
      </colorScale>
    </cfRule>
    <cfRule type="dataBar" priority="38">
      <dataBar>
        <cfvo type="min"/>
        <cfvo type="max"/>
        <color theme="4" tint="-0.249977111117893"/>
      </dataBar>
    </cfRule>
  </conditionalFormatting>
  <conditionalFormatting sqref="H22:K22 H24:K24">
    <cfRule type="colorScale" priority="35">
      <colorScale>
        <cfvo type="num" val="-0.1"/>
        <cfvo type="num" val="0.1"/>
        <color theme="5" tint="0.59999389629810485"/>
        <color theme="6" tint="0.59999389629810485"/>
      </colorScale>
    </cfRule>
    <cfRule type="dataBar" priority="36">
      <dataBar>
        <cfvo type="min"/>
        <cfvo type="max"/>
        <color theme="4" tint="-0.249977111117893"/>
      </dataBar>
    </cfRule>
  </conditionalFormatting>
  <conditionalFormatting sqref="H26:K26">
    <cfRule type="colorScale" priority="33">
      <colorScale>
        <cfvo type="num" val="-0.1"/>
        <cfvo type="num" val="0.1"/>
        <color theme="5" tint="0.59999389629810485"/>
        <color theme="6" tint="0.59999389629810485"/>
      </colorScale>
    </cfRule>
    <cfRule type="dataBar" priority="34">
      <dataBar>
        <cfvo type="min"/>
        <cfvo type="max"/>
        <color theme="4" tint="-0.249977111117893"/>
      </dataBar>
    </cfRule>
  </conditionalFormatting>
  <conditionalFormatting sqref="H28:K28">
    <cfRule type="colorScale" priority="31">
      <colorScale>
        <cfvo type="num" val="-0.1"/>
        <cfvo type="num" val="0.1"/>
        <color theme="5" tint="0.59999389629810485"/>
        <color theme="6" tint="0.59999389629810485"/>
      </colorScale>
    </cfRule>
    <cfRule type="dataBar" priority="32">
      <dataBar>
        <cfvo type="min"/>
        <cfvo type="max"/>
        <color theme="4" tint="-0.249977111117893"/>
      </dataBar>
    </cfRule>
  </conditionalFormatting>
  <conditionalFormatting sqref="H30:K30 H32:K32">
    <cfRule type="colorScale" priority="29">
      <colorScale>
        <cfvo type="num" val="-0.1"/>
        <cfvo type="num" val="0.1"/>
        <color theme="5" tint="0.59999389629810485"/>
        <color theme="6" tint="0.59999389629810485"/>
      </colorScale>
    </cfRule>
    <cfRule type="dataBar" priority="30">
      <dataBar>
        <cfvo type="min"/>
        <cfvo type="max"/>
        <color theme="4" tint="-0.249977111117893"/>
      </dataBar>
    </cfRule>
  </conditionalFormatting>
  <conditionalFormatting sqref="H34:K34">
    <cfRule type="colorScale" priority="27">
      <colorScale>
        <cfvo type="num" val="-0.1"/>
        <cfvo type="num" val="0.1"/>
        <color theme="5" tint="0.59999389629810485"/>
        <color theme="6" tint="0.59999389629810485"/>
      </colorScale>
    </cfRule>
    <cfRule type="dataBar" priority="28">
      <dataBar>
        <cfvo type="min"/>
        <cfvo type="max"/>
        <color theme="4" tint="-0.249977111117893"/>
      </dataBar>
    </cfRule>
  </conditionalFormatting>
  <conditionalFormatting sqref="H36:K36">
    <cfRule type="dataBar" priority="26">
      <dataBar>
        <cfvo type="min"/>
        <cfvo type="max"/>
        <color theme="4" tint="-0.249977111117893"/>
      </dataBar>
    </cfRule>
    <cfRule type="colorScale" priority="25">
      <colorScale>
        <cfvo type="num" val="-0.1"/>
        <cfvo type="num" val="0.1"/>
        <color theme="5" tint="0.59999389629810485"/>
        <color theme="6" tint="0.59999389629810485"/>
      </colorScale>
    </cfRule>
  </conditionalFormatting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&amp;L&amp;8&amp;K00-034(c) S. Imboden&amp;R&amp;8&amp;K00-033Seite &amp;P von &amp;N</oddFooter>
  </headerFooter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Tabelle18">
    <tabColor theme="6" tint="0.59999389629810485"/>
    <pageSetUpPr fitToPage="1"/>
  </sheetPr>
  <dimension ref="A1:BKN75"/>
  <sheetViews>
    <sheetView showGridLines="0" zoomScaleNormal="100" workbookViewId="0">
      <pane ySplit="4" topLeftCell="A5" activePane="bottomLeft" state="frozen"/>
      <selection activeCell="K1" sqref="K1"/>
      <selection pane="bottomLeft" activeCell="C2" sqref="C2"/>
    </sheetView>
  </sheetViews>
  <sheetFormatPr baseColWidth="10" defaultColWidth="11.44140625" defaultRowHeight="14.4" x14ac:dyDescent="0.3"/>
  <cols>
    <col min="1" max="1" width="7" style="7" customWidth="1"/>
    <col min="2" max="2" width="8.88671875" style="188" customWidth="1"/>
    <col min="3" max="3" width="26.44140625" style="188" customWidth="1"/>
    <col min="4" max="4" width="13.109375" style="188" customWidth="1"/>
    <col min="5" max="6" width="13.109375" style="193" customWidth="1"/>
    <col min="7" max="7" width="34.33203125" style="193" customWidth="1"/>
    <col min="8" max="8" width="7.44140625" style="21" customWidth="1"/>
    <col min="9" max="45" width="9.109375" style="188" customWidth="1"/>
    <col min="46" max="56" width="9.109375" style="189" customWidth="1"/>
    <col min="57" max="250" width="9.109375" style="188" customWidth="1"/>
    <col min="251" max="16384" width="11.44140625" style="188"/>
  </cols>
  <sheetData>
    <row r="1" spans="1:10" s="5" customFormat="1" ht="44.4" customHeight="1" x14ac:dyDescent="0.3">
      <c r="A1" s="2"/>
      <c r="B1" s="3" t="str">
        <f ca="1">' '!A410</f>
        <v>P L U S   V A L U E</v>
      </c>
      <c r="C1" s="3"/>
      <c r="D1" s="3"/>
      <c r="E1" s="191"/>
      <c r="F1" s="191"/>
      <c r="G1" s="191"/>
      <c r="H1" s="260"/>
    </row>
    <row r="2" spans="1:10" s="171" customFormat="1" ht="14.25" customHeight="1" x14ac:dyDescent="0.3">
      <c r="B2" s="236" t="str">
        <f ca="1">' '!A399</f>
        <v>du:</v>
      </c>
      <c r="C2" s="237">
        <v>41640</v>
      </c>
      <c r="D2" s="236" t="str">
        <f ca="1">' '!A400</f>
        <v>au:</v>
      </c>
      <c r="E2" s="238">
        <v>42004</v>
      </c>
      <c r="H2" s="7"/>
    </row>
    <row r="3" spans="1:10" s="65" customFormat="1" ht="10.5" customHeight="1" x14ac:dyDescent="0.3">
      <c r="A3" s="171"/>
      <c r="B3" s="186"/>
      <c r="D3" s="171"/>
      <c r="H3" s="21"/>
    </row>
    <row r="4" spans="1:10" ht="33" customHeight="1" x14ac:dyDescent="0.3">
      <c r="B4" s="353" t="str">
        <f ca="1">' '!A349</f>
        <v>Ranking</v>
      </c>
      <c r="C4" s="354" t="str">
        <f ca="1">' '!A411</f>
        <v>Idées</v>
      </c>
      <c r="D4" s="354" t="str">
        <f ca="1">' '!A412</f>
        <v>Plus-value pour clients</v>
      </c>
      <c r="E4" s="354" t="str">
        <f ca="1">' '!A414</f>
        <v>Économies</v>
      </c>
      <c r="F4" s="354" t="str">
        <f ca="1">' '!A416</f>
        <v>Investisse-ments</v>
      </c>
      <c r="G4" s="354" t="str">
        <f ca="1">' '!A413</f>
        <v>Remarques</v>
      </c>
      <c r="H4" s="355" t="str">
        <f ca="1">' '!A397</f>
        <v>Statut</v>
      </c>
      <c r="J4" s="189"/>
    </row>
    <row r="5" spans="1:10" s="190" customFormat="1" ht="23.4" x14ac:dyDescent="0.3">
      <c r="A5" s="7"/>
      <c r="B5" s="356">
        <f>IF(D5="","",RANK(D5,D$5:D$24)+COUNTIF(D$5:D5,D5)-1)</f>
        <v>3</v>
      </c>
      <c r="C5" s="357" t="s">
        <v>587</v>
      </c>
      <c r="D5" s="345">
        <v>2</v>
      </c>
      <c r="E5" s="345">
        <v>4</v>
      </c>
      <c r="F5" s="345">
        <v>1</v>
      </c>
      <c r="G5" s="359"/>
      <c r="H5" s="361">
        <v>2</v>
      </c>
    </row>
    <row r="6" spans="1:10" s="190" customFormat="1" ht="23.4" x14ac:dyDescent="0.3">
      <c r="A6" s="7"/>
      <c r="B6" s="356">
        <f>IF(D6="","",RANK(D6,D$5:D$24)+COUNTIF(D$5:D6,D6)-1)</f>
        <v>2</v>
      </c>
      <c r="C6" s="357" t="s">
        <v>588</v>
      </c>
      <c r="D6" s="345">
        <v>6</v>
      </c>
      <c r="E6" s="345">
        <v>6</v>
      </c>
      <c r="F6" s="345">
        <v>2</v>
      </c>
      <c r="G6" s="359"/>
      <c r="H6" s="362">
        <v>1</v>
      </c>
    </row>
    <row r="7" spans="1:10" s="190" customFormat="1" ht="23.4" x14ac:dyDescent="0.3">
      <c r="A7" s="7"/>
      <c r="B7" s="356">
        <f>IF(D7="","",RANK(D7,D$5:D$24)+COUNTIF(D$5:D7,D7)-1)</f>
        <v>1</v>
      </c>
      <c r="C7" s="357" t="s">
        <v>589</v>
      </c>
      <c r="D7" s="345">
        <v>10</v>
      </c>
      <c r="E7" s="345">
        <v>4</v>
      </c>
      <c r="F7" s="345">
        <v>3</v>
      </c>
      <c r="G7" s="359"/>
      <c r="H7" s="361"/>
    </row>
    <row r="8" spans="1:10" s="190" customFormat="1" ht="23.4" x14ac:dyDescent="0.3">
      <c r="A8" s="7"/>
      <c r="B8" s="356" t="str">
        <f>IF(D8="","",RANK(D8,D$5:D$24)+COUNTIF(D$5:D8,D8)-1)</f>
        <v/>
      </c>
      <c r="C8" s="357" t="s">
        <v>590</v>
      </c>
      <c r="D8" s="345"/>
      <c r="E8" s="345"/>
      <c r="F8" s="345"/>
      <c r="G8" s="359"/>
      <c r="H8" s="362"/>
    </row>
    <row r="9" spans="1:10" s="190" customFormat="1" ht="23.4" x14ac:dyDescent="0.3">
      <c r="A9" s="7"/>
      <c r="B9" s="356" t="str">
        <f>IF(D9="","",RANK(D9,D$5:D$24)+COUNTIF(D$5:D9,D9)-1)</f>
        <v/>
      </c>
      <c r="C9" s="357" t="s">
        <v>591</v>
      </c>
      <c r="D9" s="345"/>
      <c r="E9" s="345"/>
      <c r="F9" s="345"/>
      <c r="G9" s="359"/>
      <c r="H9" s="361"/>
    </row>
    <row r="10" spans="1:10" s="190" customFormat="1" ht="23.4" x14ac:dyDescent="0.3">
      <c r="A10" s="7"/>
      <c r="B10" s="356" t="str">
        <f>IF(D10="","",RANK(D10,D$5:D$24)+COUNTIF(D$5:D10,D10)-1)</f>
        <v/>
      </c>
      <c r="C10" s="357" t="s">
        <v>647</v>
      </c>
      <c r="D10" s="345"/>
      <c r="E10" s="345"/>
      <c r="F10" s="345"/>
      <c r="G10" s="359"/>
      <c r="H10" s="362"/>
    </row>
    <row r="11" spans="1:10" s="190" customFormat="1" ht="23.4" x14ac:dyDescent="0.3">
      <c r="A11" s="7"/>
      <c r="B11" s="356" t="str">
        <f>IF(D11="","",RANK(D11,D$5:D$24)+COUNTIF(D$5:D11,D11)-1)</f>
        <v/>
      </c>
      <c r="C11" s="357" t="s">
        <v>729</v>
      </c>
      <c r="D11" s="345"/>
      <c r="E11" s="345"/>
      <c r="F11" s="345"/>
      <c r="G11" s="359"/>
      <c r="H11" s="361"/>
    </row>
    <row r="12" spans="1:10" s="190" customFormat="1" ht="23.4" x14ac:dyDescent="0.3">
      <c r="A12" s="7"/>
      <c r="B12" s="356" t="str">
        <f>IF(D12="","",RANK(D12,D$5:D$24)+COUNTIF(D$5:D12,D12)-1)</f>
        <v/>
      </c>
      <c r="C12" s="357" t="s">
        <v>730</v>
      </c>
      <c r="D12" s="345"/>
      <c r="E12" s="345"/>
      <c r="F12" s="345"/>
      <c r="G12" s="359"/>
      <c r="H12" s="362"/>
    </row>
    <row r="13" spans="1:10" s="190" customFormat="1" ht="23.4" x14ac:dyDescent="0.3">
      <c r="A13" s="7"/>
      <c r="B13" s="356" t="str">
        <f>IF(D13="","",RANK(D13,D$5:D$24)+COUNTIF(D$5:D13,D13)-1)</f>
        <v/>
      </c>
      <c r="C13" s="357" t="s">
        <v>731</v>
      </c>
      <c r="D13" s="345"/>
      <c r="E13" s="345"/>
      <c r="F13" s="345"/>
      <c r="G13" s="359"/>
      <c r="H13" s="361"/>
    </row>
    <row r="14" spans="1:10" s="190" customFormat="1" ht="23.4" x14ac:dyDescent="0.3">
      <c r="A14" s="7"/>
      <c r="B14" s="356" t="str">
        <f>IF(D14="","",RANK(D14,D$5:D$24)+COUNTIF(D$5:D14,D14)-1)</f>
        <v/>
      </c>
      <c r="C14" s="357" t="s">
        <v>732</v>
      </c>
      <c r="D14" s="345"/>
      <c r="E14" s="345"/>
      <c r="F14" s="345"/>
      <c r="G14" s="359"/>
      <c r="H14" s="362"/>
    </row>
    <row r="15" spans="1:10" s="190" customFormat="1" ht="23.4" x14ac:dyDescent="0.3">
      <c r="A15" s="7"/>
      <c r="B15" s="356" t="str">
        <f>IF(D15="","",RANK(D15,D$5:D$24)+COUNTIF(D$5:D15,D15)-1)</f>
        <v/>
      </c>
      <c r="C15" s="357" t="s">
        <v>733</v>
      </c>
      <c r="D15" s="345"/>
      <c r="E15" s="345"/>
      <c r="F15" s="345"/>
      <c r="G15" s="359"/>
      <c r="H15" s="361"/>
    </row>
    <row r="16" spans="1:10" s="190" customFormat="1" ht="23.4" x14ac:dyDescent="0.3">
      <c r="A16" s="7"/>
      <c r="B16" s="356" t="str">
        <f>IF(D16="","",RANK(D16,D$5:D$24)+COUNTIF(D$5:D16,D16)-1)</f>
        <v/>
      </c>
      <c r="C16" s="357" t="s">
        <v>734</v>
      </c>
      <c r="D16" s="345"/>
      <c r="E16" s="345"/>
      <c r="F16" s="345"/>
      <c r="G16" s="359"/>
      <c r="H16" s="362"/>
    </row>
    <row r="17" spans="1:8" s="190" customFormat="1" ht="23.4" x14ac:dyDescent="0.3">
      <c r="A17" s="7"/>
      <c r="B17" s="356" t="str">
        <f>IF(D17="","",RANK(D17,D$5:D$24)+COUNTIF(D$5:D17,D17)-1)</f>
        <v/>
      </c>
      <c r="C17" s="357" t="s">
        <v>735</v>
      </c>
      <c r="D17" s="345"/>
      <c r="E17" s="345"/>
      <c r="F17" s="345"/>
      <c r="G17" s="359"/>
      <c r="H17" s="362"/>
    </row>
    <row r="18" spans="1:8" s="190" customFormat="1" ht="23.4" x14ac:dyDescent="0.3">
      <c r="A18" s="7"/>
      <c r="B18" s="356" t="str">
        <f>IF(D18="","",RANK(D18,D$5:D$24)+COUNTIF(D$5:D18,D18)-1)</f>
        <v/>
      </c>
      <c r="C18" s="357" t="s">
        <v>736</v>
      </c>
      <c r="D18" s="345"/>
      <c r="E18" s="345"/>
      <c r="F18" s="345"/>
      <c r="G18" s="359"/>
      <c r="H18" s="361"/>
    </row>
    <row r="19" spans="1:8" s="190" customFormat="1" ht="23.4" x14ac:dyDescent="0.3">
      <c r="A19" s="7"/>
      <c r="B19" s="356" t="str">
        <f>IF(D19="","",RANK(D19,D$5:D$24)+COUNTIF(D$5:D19,D19)-1)</f>
        <v/>
      </c>
      <c r="C19" s="357" t="s">
        <v>737</v>
      </c>
      <c r="D19" s="345"/>
      <c r="E19" s="345"/>
      <c r="F19" s="345"/>
      <c r="G19" s="359"/>
      <c r="H19" s="362"/>
    </row>
    <row r="20" spans="1:8" s="190" customFormat="1" ht="23.4" x14ac:dyDescent="0.3">
      <c r="A20" s="7"/>
      <c r="B20" s="356" t="str">
        <f>IF(D20="","",RANK(D20,D$5:D$24)+COUNTIF(D$5:D20,D20)-1)</f>
        <v/>
      </c>
      <c r="C20" s="357" t="s">
        <v>738</v>
      </c>
      <c r="D20" s="345"/>
      <c r="E20" s="345"/>
      <c r="F20" s="345"/>
      <c r="G20" s="359"/>
      <c r="H20" s="361"/>
    </row>
    <row r="21" spans="1:8" s="190" customFormat="1" ht="23.4" x14ac:dyDescent="0.3">
      <c r="A21" s="7"/>
      <c r="B21" s="356" t="str">
        <f>IF(D21="","",RANK(D21,D$5:D$24)+COUNTIF(D$5:D21,D21)-1)</f>
        <v/>
      </c>
      <c r="C21" s="357" t="s">
        <v>739</v>
      </c>
      <c r="D21" s="345"/>
      <c r="E21" s="345"/>
      <c r="F21" s="345"/>
      <c r="G21" s="359"/>
      <c r="H21" s="362"/>
    </row>
    <row r="22" spans="1:8" s="190" customFormat="1" ht="23.4" x14ac:dyDescent="0.3">
      <c r="A22" s="7"/>
      <c r="B22" s="356" t="str">
        <f>IF(D22="","",RANK(D22,D$5:D$24)+COUNTIF(D$5:D22,D22)-1)</f>
        <v/>
      </c>
      <c r="C22" s="357" t="s">
        <v>740</v>
      </c>
      <c r="D22" s="345"/>
      <c r="E22" s="345"/>
      <c r="F22" s="345"/>
      <c r="G22" s="359"/>
      <c r="H22" s="362"/>
    </row>
    <row r="23" spans="1:8" s="190" customFormat="1" ht="23.4" x14ac:dyDescent="0.3">
      <c r="A23" s="7"/>
      <c r="B23" s="356" t="str">
        <f>IF(D23="","",RANK(D23,D$5:D$24)+COUNTIF(D$5:D23,D23)-1)</f>
        <v/>
      </c>
      <c r="C23" s="357" t="s">
        <v>741</v>
      </c>
      <c r="D23" s="345"/>
      <c r="E23" s="345"/>
      <c r="F23" s="345"/>
      <c r="G23" s="359"/>
      <c r="H23" s="361"/>
    </row>
    <row r="24" spans="1:8" s="190" customFormat="1" ht="23.4" x14ac:dyDescent="0.3">
      <c r="A24" s="7"/>
      <c r="B24" s="363" t="str">
        <f>IF(D24="","",RANK(D24,D$5:D$24)+COUNTIF(D$5:D24,D24)-1)</f>
        <v/>
      </c>
      <c r="C24" s="364" t="s">
        <v>743</v>
      </c>
      <c r="D24" s="350"/>
      <c r="E24" s="350"/>
      <c r="F24" s="350"/>
      <c r="G24" s="366"/>
      <c r="H24" s="368"/>
    </row>
    <row r="25" spans="1:8" x14ac:dyDescent="0.3">
      <c r="A25" s="171"/>
      <c r="B25" s="335" t="s">
        <v>1776</v>
      </c>
      <c r="C25" s="189"/>
      <c r="D25" s="189"/>
      <c r="E25" s="189"/>
      <c r="F25" s="189"/>
      <c r="G25" s="189"/>
    </row>
    <row r="26" spans="1:8" x14ac:dyDescent="0.3">
      <c r="A26" s="171"/>
      <c r="B26" s="189"/>
      <c r="C26" s="189"/>
      <c r="D26" s="189"/>
      <c r="E26" s="189"/>
      <c r="F26" s="189"/>
      <c r="G26" s="189"/>
    </row>
    <row r="27" spans="1:8" x14ac:dyDescent="0.3">
      <c r="A27" s="171"/>
      <c r="B27" s="189"/>
      <c r="C27" s="189"/>
      <c r="D27" s="189"/>
      <c r="E27" s="189"/>
      <c r="F27" s="189"/>
      <c r="G27" s="189"/>
    </row>
    <row r="28" spans="1:8" x14ac:dyDescent="0.3">
      <c r="A28" s="171"/>
      <c r="B28" s="193" t="s">
        <v>0</v>
      </c>
      <c r="C28" s="193" t="s">
        <v>1</v>
      </c>
      <c r="D28" s="193" t="s">
        <v>2</v>
      </c>
      <c r="E28" s="194" t="s">
        <v>3</v>
      </c>
      <c r="F28" s="194"/>
      <c r="G28" s="235"/>
    </row>
    <row r="29" spans="1:8" x14ac:dyDescent="0.3">
      <c r="A29" s="171"/>
      <c r="B29" s="195" t="str">
        <f t="shared" ref="B29:B48" si="0">IF(D5="","",INDEX($B$5:$D$24,MATCH(D29,$B$5:$B$24,0),2))</f>
        <v>Idee 3</v>
      </c>
      <c r="C29" s="195">
        <f t="shared" ref="C29:C48" si="1">IF(D5="","",INDEX($B$5:$D$24,MATCH(D29,$B$5:$B$24,0),3))</f>
        <v>10</v>
      </c>
      <c r="D29" s="195">
        <v>1</v>
      </c>
      <c r="E29" s="196">
        <f>IF(C29="","",C29/SUM($C$29:$C$48))</f>
        <v>0.55555555555555558</v>
      </c>
      <c r="F29" s="196"/>
      <c r="G29" s="233"/>
    </row>
    <row r="30" spans="1:8" x14ac:dyDescent="0.3">
      <c r="A30" s="171"/>
      <c r="B30" s="195" t="str">
        <f t="shared" si="0"/>
        <v>Idee 2</v>
      </c>
      <c r="C30" s="195">
        <f t="shared" si="1"/>
        <v>6</v>
      </c>
      <c r="D30" s="195">
        <v>2</v>
      </c>
      <c r="E30" s="196">
        <f t="shared" ref="E30:E48" si="2">IF(C30="","",(C30/SUM($C$29:$C$48)+E29))</f>
        <v>0.88888888888888884</v>
      </c>
      <c r="F30" s="196"/>
      <c r="G30" s="233"/>
    </row>
    <row r="31" spans="1:8" x14ac:dyDescent="0.3">
      <c r="A31" s="171"/>
      <c r="B31" s="195" t="str">
        <f t="shared" si="0"/>
        <v>Idee 1</v>
      </c>
      <c r="C31" s="195">
        <f t="shared" si="1"/>
        <v>2</v>
      </c>
      <c r="D31" s="195">
        <v>3</v>
      </c>
      <c r="E31" s="196">
        <f t="shared" si="2"/>
        <v>1</v>
      </c>
      <c r="F31" s="196"/>
      <c r="G31" s="233"/>
    </row>
    <row r="32" spans="1:8" x14ac:dyDescent="0.3">
      <c r="A32" s="171"/>
      <c r="B32" s="195" t="str">
        <f t="shared" si="0"/>
        <v/>
      </c>
      <c r="C32" s="195" t="str">
        <f t="shared" si="1"/>
        <v/>
      </c>
      <c r="D32" s="195">
        <v>4</v>
      </c>
      <c r="E32" s="196" t="str">
        <f t="shared" si="2"/>
        <v/>
      </c>
      <c r="F32" s="196"/>
      <c r="G32" s="233"/>
    </row>
    <row r="33" spans="1:7" x14ac:dyDescent="0.3">
      <c r="A33" s="171"/>
      <c r="B33" s="195" t="str">
        <f t="shared" si="0"/>
        <v/>
      </c>
      <c r="C33" s="195" t="str">
        <f t="shared" si="1"/>
        <v/>
      </c>
      <c r="D33" s="195">
        <v>5</v>
      </c>
      <c r="E33" s="196" t="str">
        <f t="shared" si="2"/>
        <v/>
      </c>
      <c r="F33" s="196"/>
      <c r="G33" s="233"/>
    </row>
    <row r="34" spans="1:7" x14ac:dyDescent="0.3">
      <c r="A34" s="171"/>
      <c r="B34" s="195" t="str">
        <f t="shared" si="0"/>
        <v/>
      </c>
      <c r="C34" s="195" t="str">
        <f t="shared" si="1"/>
        <v/>
      </c>
      <c r="D34" s="195">
        <v>6</v>
      </c>
      <c r="E34" s="196" t="str">
        <f t="shared" si="2"/>
        <v/>
      </c>
      <c r="F34" s="196"/>
      <c r="G34" s="233"/>
    </row>
    <row r="35" spans="1:7" x14ac:dyDescent="0.3">
      <c r="A35" s="171"/>
      <c r="B35" s="195" t="str">
        <f t="shared" si="0"/>
        <v/>
      </c>
      <c r="C35" s="195" t="str">
        <f t="shared" si="1"/>
        <v/>
      </c>
      <c r="D35" s="195">
        <v>7</v>
      </c>
      <c r="E35" s="196" t="str">
        <f t="shared" si="2"/>
        <v/>
      </c>
      <c r="F35" s="196"/>
      <c r="G35" s="233"/>
    </row>
    <row r="36" spans="1:7" x14ac:dyDescent="0.3">
      <c r="A36" s="171"/>
      <c r="B36" s="195" t="str">
        <f t="shared" si="0"/>
        <v/>
      </c>
      <c r="C36" s="195" t="str">
        <f t="shared" si="1"/>
        <v/>
      </c>
      <c r="D36" s="195">
        <v>8</v>
      </c>
      <c r="E36" s="196" t="str">
        <f t="shared" si="2"/>
        <v/>
      </c>
      <c r="F36" s="196"/>
      <c r="G36" s="233"/>
    </row>
    <row r="37" spans="1:7" x14ac:dyDescent="0.3">
      <c r="A37" s="171"/>
      <c r="B37" s="195" t="str">
        <f t="shared" si="0"/>
        <v/>
      </c>
      <c r="C37" s="195" t="str">
        <f t="shared" si="1"/>
        <v/>
      </c>
      <c r="D37" s="195">
        <v>9</v>
      </c>
      <c r="E37" s="196" t="str">
        <f t="shared" si="2"/>
        <v/>
      </c>
      <c r="F37" s="196"/>
      <c r="G37" s="233"/>
    </row>
    <row r="38" spans="1:7" x14ac:dyDescent="0.3">
      <c r="A38" s="171"/>
      <c r="B38" s="195" t="str">
        <f t="shared" si="0"/>
        <v/>
      </c>
      <c r="C38" s="195" t="str">
        <f t="shared" si="1"/>
        <v/>
      </c>
      <c r="D38" s="195">
        <v>10</v>
      </c>
      <c r="E38" s="196" t="str">
        <f t="shared" si="2"/>
        <v/>
      </c>
      <c r="F38" s="196"/>
      <c r="G38" s="233"/>
    </row>
    <row r="39" spans="1:7" x14ac:dyDescent="0.3">
      <c r="A39" s="171"/>
      <c r="B39" s="195" t="str">
        <f t="shared" si="0"/>
        <v/>
      </c>
      <c r="C39" s="195" t="str">
        <f t="shared" si="1"/>
        <v/>
      </c>
      <c r="D39" s="195">
        <v>11</v>
      </c>
      <c r="E39" s="196" t="str">
        <f t="shared" si="2"/>
        <v/>
      </c>
      <c r="F39" s="196"/>
      <c r="G39" s="233"/>
    </row>
    <row r="40" spans="1:7" x14ac:dyDescent="0.3">
      <c r="A40" s="171"/>
      <c r="B40" s="195" t="str">
        <f t="shared" si="0"/>
        <v/>
      </c>
      <c r="C40" s="195" t="str">
        <f t="shared" si="1"/>
        <v/>
      </c>
      <c r="D40" s="195">
        <v>12</v>
      </c>
      <c r="E40" s="196" t="str">
        <f t="shared" si="2"/>
        <v/>
      </c>
      <c r="F40" s="196"/>
      <c r="G40" s="233"/>
    </row>
    <row r="41" spans="1:7" x14ac:dyDescent="0.3">
      <c r="A41" s="171"/>
      <c r="B41" s="195" t="str">
        <f t="shared" si="0"/>
        <v/>
      </c>
      <c r="C41" s="195" t="str">
        <f t="shared" si="1"/>
        <v/>
      </c>
      <c r="D41" s="195">
        <v>13</v>
      </c>
      <c r="E41" s="196" t="str">
        <f t="shared" si="2"/>
        <v/>
      </c>
      <c r="F41" s="196"/>
      <c r="G41" s="233"/>
    </row>
    <row r="42" spans="1:7" x14ac:dyDescent="0.3">
      <c r="A42" s="171"/>
      <c r="B42" s="195" t="str">
        <f t="shared" si="0"/>
        <v/>
      </c>
      <c r="C42" s="195" t="str">
        <f t="shared" si="1"/>
        <v/>
      </c>
      <c r="D42" s="195">
        <v>14</v>
      </c>
      <c r="E42" s="196" t="str">
        <f t="shared" si="2"/>
        <v/>
      </c>
      <c r="F42" s="196"/>
      <c r="G42" s="233"/>
    </row>
    <row r="43" spans="1:7" x14ac:dyDescent="0.3">
      <c r="A43" s="171"/>
      <c r="B43" s="195" t="str">
        <f t="shared" si="0"/>
        <v/>
      </c>
      <c r="C43" s="195" t="str">
        <f t="shared" si="1"/>
        <v/>
      </c>
      <c r="D43" s="195">
        <v>15</v>
      </c>
      <c r="E43" s="196" t="str">
        <f t="shared" si="2"/>
        <v/>
      </c>
      <c r="F43" s="196"/>
      <c r="G43" s="233"/>
    </row>
    <row r="44" spans="1:7" x14ac:dyDescent="0.3">
      <c r="A44" s="171"/>
      <c r="B44" s="195" t="str">
        <f t="shared" si="0"/>
        <v/>
      </c>
      <c r="C44" s="195" t="str">
        <f t="shared" si="1"/>
        <v/>
      </c>
      <c r="D44" s="195">
        <v>16</v>
      </c>
      <c r="E44" s="196" t="str">
        <f t="shared" si="2"/>
        <v/>
      </c>
      <c r="F44" s="196"/>
      <c r="G44" s="233"/>
    </row>
    <row r="45" spans="1:7" x14ac:dyDescent="0.3">
      <c r="A45" s="171"/>
      <c r="B45" s="195" t="str">
        <f t="shared" si="0"/>
        <v/>
      </c>
      <c r="C45" s="195" t="str">
        <f t="shared" si="1"/>
        <v/>
      </c>
      <c r="D45" s="195">
        <v>17</v>
      </c>
      <c r="E45" s="196" t="str">
        <f t="shared" si="2"/>
        <v/>
      </c>
      <c r="F45" s="196"/>
      <c r="G45" s="233"/>
    </row>
    <row r="46" spans="1:7" x14ac:dyDescent="0.3">
      <c r="A46" s="171"/>
      <c r="B46" s="195" t="str">
        <f t="shared" si="0"/>
        <v/>
      </c>
      <c r="C46" s="195" t="str">
        <f t="shared" si="1"/>
        <v/>
      </c>
      <c r="D46" s="195">
        <v>18</v>
      </c>
      <c r="E46" s="196" t="str">
        <f t="shared" si="2"/>
        <v/>
      </c>
      <c r="F46" s="196"/>
      <c r="G46" s="233"/>
    </row>
    <row r="47" spans="1:7" x14ac:dyDescent="0.3">
      <c r="A47" s="171"/>
      <c r="B47" s="195" t="str">
        <f t="shared" si="0"/>
        <v/>
      </c>
      <c r="C47" s="195" t="str">
        <f t="shared" si="1"/>
        <v/>
      </c>
      <c r="D47" s="195">
        <v>19</v>
      </c>
      <c r="E47" s="196" t="str">
        <f t="shared" si="2"/>
        <v/>
      </c>
      <c r="F47" s="196"/>
      <c r="G47" s="233"/>
    </row>
    <row r="48" spans="1:7" x14ac:dyDescent="0.3">
      <c r="A48" s="171"/>
      <c r="B48" s="195" t="str">
        <f t="shared" si="0"/>
        <v/>
      </c>
      <c r="C48" s="195" t="str">
        <f t="shared" si="1"/>
        <v/>
      </c>
      <c r="D48" s="195">
        <v>20</v>
      </c>
      <c r="E48" s="196" t="str">
        <f t="shared" si="2"/>
        <v/>
      </c>
      <c r="F48" s="196"/>
      <c r="G48" s="233"/>
    </row>
    <row r="49" spans="1:1652" ht="0.15" customHeight="1" x14ac:dyDescent="0.3">
      <c r="A49" s="262"/>
      <c r="B49" s="195"/>
      <c r="C49" s="195"/>
      <c r="D49" s="195"/>
      <c r="E49" s="196"/>
      <c r="F49" s="196"/>
      <c r="G49" s="233"/>
    </row>
    <row r="50" spans="1:1652" x14ac:dyDescent="0.3">
      <c r="A50" s="171"/>
      <c r="B50" s="189"/>
      <c r="C50" s="189"/>
      <c r="D50" s="189"/>
      <c r="E50" s="189"/>
      <c r="F50" s="189"/>
      <c r="G50" s="189"/>
    </row>
    <row r="51" spans="1:1652" x14ac:dyDescent="0.3">
      <c r="A51" s="171"/>
      <c r="B51" s="189"/>
      <c r="C51" s="189"/>
      <c r="D51" s="189"/>
      <c r="E51" s="189"/>
      <c r="F51" s="189"/>
      <c r="G51" s="189"/>
    </row>
    <row r="52" spans="1:1652" s="21" customFormat="1" x14ac:dyDescent="0.3">
      <c r="A52" s="171"/>
      <c r="B52" s="189"/>
      <c r="C52" s="189"/>
      <c r="D52" s="189"/>
      <c r="E52" s="189"/>
      <c r="F52" s="189"/>
      <c r="G52" s="189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8"/>
      <c r="AE52" s="188"/>
      <c r="AF52" s="188"/>
      <c r="AG52" s="188"/>
      <c r="AH52" s="188"/>
      <c r="AI52" s="188"/>
      <c r="AJ52" s="188"/>
      <c r="AK52" s="188"/>
      <c r="AL52" s="188"/>
      <c r="AM52" s="188"/>
      <c r="AN52" s="188"/>
      <c r="AO52" s="188"/>
      <c r="AP52" s="188"/>
      <c r="AQ52" s="188"/>
      <c r="AR52" s="188"/>
      <c r="AS52" s="188"/>
      <c r="AT52" s="189"/>
      <c r="AU52" s="189"/>
      <c r="AV52" s="189"/>
      <c r="AW52" s="189"/>
      <c r="AX52" s="189"/>
      <c r="AY52" s="189"/>
      <c r="AZ52" s="189"/>
      <c r="BA52" s="189"/>
      <c r="BB52" s="189"/>
      <c r="BC52" s="189"/>
      <c r="BD52" s="189"/>
      <c r="BE52" s="188"/>
      <c r="BF52" s="188"/>
      <c r="BG52" s="188"/>
      <c r="BH52" s="188"/>
      <c r="BI52" s="188"/>
      <c r="BJ52" s="188"/>
      <c r="BK52" s="188"/>
      <c r="BL52" s="188"/>
      <c r="BM52" s="188"/>
      <c r="BN52" s="188"/>
      <c r="BO52" s="188"/>
      <c r="BP52" s="188"/>
      <c r="BQ52" s="188"/>
      <c r="BR52" s="188"/>
      <c r="BS52" s="188"/>
      <c r="BT52" s="188"/>
      <c r="BU52" s="188"/>
      <c r="BV52" s="188"/>
      <c r="BW52" s="188"/>
      <c r="BX52" s="188"/>
      <c r="BY52" s="188"/>
      <c r="BZ52" s="188"/>
      <c r="CA52" s="188"/>
      <c r="CB52" s="188"/>
      <c r="CC52" s="188"/>
      <c r="CD52" s="188"/>
      <c r="CE52" s="188"/>
      <c r="CF52" s="188"/>
      <c r="CG52" s="188"/>
      <c r="CH52" s="188"/>
      <c r="CI52" s="188"/>
      <c r="CJ52" s="188"/>
      <c r="CK52" s="188"/>
      <c r="CL52" s="188"/>
      <c r="CM52" s="188"/>
      <c r="CN52" s="188"/>
      <c r="CO52" s="188"/>
      <c r="CP52" s="188"/>
      <c r="CQ52" s="188"/>
      <c r="CR52" s="188"/>
      <c r="CS52" s="188"/>
      <c r="CT52" s="188"/>
      <c r="CU52" s="188"/>
      <c r="CV52" s="188"/>
      <c r="CW52" s="188"/>
      <c r="CX52" s="188"/>
      <c r="CY52" s="188"/>
      <c r="CZ52" s="188"/>
      <c r="DA52" s="188"/>
      <c r="DB52" s="188"/>
      <c r="DC52" s="188"/>
      <c r="DD52" s="188"/>
      <c r="DE52" s="188"/>
      <c r="DF52" s="188"/>
      <c r="DG52" s="188"/>
      <c r="DH52" s="188"/>
      <c r="DI52" s="188"/>
      <c r="DJ52" s="188"/>
      <c r="DK52" s="188"/>
      <c r="DL52" s="188"/>
      <c r="DM52" s="188"/>
      <c r="DN52" s="188"/>
      <c r="DO52" s="188"/>
      <c r="DP52" s="188"/>
      <c r="DQ52" s="188"/>
      <c r="DR52" s="188"/>
      <c r="DS52" s="188"/>
      <c r="DT52" s="188"/>
      <c r="DU52" s="188"/>
      <c r="DV52" s="188"/>
      <c r="DW52" s="188"/>
      <c r="DX52" s="188"/>
      <c r="DY52" s="188"/>
      <c r="DZ52" s="188"/>
      <c r="EA52" s="188"/>
      <c r="EB52" s="188"/>
      <c r="EC52" s="188"/>
      <c r="ED52" s="188"/>
      <c r="EE52" s="188"/>
      <c r="EF52" s="188"/>
      <c r="EG52" s="188"/>
      <c r="EH52" s="188"/>
      <c r="EI52" s="188"/>
      <c r="EJ52" s="188"/>
      <c r="EK52" s="188"/>
      <c r="EL52" s="188"/>
      <c r="EM52" s="188"/>
      <c r="EN52" s="188"/>
      <c r="EO52" s="188"/>
      <c r="EP52" s="188"/>
      <c r="EQ52" s="188"/>
      <c r="ER52" s="188"/>
      <c r="ES52" s="188"/>
      <c r="ET52" s="188"/>
      <c r="EU52" s="188"/>
      <c r="EV52" s="188"/>
      <c r="EW52" s="188"/>
      <c r="EX52" s="188"/>
      <c r="EY52" s="188"/>
      <c r="EZ52" s="188"/>
      <c r="FA52" s="188"/>
      <c r="FB52" s="188"/>
      <c r="FC52" s="188"/>
      <c r="FD52" s="188"/>
      <c r="FE52" s="188"/>
      <c r="FF52" s="188"/>
      <c r="FG52" s="188"/>
      <c r="FH52" s="188"/>
      <c r="FI52" s="188"/>
      <c r="FJ52" s="188"/>
      <c r="FK52" s="188"/>
      <c r="FL52" s="188"/>
      <c r="FM52" s="188"/>
      <c r="FN52" s="188"/>
      <c r="FO52" s="188"/>
      <c r="FP52" s="188"/>
      <c r="FQ52" s="188"/>
      <c r="FR52" s="188"/>
      <c r="FS52" s="188"/>
      <c r="FT52" s="188"/>
      <c r="FU52" s="188"/>
      <c r="FV52" s="188"/>
      <c r="FW52" s="188"/>
      <c r="FX52" s="188"/>
      <c r="FY52" s="188"/>
      <c r="FZ52" s="188"/>
      <c r="GA52" s="188"/>
      <c r="GB52" s="188"/>
      <c r="GC52" s="188"/>
      <c r="GD52" s="188"/>
      <c r="GE52" s="188"/>
      <c r="GF52" s="188"/>
      <c r="GG52" s="188"/>
      <c r="GH52" s="188"/>
      <c r="GI52" s="188"/>
      <c r="GJ52" s="188"/>
      <c r="GK52" s="188"/>
      <c r="GL52" s="188"/>
      <c r="GM52" s="188"/>
      <c r="GN52" s="188"/>
      <c r="GO52" s="188"/>
      <c r="GP52" s="188"/>
      <c r="GQ52" s="188"/>
      <c r="GR52" s="188"/>
      <c r="GS52" s="188"/>
      <c r="GT52" s="188"/>
      <c r="GU52" s="188"/>
      <c r="GV52" s="188"/>
      <c r="GW52" s="188"/>
      <c r="GX52" s="188"/>
      <c r="GY52" s="188"/>
      <c r="GZ52" s="188"/>
      <c r="HA52" s="188"/>
      <c r="HB52" s="188"/>
      <c r="HC52" s="188"/>
      <c r="HD52" s="188"/>
      <c r="HE52" s="188"/>
      <c r="HF52" s="188"/>
      <c r="HG52" s="188"/>
      <c r="HH52" s="188"/>
      <c r="HI52" s="188"/>
      <c r="HJ52" s="188"/>
      <c r="HK52" s="188"/>
      <c r="HL52" s="188"/>
      <c r="HM52" s="188"/>
      <c r="HN52" s="188"/>
      <c r="HO52" s="188"/>
      <c r="HP52" s="188"/>
      <c r="HQ52" s="188"/>
      <c r="HR52" s="188"/>
      <c r="HS52" s="188"/>
      <c r="HT52" s="188"/>
      <c r="HU52" s="188"/>
      <c r="HV52" s="188"/>
      <c r="HW52" s="188"/>
      <c r="HX52" s="188"/>
      <c r="HY52" s="188"/>
      <c r="HZ52" s="188"/>
      <c r="IA52" s="188"/>
      <c r="IB52" s="188"/>
      <c r="IC52" s="188"/>
      <c r="ID52" s="188"/>
      <c r="IE52" s="188"/>
      <c r="IF52" s="188"/>
      <c r="IG52" s="188"/>
      <c r="IH52" s="188"/>
      <c r="II52" s="188"/>
      <c r="IJ52" s="188"/>
      <c r="IK52" s="188"/>
      <c r="IL52" s="188"/>
      <c r="IM52" s="188"/>
      <c r="IN52" s="188"/>
      <c r="IO52" s="188"/>
      <c r="IP52" s="188"/>
      <c r="IQ52" s="188"/>
      <c r="IR52" s="188"/>
      <c r="IS52" s="188"/>
      <c r="IT52" s="188"/>
      <c r="IU52" s="188"/>
      <c r="IV52" s="188"/>
      <c r="IW52" s="188"/>
      <c r="IX52" s="188"/>
      <c r="IY52" s="188"/>
      <c r="IZ52" s="188"/>
      <c r="JA52" s="188"/>
      <c r="JB52" s="188"/>
      <c r="JC52" s="188"/>
      <c r="JD52" s="188"/>
      <c r="JE52" s="188"/>
      <c r="JF52" s="188"/>
      <c r="JG52" s="188"/>
      <c r="JH52" s="188"/>
      <c r="JI52" s="188"/>
      <c r="JJ52" s="188"/>
      <c r="JK52" s="188"/>
      <c r="JL52" s="188"/>
      <c r="JM52" s="188"/>
      <c r="JN52" s="188"/>
      <c r="JO52" s="188"/>
      <c r="JP52" s="188"/>
      <c r="JQ52" s="188"/>
      <c r="JR52" s="188"/>
      <c r="JS52" s="188"/>
      <c r="JT52" s="188"/>
      <c r="JU52" s="188"/>
      <c r="JV52" s="188"/>
      <c r="JW52" s="188"/>
      <c r="JX52" s="188"/>
      <c r="JY52" s="188"/>
      <c r="JZ52" s="188"/>
      <c r="KA52" s="188"/>
      <c r="KB52" s="188"/>
      <c r="KC52" s="188"/>
      <c r="KD52" s="188"/>
      <c r="KE52" s="188"/>
      <c r="KF52" s="188"/>
      <c r="KG52" s="188"/>
      <c r="KH52" s="188"/>
      <c r="KI52" s="188"/>
      <c r="KJ52" s="188"/>
      <c r="KK52" s="188"/>
      <c r="KL52" s="188"/>
      <c r="KM52" s="188"/>
      <c r="KN52" s="188"/>
      <c r="KO52" s="188"/>
      <c r="KP52" s="188"/>
      <c r="KQ52" s="188"/>
      <c r="KR52" s="188"/>
      <c r="KS52" s="188"/>
      <c r="KT52" s="188"/>
      <c r="KU52" s="188"/>
      <c r="KV52" s="188"/>
      <c r="KW52" s="188"/>
      <c r="KX52" s="188"/>
      <c r="KY52" s="188"/>
      <c r="KZ52" s="188"/>
      <c r="LA52" s="188"/>
      <c r="LB52" s="188"/>
      <c r="LC52" s="188"/>
      <c r="LD52" s="188"/>
      <c r="LE52" s="188"/>
      <c r="LF52" s="188"/>
      <c r="LG52" s="188"/>
      <c r="LH52" s="188"/>
      <c r="LI52" s="188"/>
      <c r="LJ52" s="188"/>
      <c r="LK52" s="188"/>
      <c r="LL52" s="188"/>
      <c r="LM52" s="188"/>
      <c r="LN52" s="188"/>
      <c r="LO52" s="188"/>
      <c r="LP52" s="188"/>
      <c r="LQ52" s="188"/>
      <c r="LR52" s="188"/>
      <c r="LS52" s="188"/>
      <c r="LT52" s="188"/>
      <c r="LU52" s="188"/>
      <c r="LV52" s="188"/>
      <c r="LW52" s="188"/>
      <c r="LX52" s="188"/>
      <c r="LY52" s="188"/>
      <c r="LZ52" s="188"/>
      <c r="MA52" s="188"/>
      <c r="MB52" s="188"/>
      <c r="MC52" s="188"/>
      <c r="MD52" s="188"/>
      <c r="ME52" s="188"/>
      <c r="MF52" s="188"/>
      <c r="MG52" s="188"/>
      <c r="MH52" s="188"/>
      <c r="MI52" s="188"/>
      <c r="MJ52" s="188"/>
      <c r="MK52" s="188"/>
      <c r="ML52" s="188"/>
      <c r="MM52" s="188"/>
      <c r="MN52" s="188"/>
      <c r="MO52" s="188"/>
      <c r="MP52" s="188"/>
      <c r="MQ52" s="188"/>
      <c r="MR52" s="188"/>
      <c r="MS52" s="188"/>
      <c r="MT52" s="188"/>
      <c r="MU52" s="188"/>
      <c r="MV52" s="188"/>
      <c r="MW52" s="188"/>
      <c r="MX52" s="188"/>
      <c r="MY52" s="188"/>
      <c r="MZ52" s="188"/>
      <c r="NA52" s="188"/>
      <c r="NB52" s="188"/>
      <c r="NC52" s="188"/>
      <c r="ND52" s="188"/>
      <c r="NE52" s="188"/>
      <c r="NF52" s="188"/>
      <c r="NG52" s="188"/>
      <c r="NH52" s="188"/>
      <c r="NI52" s="188"/>
      <c r="NJ52" s="188"/>
      <c r="NK52" s="188"/>
      <c r="NL52" s="188"/>
      <c r="NM52" s="188"/>
      <c r="NN52" s="188"/>
      <c r="NO52" s="188"/>
      <c r="NP52" s="188"/>
      <c r="NQ52" s="188"/>
      <c r="NR52" s="188"/>
      <c r="NS52" s="188"/>
      <c r="NT52" s="188"/>
      <c r="NU52" s="188"/>
      <c r="NV52" s="188"/>
      <c r="NW52" s="188"/>
      <c r="NX52" s="188"/>
      <c r="NY52" s="188"/>
      <c r="NZ52" s="188"/>
      <c r="OA52" s="188"/>
      <c r="OB52" s="188"/>
      <c r="OC52" s="188"/>
      <c r="OD52" s="188"/>
      <c r="OE52" s="188"/>
      <c r="OF52" s="188"/>
      <c r="OG52" s="188"/>
      <c r="OH52" s="188"/>
      <c r="OI52" s="188"/>
      <c r="OJ52" s="188"/>
      <c r="OK52" s="188"/>
      <c r="OL52" s="188"/>
      <c r="OM52" s="188"/>
      <c r="ON52" s="188"/>
      <c r="OO52" s="188"/>
      <c r="OP52" s="188"/>
      <c r="OQ52" s="188"/>
      <c r="OR52" s="188"/>
      <c r="OS52" s="188"/>
      <c r="OT52" s="188"/>
      <c r="OU52" s="188"/>
      <c r="OV52" s="188"/>
      <c r="OW52" s="188"/>
      <c r="OX52" s="188"/>
      <c r="OY52" s="188"/>
      <c r="OZ52" s="188"/>
      <c r="PA52" s="188"/>
      <c r="PB52" s="188"/>
      <c r="PC52" s="188"/>
      <c r="PD52" s="188"/>
      <c r="PE52" s="188"/>
      <c r="PF52" s="188"/>
      <c r="PG52" s="188"/>
      <c r="PH52" s="188"/>
      <c r="PI52" s="188"/>
      <c r="PJ52" s="188"/>
      <c r="PK52" s="188"/>
      <c r="PL52" s="188"/>
      <c r="PM52" s="188"/>
      <c r="PN52" s="188"/>
      <c r="PO52" s="188"/>
      <c r="PP52" s="188"/>
      <c r="PQ52" s="188"/>
      <c r="PR52" s="188"/>
      <c r="PS52" s="188"/>
      <c r="PT52" s="188"/>
      <c r="PU52" s="188"/>
      <c r="PV52" s="188"/>
      <c r="PW52" s="188"/>
      <c r="PX52" s="188"/>
      <c r="PY52" s="188"/>
      <c r="PZ52" s="188"/>
      <c r="QA52" s="188"/>
      <c r="QB52" s="188"/>
      <c r="QC52" s="188"/>
      <c r="QD52" s="188"/>
      <c r="QE52" s="188"/>
      <c r="QF52" s="188"/>
      <c r="QG52" s="188"/>
      <c r="QH52" s="188"/>
      <c r="QI52" s="188"/>
      <c r="QJ52" s="188"/>
      <c r="QK52" s="188"/>
      <c r="QL52" s="188"/>
      <c r="QM52" s="188"/>
      <c r="QN52" s="188"/>
      <c r="QO52" s="188"/>
      <c r="QP52" s="188"/>
      <c r="QQ52" s="188"/>
      <c r="QR52" s="188"/>
      <c r="QS52" s="188"/>
      <c r="QT52" s="188"/>
      <c r="QU52" s="188"/>
      <c r="QV52" s="188"/>
      <c r="QW52" s="188"/>
      <c r="QX52" s="188"/>
      <c r="QY52" s="188"/>
      <c r="QZ52" s="188"/>
      <c r="RA52" s="188"/>
      <c r="RB52" s="188"/>
      <c r="RC52" s="188"/>
      <c r="RD52" s="188"/>
      <c r="RE52" s="188"/>
      <c r="RF52" s="188"/>
      <c r="RG52" s="188"/>
      <c r="RH52" s="188"/>
      <c r="RI52" s="188"/>
      <c r="RJ52" s="188"/>
      <c r="RK52" s="188"/>
      <c r="RL52" s="188"/>
      <c r="RM52" s="188"/>
      <c r="RN52" s="188"/>
      <c r="RO52" s="188"/>
      <c r="RP52" s="188"/>
      <c r="RQ52" s="188"/>
      <c r="RR52" s="188"/>
      <c r="RS52" s="188"/>
      <c r="RT52" s="188"/>
      <c r="RU52" s="188"/>
      <c r="RV52" s="188"/>
      <c r="RW52" s="188"/>
      <c r="RX52" s="188"/>
      <c r="RY52" s="188"/>
      <c r="RZ52" s="188"/>
      <c r="SA52" s="188"/>
      <c r="SB52" s="188"/>
      <c r="SC52" s="188"/>
      <c r="SD52" s="188"/>
      <c r="SE52" s="188"/>
      <c r="SF52" s="188"/>
      <c r="SG52" s="188"/>
      <c r="SH52" s="188"/>
      <c r="SI52" s="188"/>
      <c r="SJ52" s="188"/>
      <c r="SK52" s="188"/>
      <c r="SL52" s="188"/>
      <c r="SM52" s="188"/>
      <c r="SN52" s="188"/>
      <c r="SO52" s="188"/>
      <c r="SP52" s="188"/>
      <c r="SQ52" s="188"/>
      <c r="SR52" s="188"/>
      <c r="SS52" s="188"/>
      <c r="ST52" s="188"/>
      <c r="SU52" s="188"/>
      <c r="SV52" s="188"/>
      <c r="SW52" s="188"/>
      <c r="SX52" s="188"/>
      <c r="SY52" s="188"/>
      <c r="SZ52" s="188"/>
      <c r="TA52" s="188"/>
      <c r="TB52" s="188"/>
      <c r="TC52" s="188"/>
      <c r="TD52" s="188"/>
      <c r="TE52" s="188"/>
      <c r="TF52" s="188"/>
      <c r="TG52" s="188"/>
      <c r="TH52" s="188"/>
      <c r="TI52" s="188"/>
      <c r="TJ52" s="188"/>
      <c r="TK52" s="188"/>
      <c r="TL52" s="188"/>
      <c r="TM52" s="188"/>
      <c r="TN52" s="188"/>
      <c r="TO52" s="188"/>
      <c r="TP52" s="188"/>
      <c r="TQ52" s="188"/>
      <c r="TR52" s="188"/>
      <c r="TS52" s="188"/>
      <c r="TT52" s="188"/>
      <c r="TU52" s="188"/>
      <c r="TV52" s="188"/>
      <c r="TW52" s="188"/>
      <c r="TX52" s="188"/>
      <c r="TY52" s="188"/>
      <c r="TZ52" s="188"/>
      <c r="UA52" s="188"/>
      <c r="UB52" s="188"/>
      <c r="UC52" s="188"/>
      <c r="UD52" s="188"/>
      <c r="UE52" s="188"/>
      <c r="UF52" s="188"/>
      <c r="UG52" s="188"/>
      <c r="UH52" s="188"/>
      <c r="UI52" s="188"/>
      <c r="UJ52" s="188"/>
      <c r="UK52" s="188"/>
      <c r="UL52" s="188"/>
      <c r="UM52" s="188"/>
      <c r="UN52" s="188"/>
      <c r="UO52" s="188"/>
      <c r="UP52" s="188"/>
      <c r="UQ52" s="188"/>
      <c r="UR52" s="188"/>
      <c r="US52" s="188"/>
      <c r="UT52" s="188"/>
      <c r="UU52" s="188"/>
      <c r="UV52" s="188"/>
      <c r="UW52" s="188"/>
      <c r="UX52" s="188"/>
      <c r="UY52" s="188"/>
      <c r="UZ52" s="188"/>
      <c r="VA52" s="188"/>
      <c r="VB52" s="188"/>
      <c r="VC52" s="188"/>
      <c r="VD52" s="188"/>
      <c r="VE52" s="188"/>
      <c r="VF52" s="188"/>
      <c r="VG52" s="188"/>
      <c r="VH52" s="188"/>
      <c r="VI52" s="188"/>
      <c r="VJ52" s="188"/>
      <c r="VK52" s="188"/>
      <c r="VL52" s="188"/>
      <c r="VM52" s="188"/>
      <c r="VN52" s="188"/>
      <c r="VO52" s="188"/>
      <c r="VP52" s="188"/>
      <c r="VQ52" s="188"/>
      <c r="VR52" s="188"/>
      <c r="VS52" s="188"/>
      <c r="VT52" s="188"/>
      <c r="VU52" s="188"/>
      <c r="VV52" s="188"/>
      <c r="VW52" s="188"/>
      <c r="VX52" s="188"/>
      <c r="VY52" s="188"/>
      <c r="VZ52" s="188"/>
      <c r="WA52" s="188"/>
      <c r="WB52" s="188"/>
      <c r="WC52" s="188"/>
      <c r="WD52" s="188"/>
      <c r="WE52" s="188"/>
      <c r="WF52" s="188"/>
      <c r="WG52" s="188"/>
      <c r="WH52" s="188"/>
      <c r="WI52" s="188"/>
      <c r="WJ52" s="188"/>
      <c r="WK52" s="188"/>
      <c r="WL52" s="188"/>
      <c r="WM52" s="188"/>
      <c r="WN52" s="188"/>
      <c r="WO52" s="188"/>
      <c r="WP52" s="188"/>
      <c r="WQ52" s="188"/>
      <c r="WR52" s="188"/>
      <c r="WS52" s="188"/>
      <c r="WT52" s="188"/>
      <c r="WU52" s="188"/>
      <c r="WV52" s="188"/>
      <c r="WW52" s="188"/>
      <c r="WX52" s="188"/>
      <c r="WY52" s="188"/>
      <c r="WZ52" s="188"/>
      <c r="XA52" s="188"/>
      <c r="XB52" s="188"/>
      <c r="XC52" s="188"/>
      <c r="XD52" s="188"/>
      <c r="XE52" s="188"/>
      <c r="XF52" s="188"/>
      <c r="XG52" s="188"/>
      <c r="XH52" s="188"/>
      <c r="XI52" s="188"/>
      <c r="XJ52" s="188"/>
      <c r="XK52" s="188"/>
      <c r="XL52" s="188"/>
      <c r="XM52" s="188"/>
      <c r="XN52" s="188"/>
      <c r="XO52" s="188"/>
      <c r="XP52" s="188"/>
      <c r="XQ52" s="188"/>
      <c r="XR52" s="188"/>
      <c r="XS52" s="188"/>
      <c r="XT52" s="188"/>
      <c r="XU52" s="188"/>
      <c r="XV52" s="188"/>
      <c r="XW52" s="188"/>
      <c r="XX52" s="188"/>
      <c r="XY52" s="188"/>
      <c r="XZ52" s="188"/>
      <c r="YA52" s="188"/>
      <c r="YB52" s="188"/>
      <c r="YC52" s="188"/>
      <c r="YD52" s="188"/>
      <c r="YE52" s="188"/>
      <c r="YF52" s="188"/>
      <c r="YG52" s="188"/>
      <c r="YH52" s="188"/>
      <c r="YI52" s="188"/>
      <c r="YJ52" s="188"/>
      <c r="YK52" s="188"/>
      <c r="YL52" s="188"/>
      <c r="YM52" s="188"/>
      <c r="YN52" s="188"/>
      <c r="YO52" s="188"/>
      <c r="YP52" s="188"/>
      <c r="YQ52" s="188"/>
      <c r="YR52" s="188"/>
      <c r="YS52" s="188"/>
      <c r="YT52" s="188"/>
      <c r="YU52" s="188"/>
      <c r="YV52" s="188"/>
      <c r="YW52" s="188"/>
      <c r="YX52" s="188"/>
      <c r="YY52" s="188"/>
      <c r="YZ52" s="188"/>
      <c r="ZA52" s="188"/>
      <c r="ZB52" s="188"/>
      <c r="ZC52" s="188"/>
      <c r="ZD52" s="188"/>
      <c r="ZE52" s="188"/>
      <c r="ZF52" s="188"/>
      <c r="ZG52" s="188"/>
      <c r="ZH52" s="188"/>
      <c r="ZI52" s="188"/>
      <c r="ZJ52" s="188"/>
      <c r="ZK52" s="188"/>
      <c r="ZL52" s="188"/>
      <c r="ZM52" s="188"/>
      <c r="ZN52" s="188"/>
      <c r="ZO52" s="188"/>
      <c r="ZP52" s="188"/>
      <c r="ZQ52" s="188"/>
      <c r="ZR52" s="188"/>
      <c r="ZS52" s="188"/>
      <c r="ZT52" s="188"/>
      <c r="ZU52" s="188"/>
      <c r="ZV52" s="188"/>
      <c r="ZW52" s="188"/>
      <c r="ZX52" s="188"/>
      <c r="ZY52" s="188"/>
      <c r="ZZ52" s="188"/>
      <c r="AAA52" s="188"/>
      <c r="AAB52" s="188"/>
      <c r="AAC52" s="188"/>
      <c r="AAD52" s="188"/>
      <c r="AAE52" s="188"/>
      <c r="AAF52" s="188"/>
      <c r="AAG52" s="188"/>
      <c r="AAH52" s="188"/>
      <c r="AAI52" s="188"/>
      <c r="AAJ52" s="188"/>
      <c r="AAK52" s="188"/>
      <c r="AAL52" s="188"/>
      <c r="AAM52" s="188"/>
      <c r="AAN52" s="188"/>
      <c r="AAO52" s="188"/>
      <c r="AAP52" s="188"/>
      <c r="AAQ52" s="188"/>
      <c r="AAR52" s="188"/>
      <c r="AAS52" s="188"/>
      <c r="AAT52" s="188"/>
      <c r="AAU52" s="188"/>
      <c r="AAV52" s="188"/>
      <c r="AAW52" s="188"/>
      <c r="AAX52" s="188"/>
      <c r="AAY52" s="188"/>
      <c r="AAZ52" s="188"/>
      <c r="ABA52" s="188"/>
      <c r="ABB52" s="188"/>
      <c r="ABC52" s="188"/>
      <c r="ABD52" s="188"/>
      <c r="ABE52" s="188"/>
      <c r="ABF52" s="188"/>
      <c r="ABG52" s="188"/>
      <c r="ABH52" s="188"/>
      <c r="ABI52" s="188"/>
      <c r="ABJ52" s="188"/>
      <c r="ABK52" s="188"/>
      <c r="ABL52" s="188"/>
      <c r="ABM52" s="188"/>
      <c r="ABN52" s="188"/>
      <c r="ABO52" s="188"/>
      <c r="ABP52" s="188"/>
      <c r="ABQ52" s="188"/>
      <c r="ABR52" s="188"/>
      <c r="ABS52" s="188"/>
      <c r="ABT52" s="188"/>
      <c r="ABU52" s="188"/>
      <c r="ABV52" s="188"/>
      <c r="ABW52" s="188"/>
      <c r="ABX52" s="188"/>
      <c r="ABY52" s="188"/>
      <c r="ABZ52" s="188"/>
      <c r="ACA52" s="188"/>
      <c r="ACB52" s="188"/>
      <c r="ACC52" s="188"/>
      <c r="ACD52" s="188"/>
      <c r="ACE52" s="188"/>
      <c r="ACF52" s="188"/>
      <c r="ACG52" s="188"/>
      <c r="ACH52" s="188"/>
      <c r="ACI52" s="188"/>
      <c r="ACJ52" s="188"/>
      <c r="ACK52" s="188"/>
      <c r="ACL52" s="188"/>
      <c r="ACM52" s="188"/>
      <c r="ACN52" s="188"/>
      <c r="ACO52" s="188"/>
      <c r="ACP52" s="188"/>
      <c r="ACQ52" s="188"/>
      <c r="ACR52" s="188"/>
      <c r="ACS52" s="188"/>
      <c r="ACT52" s="188"/>
      <c r="ACU52" s="188"/>
      <c r="ACV52" s="188"/>
      <c r="ACW52" s="188"/>
      <c r="ACX52" s="188"/>
      <c r="ACY52" s="188"/>
      <c r="ACZ52" s="188"/>
      <c r="ADA52" s="188"/>
      <c r="ADB52" s="188"/>
      <c r="ADC52" s="188"/>
      <c r="ADD52" s="188"/>
      <c r="ADE52" s="188"/>
      <c r="ADF52" s="188"/>
      <c r="ADG52" s="188"/>
      <c r="ADH52" s="188"/>
      <c r="ADI52" s="188"/>
      <c r="ADJ52" s="188"/>
      <c r="ADK52" s="188"/>
      <c r="ADL52" s="188"/>
      <c r="ADM52" s="188"/>
      <c r="ADN52" s="188"/>
      <c r="ADO52" s="188"/>
      <c r="ADP52" s="188"/>
      <c r="ADQ52" s="188"/>
      <c r="ADR52" s="188"/>
      <c r="ADS52" s="188"/>
      <c r="ADT52" s="188"/>
      <c r="ADU52" s="188"/>
      <c r="ADV52" s="188"/>
      <c r="ADW52" s="188"/>
      <c r="ADX52" s="188"/>
      <c r="ADY52" s="188"/>
      <c r="ADZ52" s="188"/>
      <c r="AEA52" s="188"/>
      <c r="AEB52" s="188"/>
      <c r="AEC52" s="188"/>
      <c r="AED52" s="188"/>
      <c r="AEE52" s="188"/>
      <c r="AEF52" s="188"/>
      <c r="AEG52" s="188"/>
      <c r="AEH52" s="188"/>
      <c r="AEI52" s="188"/>
      <c r="AEJ52" s="188"/>
      <c r="AEK52" s="188"/>
      <c r="AEL52" s="188"/>
      <c r="AEM52" s="188"/>
      <c r="AEN52" s="188"/>
      <c r="AEO52" s="188"/>
      <c r="AEP52" s="188"/>
      <c r="AEQ52" s="188"/>
      <c r="AER52" s="188"/>
      <c r="AES52" s="188"/>
      <c r="AET52" s="188"/>
      <c r="AEU52" s="188"/>
      <c r="AEV52" s="188"/>
      <c r="AEW52" s="188"/>
      <c r="AEX52" s="188"/>
      <c r="AEY52" s="188"/>
      <c r="AEZ52" s="188"/>
      <c r="AFA52" s="188"/>
      <c r="AFB52" s="188"/>
      <c r="AFC52" s="188"/>
      <c r="AFD52" s="188"/>
      <c r="AFE52" s="188"/>
      <c r="AFF52" s="188"/>
      <c r="AFG52" s="188"/>
      <c r="AFH52" s="188"/>
      <c r="AFI52" s="188"/>
      <c r="AFJ52" s="188"/>
      <c r="AFK52" s="188"/>
      <c r="AFL52" s="188"/>
      <c r="AFM52" s="188"/>
      <c r="AFN52" s="188"/>
      <c r="AFO52" s="188"/>
      <c r="AFP52" s="188"/>
      <c r="AFQ52" s="188"/>
      <c r="AFR52" s="188"/>
      <c r="AFS52" s="188"/>
      <c r="AFT52" s="188"/>
      <c r="AFU52" s="188"/>
      <c r="AFV52" s="188"/>
      <c r="AFW52" s="188"/>
      <c r="AFX52" s="188"/>
      <c r="AFY52" s="188"/>
      <c r="AFZ52" s="188"/>
      <c r="AGA52" s="188"/>
      <c r="AGB52" s="188"/>
      <c r="AGC52" s="188"/>
      <c r="AGD52" s="188"/>
      <c r="AGE52" s="188"/>
      <c r="AGF52" s="188"/>
      <c r="AGG52" s="188"/>
      <c r="AGH52" s="188"/>
      <c r="AGI52" s="188"/>
      <c r="AGJ52" s="188"/>
      <c r="AGK52" s="188"/>
      <c r="AGL52" s="188"/>
      <c r="AGM52" s="188"/>
      <c r="AGN52" s="188"/>
      <c r="AGO52" s="188"/>
      <c r="AGP52" s="188"/>
      <c r="AGQ52" s="188"/>
      <c r="AGR52" s="188"/>
      <c r="AGS52" s="188"/>
      <c r="AGT52" s="188"/>
      <c r="AGU52" s="188"/>
      <c r="AGV52" s="188"/>
      <c r="AGW52" s="188"/>
      <c r="AGX52" s="188"/>
      <c r="AGY52" s="188"/>
      <c r="AGZ52" s="188"/>
      <c r="AHA52" s="188"/>
      <c r="AHB52" s="188"/>
      <c r="AHC52" s="188"/>
      <c r="AHD52" s="188"/>
      <c r="AHE52" s="188"/>
      <c r="AHF52" s="188"/>
      <c r="AHG52" s="188"/>
      <c r="AHH52" s="188"/>
      <c r="AHI52" s="188"/>
      <c r="AHJ52" s="188"/>
      <c r="AHK52" s="188"/>
      <c r="AHL52" s="188"/>
      <c r="AHM52" s="188"/>
      <c r="AHN52" s="188"/>
      <c r="AHO52" s="188"/>
      <c r="AHP52" s="188"/>
      <c r="AHQ52" s="188"/>
      <c r="AHR52" s="188"/>
      <c r="AHS52" s="188"/>
      <c r="AHT52" s="188"/>
      <c r="AHU52" s="188"/>
      <c r="AHV52" s="188"/>
      <c r="AHW52" s="188"/>
      <c r="AHX52" s="188"/>
      <c r="AHY52" s="188"/>
      <c r="AHZ52" s="188"/>
      <c r="AIA52" s="188"/>
      <c r="AIB52" s="188"/>
      <c r="AIC52" s="188"/>
      <c r="AID52" s="188"/>
      <c r="AIE52" s="188"/>
      <c r="AIF52" s="188"/>
      <c r="AIG52" s="188"/>
      <c r="AIH52" s="188"/>
      <c r="AII52" s="188"/>
      <c r="AIJ52" s="188"/>
      <c r="AIK52" s="188"/>
      <c r="AIL52" s="188"/>
      <c r="AIM52" s="188"/>
      <c r="AIN52" s="188"/>
      <c r="AIO52" s="188"/>
      <c r="AIP52" s="188"/>
      <c r="AIQ52" s="188"/>
      <c r="AIR52" s="188"/>
      <c r="AIS52" s="188"/>
      <c r="AIT52" s="188"/>
      <c r="AIU52" s="188"/>
      <c r="AIV52" s="188"/>
      <c r="AIW52" s="188"/>
      <c r="AIX52" s="188"/>
      <c r="AIY52" s="188"/>
      <c r="AIZ52" s="188"/>
      <c r="AJA52" s="188"/>
      <c r="AJB52" s="188"/>
      <c r="AJC52" s="188"/>
      <c r="AJD52" s="188"/>
      <c r="AJE52" s="188"/>
      <c r="AJF52" s="188"/>
      <c r="AJG52" s="188"/>
      <c r="AJH52" s="188"/>
      <c r="AJI52" s="188"/>
      <c r="AJJ52" s="188"/>
      <c r="AJK52" s="188"/>
      <c r="AJL52" s="188"/>
      <c r="AJM52" s="188"/>
      <c r="AJN52" s="188"/>
      <c r="AJO52" s="188"/>
      <c r="AJP52" s="188"/>
      <c r="AJQ52" s="188"/>
      <c r="AJR52" s="188"/>
      <c r="AJS52" s="188"/>
      <c r="AJT52" s="188"/>
      <c r="AJU52" s="188"/>
      <c r="AJV52" s="188"/>
      <c r="AJW52" s="188"/>
      <c r="AJX52" s="188"/>
      <c r="AJY52" s="188"/>
      <c r="AJZ52" s="188"/>
      <c r="AKA52" s="188"/>
      <c r="AKB52" s="188"/>
      <c r="AKC52" s="188"/>
      <c r="AKD52" s="188"/>
      <c r="AKE52" s="188"/>
      <c r="AKF52" s="188"/>
      <c r="AKG52" s="188"/>
      <c r="AKH52" s="188"/>
      <c r="AKI52" s="188"/>
      <c r="AKJ52" s="188"/>
      <c r="AKK52" s="188"/>
      <c r="AKL52" s="188"/>
      <c r="AKM52" s="188"/>
      <c r="AKN52" s="188"/>
      <c r="AKO52" s="188"/>
      <c r="AKP52" s="188"/>
      <c r="AKQ52" s="188"/>
      <c r="AKR52" s="188"/>
      <c r="AKS52" s="188"/>
      <c r="AKT52" s="188"/>
      <c r="AKU52" s="188"/>
      <c r="AKV52" s="188"/>
      <c r="AKW52" s="188"/>
      <c r="AKX52" s="188"/>
      <c r="AKY52" s="188"/>
      <c r="AKZ52" s="188"/>
      <c r="ALA52" s="188"/>
      <c r="ALB52" s="188"/>
      <c r="ALC52" s="188"/>
      <c r="ALD52" s="188"/>
      <c r="ALE52" s="188"/>
      <c r="ALF52" s="188"/>
      <c r="ALG52" s="188"/>
      <c r="ALH52" s="188"/>
      <c r="ALI52" s="188"/>
      <c r="ALJ52" s="188"/>
      <c r="ALK52" s="188"/>
      <c r="ALL52" s="188"/>
      <c r="ALM52" s="188"/>
      <c r="ALN52" s="188"/>
      <c r="ALO52" s="188"/>
      <c r="ALP52" s="188"/>
      <c r="ALQ52" s="188"/>
      <c r="ALR52" s="188"/>
      <c r="ALS52" s="188"/>
      <c r="ALT52" s="188"/>
      <c r="ALU52" s="188"/>
      <c r="ALV52" s="188"/>
      <c r="ALW52" s="188"/>
      <c r="ALX52" s="188"/>
      <c r="ALY52" s="188"/>
      <c r="ALZ52" s="188"/>
      <c r="AMA52" s="188"/>
      <c r="AMB52" s="188"/>
      <c r="AMC52" s="188"/>
      <c r="AMD52" s="188"/>
      <c r="AME52" s="188"/>
      <c r="AMF52" s="188"/>
      <c r="AMG52" s="188"/>
      <c r="AMH52" s="188"/>
      <c r="AMI52" s="188"/>
      <c r="AMJ52" s="188"/>
      <c r="AMK52" s="188"/>
      <c r="AML52" s="188"/>
      <c r="AMM52" s="188"/>
      <c r="AMN52" s="188"/>
      <c r="AMO52" s="188"/>
      <c r="AMP52" s="188"/>
      <c r="AMQ52" s="188"/>
      <c r="AMR52" s="188"/>
      <c r="AMS52" s="188"/>
      <c r="AMT52" s="188"/>
      <c r="AMU52" s="188"/>
      <c r="AMV52" s="188"/>
      <c r="AMW52" s="188"/>
      <c r="AMX52" s="188"/>
      <c r="AMY52" s="188"/>
      <c r="AMZ52" s="188"/>
      <c r="ANA52" s="188"/>
      <c r="ANB52" s="188"/>
      <c r="ANC52" s="188"/>
      <c r="AND52" s="188"/>
      <c r="ANE52" s="188"/>
      <c r="ANF52" s="188"/>
      <c r="ANG52" s="188"/>
      <c r="ANH52" s="188"/>
      <c r="ANI52" s="188"/>
      <c r="ANJ52" s="188"/>
      <c r="ANK52" s="188"/>
      <c r="ANL52" s="188"/>
      <c r="ANM52" s="188"/>
      <c r="ANN52" s="188"/>
      <c r="ANO52" s="188"/>
      <c r="ANP52" s="188"/>
      <c r="ANQ52" s="188"/>
      <c r="ANR52" s="188"/>
      <c r="ANS52" s="188"/>
      <c r="ANT52" s="188"/>
      <c r="ANU52" s="188"/>
      <c r="ANV52" s="188"/>
      <c r="ANW52" s="188"/>
      <c r="ANX52" s="188"/>
      <c r="ANY52" s="188"/>
      <c r="ANZ52" s="188"/>
      <c r="AOA52" s="188"/>
      <c r="AOB52" s="188"/>
      <c r="AOC52" s="188"/>
      <c r="AOD52" s="188"/>
      <c r="AOE52" s="188"/>
      <c r="AOF52" s="188"/>
      <c r="AOG52" s="188"/>
      <c r="AOH52" s="188"/>
      <c r="AOI52" s="188"/>
      <c r="AOJ52" s="188"/>
      <c r="AOK52" s="188"/>
      <c r="AOL52" s="188"/>
      <c r="AOM52" s="188"/>
      <c r="AON52" s="188"/>
      <c r="AOO52" s="188"/>
      <c r="AOP52" s="188"/>
      <c r="AOQ52" s="188"/>
      <c r="AOR52" s="188"/>
      <c r="AOS52" s="188"/>
      <c r="AOT52" s="188"/>
      <c r="AOU52" s="188"/>
      <c r="AOV52" s="188"/>
      <c r="AOW52" s="188"/>
      <c r="AOX52" s="188"/>
      <c r="AOY52" s="188"/>
      <c r="AOZ52" s="188"/>
      <c r="APA52" s="188"/>
      <c r="APB52" s="188"/>
      <c r="APC52" s="188"/>
      <c r="APD52" s="188"/>
      <c r="APE52" s="188"/>
      <c r="APF52" s="188"/>
      <c r="APG52" s="188"/>
      <c r="APH52" s="188"/>
      <c r="API52" s="188"/>
      <c r="APJ52" s="188"/>
      <c r="APK52" s="188"/>
      <c r="APL52" s="188"/>
      <c r="APM52" s="188"/>
      <c r="APN52" s="188"/>
      <c r="APO52" s="188"/>
      <c r="APP52" s="188"/>
      <c r="APQ52" s="188"/>
      <c r="APR52" s="188"/>
      <c r="APS52" s="188"/>
      <c r="APT52" s="188"/>
      <c r="APU52" s="188"/>
      <c r="APV52" s="188"/>
      <c r="APW52" s="188"/>
      <c r="APX52" s="188"/>
      <c r="APY52" s="188"/>
      <c r="APZ52" s="188"/>
      <c r="AQA52" s="188"/>
      <c r="AQB52" s="188"/>
      <c r="AQC52" s="188"/>
      <c r="AQD52" s="188"/>
      <c r="AQE52" s="188"/>
      <c r="AQF52" s="188"/>
      <c r="AQG52" s="188"/>
      <c r="AQH52" s="188"/>
      <c r="AQI52" s="188"/>
      <c r="AQJ52" s="188"/>
      <c r="AQK52" s="188"/>
      <c r="AQL52" s="188"/>
      <c r="AQM52" s="188"/>
      <c r="AQN52" s="188"/>
      <c r="AQO52" s="188"/>
      <c r="AQP52" s="188"/>
      <c r="AQQ52" s="188"/>
      <c r="AQR52" s="188"/>
      <c r="AQS52" s="188"/>
      <c r="AQT52" s="188"/>
      <c r="AQU52" s="188"/>
      <c r="AQV52" s="188"/>
      <c r="AQW52" s="188"/>
      <c r="AQX52" s="188"/>
      <c r="AQY52" s="188"/>
      <c r="AQZ52" s="188"/>
      <c r="ARA52" s="188"/>
      <c r="ARB52" s="188"/>
      <c r="ARC52" s="188"/>
      <c r="ARD52" s="188"/>
      <c r="ARE52" s="188"/>
      <c r="ARF52" s="188"/>
      <c r="ARG52" s="188"/>
      <c r="ARH52" s="188"/>
      <c r="ARI52" s="188"/>
      <c r="ARJ52" s="188"/>
      <c r="ARK52" s="188"/>
      <c r="ARL52" s="188"/>
      <c r="ARM52" s="188"/>
      <c r="ARN52" s="188"/>
      <c r="ARO52" s="188"/>
      <c r="ARP52" s="188"/>
      <c r="ARQ52" s="188"/>
      <c r="ARR52" s="188"/>
      <c r="ARS52" s="188"/>
      <c r="ART52" s="188"/>
      <c r="ARU52" s="188"/>
      <c r="ARV52" s="188"/>
      <c r="ARW52" s="188"/>
      <c r="ARX52" s="188"/>
      <c r="ARY52" s="188"/>
      <c r="ARZ52" s="188"/>
      <c r="ASA52" s="188"/>
      <c r="ASB52" s="188"/>
      <c r="ASC52" s="188"/>
      <c r="ASD52" s="188"/>
      <c r="ASE52" s="188"/>
      <c r="ASF52" s="188"/>
      <c r="ASG52" s="188"/>
      <c r="ASH52" s="188"/>
      <c r="ASI52" s="188"/>
      <c r="ASJ52" s="188"/>
      <c r="ASK52" s="188"/>
      <c r="ASL52" s="188"/>
      <c r="ASM52" s="188"/>
      <c r="ASN52" s="188"/>
      <c r="ASO52" s="188"/>
      <c r="ASP52" s="188"/>
      <c r="ASQ52" s="188"/>
      <c r="ASR52" s="188"/>
      <c r="ASS52" s="188"/>
      <c r="AST52" s="188"/>
      <c r="ASU52" s="188"/>
      <c r="ASV52" s="188"/>
      <c r="ASW52" s="188"/>
      <c r="ASX52" s="188"/>
      <c r="ASY52" s="188"/>
      <c r="ASZ52" s="188"/>
      <c r="ATA52" s="188"/>
      <c r="ATB52" s="188"/>
      <c r="ATC52" s="188"/>
      <c r="ATD52" s="188"/>
      <c r="ATE52" s="188"/>
      <c r="ATF52" s="188"/>
      <c r="ATG52" s="188"/>
      <c r="ATH52" s="188"/>
      <c r="ATI52" s="188"/>
      <c r="ATJ52" s="188"/>
      <c r="ATK52" s="188"/>
      <c r="ATL52" s="188"/>
      <c r="ATM52" s="188"/>
      <c r="ATN52" s="188"/>
      <c r="ATO52" s="188"/>
      <c r="ATP52" s="188"/>
      <c r="ATQ52" s="188"/>
      <c r="ATR52" s="188"/>
      <c r="ATS52" s="188"/>
      <c r="ATT52" s="188"/>
      <c r="ATU52" s="188"/>
      <c r="ATV52" s="188"/>
      <c r="ATW52" s="188"/>
      <c r="ATX52" s="188"/>
      <c r="ATY52" s="188"/>
      <c r="ATZ52" s="188"/>
      <c r="AUA52" s="188"/>
      <c r="AUB52" s="188"/>
      <c r="AUC52" s="188"/>
      <c r="AUD52" s="188"/>
      <c r="AUE52" s="188"/>
      <c r="AUF52" s="188"/>
      <c r="AUG52" s="188"/>
      <c r="AUH52" s="188"/>
      <c r="AUI52" s="188"/>
      <c r="AUJ52" s="188"/>
      <c r="AUK52" s="188"/>
      <c r="AUL52" s="188"/>
      <c r="AUM52" s="188"/>
      <c r="AUN52" s="188"/>
      <c r="AUO52" s="188"/>
      <c r="AUP52" s="188"/>
      <c r="AUQ52" s="188"/>
      <c r="AUR52" s="188"/>
      <c r="AUS52" s="188"/>
      <c r="AUT52" s="188"/>
      <c r="AUU52" s="188"/>
      <c r="AUV52" s="188"/>
      <c r="AUW52" s="188"/>
      <c r="AUX52" s="188"/>
      <c r="AUY52" s="188"/>
      <c r="AUZ52" s="188"/>
      <c r="AVA52" s="188"/>
      <c r="AVB52" s="188"/>
      <c r="AVC52" s="188"/>
      <c r="AVD52" s="188"/>
      <c r="AVE52" s="188"/>
      <c r="AVF52" s="188"/>
      <c r="AVG52" s="188"/>
      <c r="AVH52" s="188"/>
      <c r="AVI52" s="188"/>
      <c r="AVJ52" s="188"/>
      <c r="AVK52" s="188"/>
      <c r="AVL52" s="188"/>
      <c r="AVM52" s="188"/>
      <c r="AVN52" s="188"/>
      <c r="AVO52" s="188"/>
      <c r="AVP52" s="188"/>
      <c r="AVQ52" s="188"/>
      <c r="AVR52" s="188"/>
      <c r="AVS52" s="188"/>
      <c r="AVT52" s="188"/>
      <c r="AVU52" s="188"/>
      <c r="AVV52" s="188"/>
      <c r="AVW52" s="188"/>
      <c r="AVX52" s="188"/>
      <c r="AVY52" s="188"/>
      <c r="AVZ52" s="188"/>
      <c r="AWA52" s="188"/>
      <c r="AWB52" s="188"/>
      <c r="AWC52" s="188"/>
      <c r="AWD52" s="188"/>
      <c r="AWE52" s="188"/>
      <c r="AWF52" s="188"/>
      <c r="AWG52" s="188"/>
      <c r="AWH52" s="188"/>
      <c r="AWI52" s="188"/>
      <c r="AWJ52" s="188"/>
      <c r="AWK52" s="188"/>
      <c r="AWL52" s="188"/>
      <c r="AWM52" s="188"/>
      <c r="AWN52" s="188"/>
      <c r="AWO52" s="188"/>
      <c r="AWP52" s="188"/>
      <c r="AWQ52" s="188"/>
      <c r="AWR52" s="188"/>
      <c r="AWS52" s="188"/>
      <c r="AWT52" s="188"/>
      <c r="AWU52" s="188"/>
      <c r="AWV52" s="188"/>
      <c r="AWW52" s="188"/>
      <c r="AWX52" s="188"/>
      <c r="AWY52" s="188"/>
      <c r="AWZ52" s="188"/>
      <c r="AXA52" s="188"/>
      <c r="AXB52" s="188"/>
      <c r="AXC52" s="188"/>
      <c r="AXD52" s="188"/>
      <c r="AXE52" s="188"/>
      <c r="AXF52" s="188"/>
      <c r="AXG52" s="188"/>
      <c r="AXH52" s="188"/>
      <c r="AXI52" s="188"/>
      <c r="AXJ52" s="188"/>
      <c r="AXK52" s="188"/>
      <c r="AXL52" s="188"/>
      <c r="AXM52" s="188"/>
      <c r="AXN52" s="188"/>
      <c r="AXO52" s="188"/>
      <c r="AXP52" s="188"/>
      <c r="AXQ52" s="188"/>
      <c r="AXR52" s="188"/>
      <c r="AXS52" s="188"/>
      <c r="AXT52" s="188"/>
      <c r="AXU52" s="188"/>
      <c r="AXV52" s="188"/>
      <c r="AXW52" s="188"/>
      <c r="AXX52" s="188"/>
      <c r="AXY52" s="188"/>
      <c r="AXZ52" s="188"/>
      <c r="AYA52" s="188"/>
      <c r="AYB52" s="188"/>
      <c r="AYC52" s="188"/>
      <c r="AYD52" s="188"/>
      <c r="AYE52" s="188"/>
      <c r="AYF52" s="188"/>
      <c r="AYG52" s="188"/>
      <c r="AYH52" s="188"/>
      <c r="AYI52" s="188"/>
      <c r="AYJ52" s="188"/>
      <c r="AYK52" s="188"/>
      <c r="AYL52" s="188"/>
      <c r="AYM52" s="188"/>
      <c r="AYN52" s="188"/>
      <c r="AYO52" s="188"/>
      <c r="AYP52" s="188"/>
      <c r="AYQ52" s="188"/>
      <c r="AYR52" s="188"/>
      <c r="AYS52" s="188"/>
      <c r="AYT52" s="188"/>
      <c r="AYU52" s="188"/>
      <c r="AYV52" s="188"/>
      <c r="AYW52" s="188"/>
      <c r="AYX52" s="188"/>
      <c r="AYY52" s="188"/>
      <c r="AYZ52" s="188"/>
      <c r="AZA52" s="188"/>
      <c r="AZB52" s="188"/>
      <c r="AZC52" s="188"/>
      <c r="AZD52" s="188"/>
      <c r="AZE52" s="188"/>
      <c r="AZF52" s="188"/>
      <c r="AZG52" s="188"/>
      <c r="AZH52" s="188"/>
      <c r="AZI52" s="188"/>
      <c r="AZJ52" s="188"/>
      <c r="AZK52" s="188"/>
      <c r="AZL52" s="188"/>
      <c r="AZM52" s="188"/>
      <c r="AZN52" s="188"/>
      <c r="AZO52" s="188"/>
      <c r="AZP52" s="188"/>
      <c r="AZQ52" s="188"/>
      <c r="AZR52" s="188"/>
      <c r="AZS52" s="188"/>
      <c r="AZT52" s="188"/>
      <c r="AZU52" s="188"/>
      <c r="AZV52" s="188"/>
      <c r="AZW52" s="188"/>
      <c r="AZX52" s="188"/>
      <c r="AZY52" s="188"/>
      <c r="AZZ52" s="188"/>
      <c r="BAA52" s="188"/>
      <c r="BAB52" s="188"/>
      <c r="BAC52" s="188"/>
      <c r="BAD52" s="188"/>
      <c r="BAE52" s="188"/>
      <c r="BAF52" s="188"/>
      <c r="BAG52" s="188"/>
      <c r="BAH52" s="188"/>
      <c r="BAI52" s="188"/>
      <c r="BAJ52" s="188"/>
      <c r="BAK52" s="188"/>
      <c r="BAL52" s="188"/>
      <c r="BAM52" s="188"/>
      <c r="BAN52" s="188"/>
      <c r="BAO52" s="188"/>
      <c r="BAP52" s="188"/>
      <c r="BAQ52" s="188"/>
      <c r="BAR52" s="188"/>
      <c r="BAS52" s="188"/>
      <c r="BAT52" s="188"/>
      <c r="BAU52" s="188"/>
      <c r="BAV52" s="188"/>
      <c r="BAW52" s="188"/>
      <c r="BAX52" s="188"/>
      <c r="BAY52" s="188"/>
      <c r="BAZ52" s="188"/>
      <c r="BBA52" s="188"/>
      <c r="BBB52" s="188"/>
      <c r="BBC52" s="188"/>
      <c r="BBD52" s="188"/>
      <c r="BBE52" s="188"/>
      <c r="BBF52" s="188"/>
      <c r="BBG52" s="188"/>
      <c r="BBH52" s="188"/>
      <c r="BBI52" s="188"/>
      <c r="BBJ52" s="188"/>
      <c r="BBK52" s="188"/>
      <c r="BBL52" s="188"/>
      <c r="BBM52" s="188"/>
      <c r="BBN52" s="188"/>
      <c r="BBO52" s="188"/>
      <c r="BBP52" s="188"/>
      <c r="BBQ52" s="188"/>
      <c r="BBR52" s="188"/>
      <c r="BBS52" s="188"/>
      <c r="BBT52" s="188"/>
      <c r="BBU52" s="188"/>
      <c r="BBV52" s="188"/>
      <c r="BBW52" s="188"/>
      <c r="BBX52" s="188"/>
      <c r="BBY52" s="188"/>
      <c r="BBZ52" s="188"/>
      <c r="BCA52" s="188"/>
      <c r="BCB52" s="188"/>
      <c r="BCC52" s="188"/>
      <c r="BCD52" s="188"/>
      <c r="BCE52" s="188"/>
      <c r="BCF52" s="188"/>
      <c r="BCG52" s="188"/>
      <c r="BCH52" s="188"/>
      <c r="BCI52" s="188"/>
      <c r="BCJ52" s="188"/>
      <c r="BCK52" s="188"/>
      <c r="BCL52" s="188"/>
      <c r="BCM52" s="188"/>
      <c r="BCN52" s="188"/>
      <c r="BCO52" s="188"/>
      <c r="BCP52" s="188"/>
      <c r="BCQ52" s="188"/>
      <c r="BCR52" s="188"/>
      <c r="BCS52" s="188"/>
      <c r="BCT52" s="188"/>
      <c r="BCU52" s="188"/>
      <c r="BCV52" s="188"/>
      <c r="BCW52" s="188"/>
      <c r="BCX52" s="188"/>
      <c r="BCY52" s="188"/>
      <c r="BCZ52" s="188"/>
      <c r="BDA52" s="188"/>
      <c r="BDB52" s="188"/>
      <c r="BDC52" s="188"/>
      <c r="BDD52" s="188"/>
      <c r="BDE52" s="188"/>
      <c r="BDF52" s="188"/>
      <c r="BDG52" s="188"/>
      <c r="BDH52" s="188"/>
      <c r="BDI52" s="188"/>
      <c r="BDJ52" s="188"/>
      <c r="BDK52" s="188"/>
      <c r="BDL52" s="188"/>
      <c r="BDM52" s="188"/>
      <c r="BDN52" s="188"/>
      <c r="BDO52" s="188"/>
      <c r="BDP52" s="188"/>
      <c r="BDQ52" s="188"/>
      <c r="BDR52" s="188"/>
      <c r="BDS52" s="188"/>
      <c r="BDT52" s="188"/>
      <c r="BDU52" s="188"/>
      <c r="BDV52" s="188"/>
      <c r="BDW52" s="188"/>
      <c r="BDX52" s="188"/>
      <c r="BDY52" s="188"/>
      <c r="BDZ52" s="188"/>
      <c r="BEA52" s="188"/>
      <c r="BEB52" s="188"/>
      <c r="BEC52" s="188"/>
      <c r="BED52" s="188"/>
      <c r="BEE52" s="188"/>
      <c r="BEF52" s="188"/>
      <c r="BEG52" s="188"/>
      <c r="BEH52" s="188"/>
      <c r="BEI52" s="188"/>
      <c r="BEJ52" s="188"/>
      <c r="BEK52" s="188"/>
      <c r="BEL52" s="188"/>
      <c r="BEM52" s="188"/>
      <c r="BEN52" s="188"/>
      <c r="BEO52" s="188"/>
      <c r="BEP52" s="188"/>
      <c r="BEQ52" s="188"/>
      <c r="BER52" s="188"/>
      <c r="BES52" s="188"/>
      <c r="BET52" s="188"/>
      <c r="BEU52" s="188"/>
      <c r="BEV52" s="188"/>
      <c r="BEW52" s="188"/>
      <c r="BEX52" s="188"/>
      <c r="BEY52" s="188"/>
      <c r="BEZ52" s="188"/>
      <c r="BFA52" s="188"/>
      <c r="BFB52" s="188"/>
      <c r="BFC52" s="188"/>
      <c r="BFD52" s="188"/>
      <c r="BFE52" s="188"/>
      <c r="BFF52" s="188"/>
      <c r="BFG52" s="188"/>
      <c r="BFH52" s="188"/>
      <c r="BFI52" s="188"/>
      <c r="BFJ52" s="188"/>
      <c r="BFK52" s="188"/>
      <c r="BFL52" s="188"/>
      <c r="BFM52" s="188"/>
      <c r="BFN52" s="188"/>
      <c r="BFO52" s="188"/>
      <c r="BFP52" s="188"/>
      <c r="BFQ52" s="188"/>
      <c r="BFR52" s="188"/>
      <c r="BFS52" s="188"/>
      <c r="BFT52" s="188"/>
      <c r="BFU52" s="188"/>
      <c r="BFV52" s="188"/>
      <c r="BFW52" s="188"/>
      <c r="BFX52" s="188"/>
      <c r="BFY52" s="188"/>
      <c r="BFZ52" s="188"/>
      <c r="BGA52" s="188"/>
      <c r="BGB52" s="188"/>
      <c r="BGC52" s="188"/>
      <c r="BGD52" s="188"/>
      <c r="BGE52" s="188"/>
      <c r="BGF52" s="188"/>
      <c r="BGG52" s="188"/>
      <c r="BGH52" s="188"/>
      <c r="BGI52" s="188"/>
      <c r="BGJ52" s="188"/>
      <c r="BGK52" s="188"/>
      <c r="BGL52" s="188"/>
      <c r="BGM52" s="188"/>
      <c r="BGN52" s="188"/>
      <c r="BGO52" s="188"/>
      <c r="BGP52" s="188"/>
      <c r="BGQ52" s="188"/>
      <c r="BGR52" s="188"/>
      <c r="BGS52" s="188"/>
      <c r="BGT52" s="188"/>
      <c r="BGU52" s="188"/>
      <c r="BGV52" s="188"/>
      <c r="BGW52" s="188"/>
      <c r="BGX52" s="188"/>
      <c r="BGY52" s="188"/>
      <c r="BGZ52" s="188"/>
      <c r="BHA52" s="188"/>
      <c r="BHB52" s="188"/>
      <c r="BHC52" s="188"/>
      <c r="BHD52" s="188"/>
      <c r="BHE52" s="188"/>
      <c r="BHF52" s="188"/>
      <c r="BHG52" s="188"/>
      <c r="BHH52" s="188"/>
      <c r="BHI52" s="188"/>
      <c r="BHJ52" s="188"/>
      <c r="BHK52" s="188"/>
      <c r="BHL52" s="188"/>
      <c r="BHM52" s="188"/>
      <c r="BHN52" s="188"/>
      <c r="BHO52" s="188"/>
      <c r="BHP52" s="188"/>
      <c r="BHQ52" s="188"/>
      <c r="BHR52" s="188"/>
      <c r="BHS52" s="188"/>
      <c r="BHT52" s="188"/>
      <c r="BHU52" s="188"/>
      <c r="BHV52" s="188"/>
      <c r="BHW52" s="188"/>
      <c r="BHX52" s="188"/>
      <c r="BHY52" s="188"/>
      <c r="BHZ52" s="188"/>
      <c r="BIA52" s="188"/>
      <c r="BIB52" s="188"/>
      <c r="BIC52" s="188"/>
      <c r="BID52" s="188"/>
      <c r="BIE52" s="188"/>
      <c r="BIF52" s="188"/>
      <c r="BIG52" s="188"/>
      <c r="BIH52" s="188"/>
      <c r="BII52" s="188"/>
      <c r="BIJ52" s="188"/>
      <c r="BIK52" s="188"/>
      <c r="BIL52" s="188"/>
      <c r="BIM52" s="188"/>
      <c r="BIN52" s="188"/>
      <c r="BIO52" s="188"/>
      <c r="BIP52" s="188"/>
      <c r="BIQ52" s="188"/>
      <c r="BIR52" s="188"/>
      <c r="BIS52" s="188"/>
      <c r="BIT52" s="188"/>
      <c r="BIU52" s="188"/>
      <c r="BIV52" s="188"/>
      <c r="BIW52" s="188"/>
      <c r="BIX52" s="188"/>
      <c r="BIY52" s="188"/>
      <c r="BIZ52" s="188"/>
      <c r="BJA52" s="188"/>
      <c r="BJB52" s="188"/>
      <c r="BJC52" s="188"/>
      <c r="BJD52" s="188"/>
      <c r="BJE52" s="188"/>
      <c r="BJF52" s="188"/>
      <c r="BJG52" s="188"/>
      <c r="BJH52" s="188"/>
      <c r="BJI52" s="188"/>
      <c r="BJJ52" s="188"/>
      <c r="BJK52" s="188"/>
      <c r="BJL52" s="188"/>
      <c r="BJM52" s="188"/>
      <c r="BJN52" s="188"/>
      <c r="BJO52" s="188"/>
      <c r="BJP52" s="188"/>
      <c r="BJQ52" s="188"/>
      <c r="BJR52" s="188"/>
      <c r="BJS52" s="188"/>
      <c r="BJT52" s="188"/>
      <c r="BJU52" s="188"/>
      <c r="BJV52" s="188"/>
      <c r="BJW52" s="188"/>
      <c r="BJX52" s="188"/>
      <c r="BJY52" s="188"/>
      <c r="BJZ52" s="188"/>
      <c r="BKA52" s="188"/>
      <c r="BKB52" s="188"/>
      <c r="BKC52" s="188"/>
      <c r="BKD52" s="188"/>
      <c r="BKE52" s="188"/>
      <c r="BKF52" s="188"/>
      <c r="BKG52" s="188"/>
      <c r="BKH52" s="188"/>
      <c r="BKI52" s="188"/>
      <c r="BKJ52" s="188"/>
      <c r="BKK52" s="188"/>
      <c r="BKL52" s="188"/>
      <c r="BKM52" s="188"/>
      <c r="BKN52" s="188"/>
    </row>
    <row r="53" spans="1:1652" s="21" customFormat="1" x14ac:dyDescent="0.3">
      <c r="A53" s="171"/>
      <c r="B53" s="189"/>
      <c r="C53" s="189"/>
      <c r="D53" s="189"/>
      <c r="E53" s="189"/>
      <c r="F53" s="189"/>
      <c r="G53" s="189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8"/>
      <c r="AF53" s="188"/>
      <c r="AG53" s="188"/>
      <c r="AH53" s="188"/>
      <c r="AI53" s="188"/>
      <c r="AJ53" s="188"/>
      <c r="AK53" s="188"/>
      <c r="AL53" s="188"/>
      <c r="AM53" s="188"/>
      <c r="AN53" s="188"/>
      <c r="AO53" s="188"/>
      <c r="AP53" s="188"/>
      <c r="AQ53" s="188"/>
      <c r="AR53" s="188"/>
      <c r="AS53" s="188"/>
      <c r="AT53" s="189"/>
      <c r="AU53" s="189"/>
      <c r="AV53" s="189"/>
      <c r="AW53" s="189"/>
      <c r="AX53" s="189"/>
      <c r="AY53" s="189"/>
      <c r="AZ53" s="189"/>
      <c r="BA53" s="189"/>
      <c r="BB53" s="189"/>
      <c r="BC53" s="189"/>
      <c r="BD53" s="189"/>
      <c r="BE53" s="188"/>
      <c r="BF53" s="188"/>
      <c r="BG53" s="188"/>
      <c r="BH53" s="188"/>
      <c r="BI53" s="188"/>
      <c r="BJ53" s="188"/>
      <c r="BK53" s="188"/>
      <c r="BL53" s="188"/>
      <c r="BM53" s="188"/>
      <c r="BN53" s="188"/>
      <c r="BO53" s="188"/>
      <c r="BP53" s="188"/>
      <c r="BQ53" s="188"/>
      <c r="BR53" s="188"/>
      <c r="BS53" s="188"/>
      <c r="BT53" s="188"/>
      <c r="BU53" s="188"/>
      <c r="BV53" s="188"/>
      <c r="BW53" s="188"/>
      <c r="BX53" s="188"/>
      <c r="BY53" s="188"/>
      <c r="BZ53" s="188"/>
      <c r="CA53" s="188"/>
      <c r="CB53" s="188"/>
      <c r="CC53" s="188"/>
      <c r="CD53" s="188"/>
      <c r="CE53" s="188"/>
      <c r="CF53" s="188"/>
      <c r="CG53" s="188"/>
      <c r="CH53" s="188"/>
      <c r="CI53" s="188"/>
      <c r="CJ53" s="188"/>
      <c r="CK53" s="188"/>
      <c r="CL53" s="188"/>
      <c r="CM53" s="188"/>
      <c r="CN53" s="188"/>
      <c r="CO53" s="188"/>
      <c r="CP53" s="188"/>
      <c r="CQ53" s="188"/>
      <c r="CR53" s="188"/>
      <c r="CS53" s="188"/>
      <c r="CT53" s="188"/>
      <c r="CU53" s="188"/>
      <c r="CV53" s="188"/>
      <c r="CW53" s="188"/>
      <c r="CX53" s="188"/>
      <c r="CY53" s="188"/>
      <c r="CZ53" s="188"/>
      <c r="DA53" s="188"/>
      <c r="DB53" s="188"/>
      <c r="DC53" s="188"/>
      <c r="DD53" s="188"/>
      <c r="DE53" s="188"/>
      <c r="DF53" s="188"/>
      <c r="DG53" s="188"/>
      <c r="DH53" s="188"/>
      <c r="DI53" s="188"/>
      <c r="DJ53" s="188"/>
      <c r="DK53" s="188"/>
      <c r="DL53" s="188"/>
      <c r="DM53" s="188"/>
      <c r="DN53" s="188"/>
      <c r="DO53" s="188"/>
      <c r="DP53" s="188"/>
      <c r="DQ53" s="188"/>
      <c r="DR53" s="188"/>
      <c r="DS53" s="188"/>
      <c r="DT53" s="188"/>
      <c r="DU53" s="188"/>
      <c r="DV53" s="188"/>
      <c r="DW53" s="188"/>
      <c r="DX53" s="188"/>
      <c r="DY53" s="188"/>
      <c r="DZ53" s="188"/>
      <c r="EA53" s="188"/>
      <c r="EB53" s="188"/>
      <c r="EC53" s="188"/>
      <c r="ED53" s="188"/>
      <c r="EE53" s="188"/>
      <c r="EF53" s="188"/>
      <c r="EG53" s="188"/>
      <c r="EH53" s="188"/>
      <c r="EI53" s="188"/>
      <c r="EJ53" s="188"/>
      <c r="EK53" s="188"/>
      <c r="EL53" s="188"/>
      <c r="EM53" s="188"/>
      <c r="EN53" s="188"/>
      <c r="EO53" s="188"/>
      <c r="EP53" s="188"/>
      <c r="EQ53" s="188"/>
      <c r="ER53" s="188"/>
      <c r="ES53" s="188"/>
      <c r="ET53" s="188"/>
      <c r="EU53" s="188"/>
      <c r="EV53" s="188"/>
      <c r="EW53" s="188"/>
      <c r="EX53" s="188"/>
      <c r="EY53" s="188"/>
      <c r="EZ53" s="188"/>
      <c r="FA53" s="188"/>
      <c r="FB53" s="188"/>
      <c r="FC53" s="188"/>
      <c r="FD53" s="188"/>
      <c r="FE53" s="188"/>
      <c r="FF53" s="188"/>
      <c r="FG53" s="188"/>
      <c r="FH53" s="188"/>
      <c r="FI53" s="188"/>
      <c r="FJ53" s="188"/>
      <c r="FK53" s="188"/>
      <c r="FL53" s="188"/>
      <c r="FM53" s="188"/>
      <c r="FN53" s="188"/>
      <c r="FO53" s="188"/>
      <c r="FP53" s="188"/>
      <c r="FQ53" s="188"/>
      <c r="FR53" s="188"/>
      <c r="FS53" s="188"/>
      <c r="FT53" s="188"/>
      <c r="FU53" s="188"/>
      <c r="FV53" s="188"/>
      <c r="FW53" s="188"/>
      <c r="FX53" s="188"/>
      <c r="FY53" s="188"/>
      <c r="FZ53" s="188"/>
      <c r="GA53" s="188"/>
      <c r="GB53" s="188"/>
      <c r="GC53" s="188"/>
      <c r="GD53" s="188"/>
      <c r="GE53" s="188"/>
      <c r="GF53" s="188"/>
      <c r="GG53" s="188"/>
      <c r="GH53" s="188"/>
      <c r="GI53" s="188"/>
      <c r="GJ53" s="188"/>
      <c r="GK53" s="188"/>
      <c r="GL53" s="188"/>
      <c r="GM53" s="188"/>
      <c r="GN53" s="188"/>
      <c r="GO53" s="188"/>
      <c r="GP53" s="188"/>
      <c r="GQ53" s="188"/>
      <c r="GR53" s="188"/>
      <c r="GS53" s="188"/>
      <c r="GT53" s="188"/>
      <c r="GU53" s="188"/>
      <c r="GV53" s="188"/>
      <c r="GW53" s="188"/>
      <c r="GX53" s="188"/>
      <c r="GY53" s="188"/>
      <c r="GZ53" s="188"/>
      <c r="HA53" s="188"/>
      <c r="HB53" s="188"/>
      <c r="HC53" s="188"/>
      <c r="HD53" s="188"/>
      <c r="HE53" s="188"/>
      <c r="HF53" s="188"/>
      <c r="HG53" s="188"/>
      <c r="HH53" s="188"/>
      <c r="HI53" s="188"/>
      <c r="HJ53" s="188"/>
      <c r="HK53" s="188"/>
      <c r="HL53" s="188"/>
      <c r="HM53" s="188"/>
      <c r="HN53" s="188"/>
      <c r="HO53" s="188"/>
      <c r="HP53" s="188"/>
      <c r="HQ53" s="188"/>
      <c r="HR53" s="188"/>
      <c r="HS53" s="188"/>
      <c r="HT53" s="188"/>
      <c r="HU53" s="188"/>
      <c r="HV53" s="188"/>
      <c r="HW53" s="188"/>
      <c r="HX53" s="188"/>
      <c r="HY53" s="188"/>
      <c r="HZ53" s="188"/>
      <c r="IA53" s="188"/>
      <c r="IB53" s="188"/>
      <c r="IC53" s="188"/>
      <c r="ID53" s="188"/>
      <c r="IE53" s="188"/>
      <c r="IF53" s="188"/>
      <c r="IG53" s="188"/>
      <c r="IH53" s="188"/>
      <c r="II53" s="188"/>
      <c r="IJ53" s="188"/>
      <c r="IK53" s="188"/>
      <c r="IL53" s="188"/>
      <c r="IM53" s="188"/>
      <c r="IN53" s="188"/>
      <c r="IO53" s="188"/>
      <c r="IP53" s="188"/>
      <c r="IQ53" s="188"/>
      <c r="IR53" s="188"/>
      <c r="IS53" s="188"/>
      <c r="IT53" s="188"/>
      <c r="IU53" s="188"/>
      <c r="IV53" s="188"/>
      <c r="IW53" s="188"/>
      <c r="IX53" s="188"/>
      <c r="IY53" s="188"/>
      <c r="IZ53" s="188"/>
      <c r="JA53" s="188"/>
      <c r="JB53" s="188"/>
      <c r="JC53" s="188"/>
      <c r="JD53" s="188"/>
      <c r="JE53" s="188"/>
      <c r="JF53" s="188"/>
      <c r="JG53" s="188"/>
      <c r="JH53" s="188"/>
      <c r="JI53" s="188"/>
      <c r="JJ53" s="188"/>
      <c r="JK53" s="188"/>
      <c r="JL53" s="188"/>
      <c r="JM53" s="188"/>
      <c r="JN53" s="188"/>
      <c r="JO53" s="188"/>
      <c r="JP53" s="188"/>
      <c r="JQ53" s="188"/>
      <c r="JR53" s="188"/>
      <c r="JS53" s="188"/>
      <c r="JT53" s="188"/>
      <c r="JU53" s="188"/>
      <c r="JV53" s="188"/>
      <c r="JW53" s="188"/>
      <c r="JX53" s="188"/>
      <c r="JY53" s="188"/>
      <c r="JZ53" s="188"/>
      <c r="KA53" s="188"/>
      <c r="KB53" s="188"/>
      <c r="KC53" s="188"/>
      <c r="KD53" s="188"/>
      <c r="KE53" s="188"/>
      <c r="KF53" s="188"/>
      <c r="KG53" s="188"/>
      <c r="KH53" s="188"/>
      <c r="KI53" s="188"/>
      <c r="KJ53" s="188"/>
      <c r="KK53" s="188"/>
      <c r="KL53" s="188"/>
      <c r="KM53" s="188"/>
      <c r="KN53" s="188"/>
      <c r="KO53" s="188"/>
      <c r="KP53" s="188"/>
      <c r="KQ53" s="188"/>
      <c r="KR53" s="188"/>
      <c r="KS53" s="188"/>
      <c r="KT53" s="188"/>
      <c r="KU53" s="188"/>
      <c r="KV53" s="188"/>
      <c r="KW53" s="188"/>
      <c r="KX53" s="188"/>
      <c r="KY53" s="188"/>
      <c r="KZ53" s="188"/>
      <c r="LA53" s="188"/>
      <c r="LB53" s="188"/>
      <c r="LC53" s="188"/>
      <c r="LD53" s="188"/>
      <c r="LE53" s="188"/>
      <c r="LF53" s="188"/>
      <c r="LG53" s="188"/>
      <c r="LH53" s="188"/>
      <c r="LI53" s="188"/>
      <c r="LJ53" s="188"/>
      <c r="LK53" s="188"/>
      <c r="LL53" s="188"/>
      <c r="LM53" s="188"/>
      <c r="LN53" s="188"/>
      <c r="LO53" s="188"/>
      <c r="LP53" s="188"/>
      <c r="LQ53" s="188"/>
      <c r="LR53" s="188"/>
      <c r="LS53" s="188"/>
      <c r="LT53" s="188"/>
      <c r="LU53" s="188"/>
      <c r="LV53" s="188"/>
      <c r="LW53" s="188"/>
      <c r="LX53" s="188"/>
      <c r="LY53" s="188"/>
      <c r="LZ53" s="188"/>
      <c r="MA53" s="188"/>
      <c r="MB53" s="188"/>
      <c r="MC53" s="188"/>
      <c r="MD53" s="188"/>
      <c r="ME53" s="188"/>
      <c r="MF53" s="188"/>
      <c r="MG53" s="188"/>
      <c r="MH53" s="188"/>
      <c r="MI53" s="188"/>
      <c r="MJ53" s="188"/>
      <c r="MK53" s="188"/>
      <c r="ML53" s="188"/>
      <c r="MM53" s="188"/>
      <c r="MN53" s="188"/>
      <c r="MO53" s="188"/>
      <c r="MP53" s="188"/>
      <c r="MQ53" s="188"/>
      <c r="MR53" s="188"/>
      <c r="MS53" s="188"/>
      <c r="MT53" s="188"/>
      <c r="MU53" s="188"/>
      <c r="MV53" s="188"/>
      <c r="MW53" s="188"/>
      <c r="MX53" s="188"/>
      <c r="MY53" s="188"/>
      <c r="MZ53" s="188"/>
      <c r="NA53" s="188"/>
      <c r="NB53" s="188"/>
      <c r="NC53" s="188"/>
      <c r="ND53" s="188"/>
      <c r="NE53" s="188"/>
      <c r="NF53" s="188"/>
      <c r="NG53" s="188"/>
      <c r="NH53" s="188"/>
      <c r="NI53" s="188"/>
      <c r="NJ53" s="188"/>
      <c r="NK53" s="188"/>
      <c r="NL53" s="188"/>
      <c r="NM53" s="188"/>
      <c r="NN53" s="188"/>
      <c r="NO53" s="188"/>
      <c r="NP53" s="188"/>
      <c r="NQ53" s="188"/>
      <c r="NR53" s="188"/>
      <c r="NS53" s="188"/>
      <c r="NT53" s="188"/>
      <c r="NU53" s="188"/>
      <c r="NV53" s="188"/>
      <c r="NW53" s="188"/>
      <c r="NX53" s="188"/>
      <c r="NY53" s="188"/>
      <c r="NZ53" s="188"/>
      <c r="OA53" s="188"/>
      <c r="OB53" s="188"/>
      <c r="OC53" s="188"/>
      <c r="OD53" s="188"/>
      <c r="OE53" s="188"/>
      <c r="OF53" s="188"/>
      <c r="OG53" s="188"/>
      <c r="OH53" s="188"/>
      <c r="OI53" s="188"/>
      <c r="OJ53" s="188"/>
      <c r="OK53" s="188"/>
      <c r="OL53" s="188"/>
      <c r="OM53" s="188"/>
      <c r="ON53" s="188"/>
      <c r="OO53" s="188"/>
      <c r="OP53" s="188"/>
      <c r="OQ53" s="188"/>
      <c r="OR53" s="188"/>
      <c r="OS53" s="188"/>
      <c r="OT53" s="188"/>
      <c r="OU53" s="188"/>
      <c r="OV53" s="188"/>
      <c r="OW53" s="188"/>
      <c r="OX53" s="188"/>
      <c r="OY53" s="188"/>
      <c r="OZ53" s="188"/>
      <c r="PA53" s="188"/>
      <c r="PB53" s="188"/>
      <c r="PC53" s="188"/>
      <c r="PD53" s="188"/>
      <c r="PE53" s="188"/>
      <c r="PF53" s="188"/>
      <c r="PG53" s="188"/>
      <c r="PH53" s="188"/>
      <c r="PI53" s="188"/>
      <c r="PJ53" s="188"/>
      <c r="PK53" s="188"/>
      <c r="PL53" s="188"/>
      <c r="PM53" s="188"/>
      <c r="PN53" s="188"/>
      <c r="PO53" s="188"/>
      <c r="PP53" s="188"/>
      <c r="PQ53" s="188"/>
      <c r="PR53" s="188"/>
      <c r="PS53" s="188"/>
      <c r="PT53" s="188"/>
      <c r="PU53" s="188"/>
      <c r="PV53" s="188"/>
      <c r="PW53" s="188"/>
      <c r="PX53" s="188"/>
      <c r="PY53" s="188"/>
      <c r="PZ53" s="188"/>
      <c r="QA53" s="188"/>
      <c r="QB53" s="188"/>
      <c r="QC53" s="188"/>
      <c r="QD53" s="188"/>
      <c r="QE53" s="188"/>
      <c r="QF53" s="188"/>
      <c r="QG53" s="188"/>
      <c r="QH53" s="188"/>
      <c r="QI53" s="188"/>
      <c r="QJ53" s="188"/>
      <c r="QK53" s="188"/>
      <c r="QL53" s="188"/>
      <c r="QM53" s="188"/>
      <c r="QN53" s="188"/>
      <c r="QO53" s="188"/>
      <c r="QP53" s="188"/>
      <c r="QQ53" s="188"/>
      <c r="QR53" s="188"/>
      <c r="QS53" s="188"/>
      <c r="QT53" s="188"/>
      <c r="QU53" s="188"/>
      <c r="QV53" s="188"/>
      <c r="QW53" s="188"/>
      <c r="QX53" s="188"/>
      <c r="QY53" s="188"/>
      <c r="QZ53" s="188"/>
      <c r="RA53" s="188"/>
      <c r="RB53" s="188"/>
      <c r="RC53" s="188"/>
      <c r="RD53" s="188"/>
      <c r="RE53" s="188"/>
      <c r="RF53" s="188"/>
      <c r="RG53" s="188"/>
      <c r="RH53" s="188"/>
      <c r="RI53" s="188"/>
      <c r="RJ53" s="188"/>
      <c r="RK53" s="188"/>
      <c r="RL53" s="188"/>
      <c r="RM53" s="188"/>
      <c r="RN53" s="188"/>
      <c r="RO53" s="188"/>
      <c r="RP53" s="188"/>
      <c r="RQ53" s="188"/>
      <c r="RR53" s="188"/>
      <c r="RS53" s="188"/>
      <c r="RT53" s="188"/>
      <c r="RU53" s="188"/>
      <c r="RV53" s="188"/>
      <c r="RW53" s="188"/>
      <c r="RX53" s="188"/>
      <c r="RY53" s="188"/>
      <c r="RZ53" s="188"/>
      <c r="SA53" s="188"/>
      <c r="SB53" s="188"/>
      <c r="SC53" s="188"/>
      <c r="SD53" s="188"/>
      <c r="SE53" s="188"/>
      <c r="SF53" s="188"/>
      <c r="SG53" s="188"/>
      <c r="SH53" s="188"/>
      <c r="SI53" s="188"/>
      <c r="SJ53" s="188"/>
      <c r="SK53" s="188"/>
      <c r="SL53" s="188"/>
      <c r="SM53" s="188"/>
      <c r="SN53" s="188"/>
      <c r="SO53" s="188"/>
      <c r="SP53" s="188"/>
      <c r="SQ53" s="188"/>
      <c r="SR53" s="188"/>
      <c r="SS53" s="188"/>
      <c r="ST53" s="188"/>
      <c r="SU53" s="188"/>
      <c r="SV53" s="188"/>
      <c r="SW53" s="188"/>
      <c r="SX53" s="188"/>
      <c r="SY53" s="188"/>
      <c r="SZ53" s="188"/>
      <c r="TA53" s="188"/>
      <c r="TB53" s="188"/>
      <c r="TC53" s="188"/>
      <c r="TD53" s="188"/>
      <c r="TE53" s="188"/>
      <c r="TF53" s="188"/>
      <c r="TG53" s="188"/>
      <c r="TH53" s="188"/>
      <c r="TI53" s="188"/>
      <c r="TJ53" s="188"/>
      <c r="TK53" s="188"/>
      <c r="TL53" s="188"/>
      <c r="TM53" s="188"/>
      <c r="TN53" s="188"/>
      <c r="TO53" s="188"/>
      <c r="TP53" s="188"/>
      <c r="TQ53" s="188"/>
      <c r="TR53" s="188"/>
      <c r="TS53" s="188"/>
      <c r="TT53" s="188"/>
      <c r="TU53" s="188"/>
      <c r="TV53" s="188"/>
      <c r="TW53" s="188"/>
      <c r="TX53" s="188"/>
      <c r="TY53" s="188"/>
      <c r="TZ53" s="188"/>
      <c r="UA53" s="188"/>
      <c r="UB53" s="188"/>
      <c r="UC53" s="188"/>
      <c r="UD53" s="188"/>
      <c r="UE53" s="188"/>
      <c r="UF53" s="188"/>
      <c r="UG53" s="188"/>
      <c r="UH53" s="188"/>
      <c r="UI53" s="188"/>
      <c r="UJ53" s="188"/>
      <c r="UK53" s="188"/>
      <c r="UL53" s="188"/>
      <c r="UM53" s="188"/>
      <c r="UN53" s="188"/>
      <c r="UO53" s="188"/>
      <c r="UP53" s="188"/>
      <c r="UQ53" s="188"/>
      <c r="UR53" s="188"/>
      <c r="US53" s="188"/>
      <c r="UT53" s="188"/>
      <c r="UU53" s="188"/>
      <c r="UV53" s="188"/>
      <c r="UW53" s="188"/>
      <c r="UX53" s="188"/>
      <c r="UY53" s="188"/>
      <c r="UZ53" s="188"/>
      <c r="VA53" s="188"/>
      <c r="VB53" s="188"/>
      <c r="VC53" s="188"/>
      <c r="VD53" s="188"/>
      <c r="VE53" s="188"/>
      <c r="VF53" s="188"/>
      <c r="VG53" s="188"/>
      <c r="VH53" s="188"/>
      <c r="VI53" s="188"/>
      <c r="VJ53" s="188"/>
      <c r="VK53" s="188"/>
      <c r="VL53" s="188"/>
      <c r="VM53" s="188"/>
      <c r="VN53" s="188"/>
      <c r="VO53" s="188"/>
      <c r="VP53" s="188"/>
      <c r="VQ53" s="188"/>
      <c r="VR53" s="188"/>
      <c r="VS53" s="188"/>
      <c r="VT53" s="188"/>
      <c r="VU53" s="188"/>
      <c r="VV53" s="188"/>
      <c r="VW53" s="188"/>
      <c r="VX53" s="188"/>
      <c r="VY53" s="188"/>
      <c r="VZ53" s="188"/>
      <c r="WA53" s="188"/>
      <c r="WB53" s="188"/>
      <c r="WC53" s="188"/>
      <c r="WD53" s="188"/>
      <c r="WE53" s="188"/>
      <c r="WF53" s="188"/>
      <c r="WG53" s="188"/>
      <c r="WH53" s="188"/>
      <c r="WI53" s="188"/>
      <c r="WJ53" s="188"/>
      <c r="WK53" s="188"/>
      <c r="WL53" s="188"/>
      <c r="WM53" s="188"/>
      <c r="WN53" s="188"/>
      <c r="WO53" s="188"/>
      <c r="WP53" s="188"/>
      <c r="WQ53" s="188"/>
      <c r="WR53" s="188"/>
      <c r="WS53" s="188"/>
      <c r="WT53" s="188"/>
      <c r="WU53" s="188"/>
      <c r="WV53" s="188"/>
      <c r="WW53" s="188"/>
      <c r="WX53" s="188"/>
      <c r="WY53" s="188"/>
      <c r="WZ53" s="188"/>
      <c r="XA53" s="188"/>
      <c r="XB53" s="188"/>
      <c r="XC53" s="188"/>
      <c r="XD53" s="188"/>
      <c r="XE53" s="188"/>
      <c r="XF53" s="188"/>
      <c r="XG53" s="188"/>
      <c r="XH53" s="188"/>
      <c r="XI53" s="188"/>
      <c r="XJ53" s="188"/>
      <c r="XK53" s="188"/>
      <c r="XL53" s="188"/>
      <c r="XM53" s="188"/>
      <c r="XN53" s="188"/>
      <c r="XO53" s="188"/>
      <c r="XP53" s="188"/>
      <c r="XQ53" s="188"/>
      <c r="XR53" s="188"/>
      <c r="XS53" s="188"/>
      <c r="XT53" s="188"/>
      <c r="XU53" s="188"/>
      <c r="XV53" s="188"/>
      <c r="XW53" s="188"/>
      <c r="XX53" s="188"/>
      <c r="XY53" s="188"/>
      <c r="XZ53" s="188"/>
      <c r="YA53" s="188"/>
      <c r="YB53" s="188"/>
      <c r="YC53" s="188"/>
      <c r="YD53" s="188"/>
      <c r="YE53" s="188"/>
      <c r="YF53" s="188"/>
      <c r="YG53" s="188"/>
      <c r="YH53" s="188"/>
      <c r="YI53" s="188"/>
      <c r="YJ53" s="188"/>
      <c r="YK53" s="188"/>
      <c r="YL53" s="188"/>
      <c r="YM53" s="188"/>
      <c r="YN53" s="188"/>
      <c r="YO53" s="188"/>
      <c r="YP53" s="188"/>
      <c r="YQ53" s="188"/>
      <c r="YR53" s="188"/>
      <c r="YS53" s="188"/>
      <c r="YT53" s="188"/>
      <c r="YU53" s="188"/>
      <c r="YV53" s="188"/>
      <c r="YW53" s="188"/>
      <c r="YX53" s="188"/>
      <c r="YY53" s="188"/>
      <c r="YZ53" s="188"/>
      <c r="ZA53" s="188"/>
      <c r="ZB53" s="188"/>
      <c r="ZC53" s="188"/>
      <c r="ZD53" s="188"/>
      <c r="ZE53" s="188"/>
      <c r="ZF53" s="188"/>
      <c r="ZG53" s="188"/>
      <c r="ZH53" s="188"/>
      <c r="ZI53" s="188"/>
      <c r="ZJ53" s="188"/>
      <c r="ZK53" s="188"/>
      <c r="ZL53" s="188"/>
      <c r="ZM53" s="188"/>
      <c r="ZN53" s="188"/>
      <c r="ZO53" s="188"/>
      <c r="ZP53" s="188"/>
      <c r="ZQ53" s="188"/>
      <c r="ZR53" s="188"/>
      <c r="ZS53" s="188"/>
      <c r="ZT53" s="188"/>
      <c r="ZU53" s="188"/>
      <c r="ZV53" s="188"/>
      <c r="ZW53" s="188"/>
      <c r="ZX53" s="188"/>
      <c r="ZY53" s="188"/>
      <c r="ZZ53" s="188"/>
      <c r="AAA53" s="188"/>
      <c r="AAB53" s="188"/>
      <c r="AAC53" s="188"/>
      <c r="AAD53" s="188"/>
      <c r="AAE53" s="188"/>
      <c r="AAF53" s="188"/>
      <c r="AAG53" s="188"/>
      <c r="AAH53" s="188"/>
      <c r="AAI53" s="188"/>
      <c r="AAJ53" s="188"/>
      <c r="AAK53" s="188"/>
      <c r="AAL53" s="188"/>
      <c r="AAM53" s="188"/>
      <c r="AAN53" s="188"/>
      <c r="AAO53" s="188"/>
      <c r="AAP53" s="188"/>
      <c r="AAQ53" s="188"/>
      <c r="AAR53" s="188"/>
      <c r="AAS53" s="188"/>
      <c r="AAT53" s="188"/>
      <c r="AAU53" s="188"/>
      <c r="AAV53" s="188"/>
      <c r="AAW53" s="188"/>
      <c r="AAX53" s="188"/>
      <c r="AAY53" s="188"/>
      <c r="AAZ53" s="188"/>
      <c r="ABA53" s="188"/>
      <c r="ABB53" s="188"/>
      <c r="ABC53" s="188"/>
      <c r="ABD53" s="188"/>
      <c r="ABE53" s="188"/>
      <c r="ABF53" s="188"/>
      <c r="ABG53" s="188"/>
      <c r="ABH53" s="188"/>
      <c r="ABI53" s="188"/>
      <c r="ABJ53" s="188"/>
      <c r="ABK53" s="188"/>
      <c r="ABL53" s="188"/>
      <c r="ABM53" s="188"/>
      <c r="ABN53" s="188"/>
      <c r="ABO53" s="188"/>
      <c r="ABP53" s="188"/>
      <c r="ABQ53" s="188"/>
      <c r="ABR53" s="188"/>
      <c r="ABS53" s="188"/>
      <c r="ABT53" s="188"/>
      <c r="ABU53" s="188"/>
      <c r="ABV53" s="188"/>
      <c r="ABW53" s="188"/>
      <c r="ABX53" s="188"/>
      <c r="ABY53" s="188"/>
      <c r="ABZ53" s="188"/>
      <c r="ACA53" s="188"/>
      <c r="ACB53" s="188"/>
      <c r="ACC53" s="188"/>
      <c r="ACD53" s="188"/>
      <c r="ACE53" s="188"/>
      <c r="ACF53" s="188"/>
      <c r="ACG53" s="188"/>
      <c r="ACH53" s="188"/>
      <c r="ACI53" s="188"/>
      <c r="ACJ53" s="188"/>
      <c r="ACK53" s="188"/>
      <c r="ACL53" s="188"/>
      <c r="ACM53" s="188"/>
      <c r="ACN53" s="188"/>
      <c r="ACO53" s="188"/>
      <c r="ACP53" s="188"/>
      <c r="ACQ53" s="188"/>
      <c r="ACR53" s="188"/>
      <c r="ACS53" s="188"/>
      <c r="ACT53" s="188"/>
      <c r="ACU53" s="188"/>
      <c r="ACV53" s="188"/>
      <c r="ACW53" s="188"/>
      <c r="ACX53" s="188"/>
      <c r="ACY53" s="188"/>
      <c r="ACZ53" s="188"/>
      <c r="ADA53" s="188"/>
      <c r="ADB53" s="188"/>
      <c r="ADC53" s="188"/>
      <c r="ADD53" s="188"/>
      <c r="ADE53" s="188"/>
      <c r="ADF53" s="188"/>
      <c r="ADG53" s="188"/>
      <c r="ADH53" s="188"/>
      <c r="ADI53" s="188"/>
      <c r="ADJ53" s="188"/>
      <c r="ADK53" s="188"/>
      <c r="ADL53" s="188"/>
      <c r="ADM53" s="188"/>
      <c r="ADN53" s="188"/>
      <c r="ADO53" s="188"/>
      <c r="ADP53" s="188"/>
      <c r="ADQ53" s="188"/>
      <c r="ADR53" s="188"/>
      <c r="ADS53" s="188"/>
      <c r="ADT53" s="188"/>
      <c r="ADU53" s="188"/>
      <c r="ADV53" s="188"/>
      <c r="ADW53" s="188"/>
      <c r="ADX53" s="188"/>
      <c r="ADY53" s="188"/>
      <c r="ADZ53" s="188"/>
      <c r="AEA53" s="188"/>
      <c r="AEB53" s="188"/>
      <c r="AEC53" s="188"/>
      <c r="AED53" s="188"/>
      <c r="AEE53" s="188"/>
      <c r="AEF53" s="188"/>
      <c r="AEG53" s="188"/>
      <c r="AEH53" s="188"/>
      <c r="AEI53" s="188"/>
      <c r="AEJ53" s="188"/>
      <c r="AEK53" s="188"/>
      <c r="AEL53" s="188"/>
      <c r="AEM53" s="188"/>
      <c r="AEN53" s="188"/>
      <c r="AEO53" s="188"/>
      <c r="AEP53" s="188"/>
      <c r="AEQ53" s="188"/>
      <c r="AER53" s="188"/>
      <c r="AES53" s="188"/>
      <c r="AET53" s="188"/>
      <c r="AEU53" s="188"/>
      <c r="AEV53" s="188"/>
      <c r="AEW53" s="188"/>
      <c r="AEX53" s="188"/>
      <c r="AEY53" s="188"/>
      <c r="AEZ53" s="188"/>
      <c r="AFA53" s="188"/>
      <c r="AFB53" s="188"/>
      <c r="AFC53" s="188"/>
      <c r="AFD53" s="188"/>
      <c r="AFE53" s="188"/>
      <c r="AFF53" s="188"/>
      <c r="AFG53" s="188"/>
      <c r="AFH53" s="188"/>
      <c r="AFI53" s="188"/>
      <c r="AFJ53" s="188"/>
      <c r="AFK53" s="188"/>
      <c r="AFL53" s="188"/>
      <c r="AFM53" s="188"/>
      <c r="AFN53" s="188"/>
      <c r="AFO53" s="188"/>
      <c r="AFP53" s="188"/>
      <c r="AFQ53" s="188"/>
      <c r="AFR53" s="188"/>
      <c r="AFS53" s="188"/>
      <c r="AFT53" s="188"/>
      <c r="AFU53" s="188"/>
      <c r="AFV53" s="188"/>
      <c r="AFW53" s="188"/>
      <c r="AFX53" s="188"/>
      <c r="AFY53" s="188"/>
      <c r="AFZ53" s="188"/>
      <c r="AGA53" s="188"/>
      <c r="AGB53" s="188"/>
      <c r="AGC53" s="188"/>
      <c r="AGD53" s="188"/>
      <c r="AGE53" s="188"/>
      <c r="AGF53" s="188"/>
      <c r="AGG53" s="188"/>
      <c r="AGH53" s="188"/>
      <c r="AGI53" s="188"/>
      <c r="AGJ53" s="188"/>
      <c r="AGK53" s="188"/>
      <c r="AGL53" s="188"/>
      <c r="AGM53" s="188"/>
      <c r="AGN53" s="188"/>
      <c r="AGO53" s="188"/>
      <c r="AGP53" s="188"/>
      <c r="AGQ53" s="188"/>
      <c r="AGR53" s="188"/>
      <c r="AGS53" s="188"/>
      <c r="AGT53" s="188"/>
      <c r="AGU53" s="188"/>
      <c r="AGV53" s="188"/>
      <c r="AGW53" s="188"/>
      <c r="AGX53" s="188"/>
      <c r="AGY53" s="188"/>
      <c r="AGZ53" s="188"/>
      <c r="AHA53" s="188"/>
      <c r="AHB53" s="188"/>
      <c r="AHC53" s="188"/>
      <c r="AHD53" s="188"/>
      <c r="AHE53" s="188"/>
      <c r="AHF53" s="188"/>
      <c r="AHG53" s="188"/>
      <c r="AHH53" s="188"/>
      <c r="AHI53" s="188"/>
      <c r="AHJ53" s="188"/>
      <c r="AHK53" s="188"/>
      <c r="AHL53" s="188"/>
      <c r="AHM53" s="188"/>
      <c r="AHN53" s="188"/>
      <c r="AHO53" s="188"/>
      <c r="AHP53" s="188"/>
      <c r="AHQ53" s="188"/>
      <c r="AHR53" s="188"/>
      <c r="AHS53" s="188"/>
      <c r="AHT53" s="188"/>
      <c r="AHU53" s="188"/>
      <c r="AHV53" s="188"/>
      <c r="AHW53" s="188"/>
      <c r="AHX53" s="188"/>
      <c r="AHY53" s="188"/>
      <c r="AHZ53" s="188"/>
      <c r="AIA53" s="188"/>
      <c r="AIB53" s="188"/>
      <c r="AIC53" s="188"/>
      <c r="AID53" s="188"/>
      <c r="AIE53" s="188"/>
      <c r="AIF53" s="188"/>
      <c r="AIG53" s="188"/>
      <c r="AIH53" s="188"/>
      <c r="AII53" s="188"/>
      <c r="AIJ53" s="188"/>
      <c r="AIK53" s="188"/>
      <c r="AIL53" s="188"/>
      <c r="AIM53" s="188"/>
      <c r="AIN53" s="188"/>
      <c r="AIO53" s="188"/>
      <c r="AIP53" s="188"/>
      <c r="AIQ53" s="188"/>
      <c r="AIR53" s="188"/>
      <c r="AIS53" s="188"/>
      <c r="AIT53" s="188"/>
      <c r="AIU53" s="188"/>
      <c r="AIV53" s="188"/>
      <c r="AIW53" s="188"/>
      <c r="AIX53" s="188"/>
      <c r="AIY53" s="188"/>
      <c r="AIZ53" s="188"/>
      <c r="AJA53" s="188"/>
      <c r="AJB53" s="188"/>
      <c r="AJC53" s="188"/>
      <c r="AJD53" s="188"/>
      <c r="AJE53" s="188"/>
      <c r="AJF53" s="188"/>
      <c r="AJG53" s="188"/>
      <c r="AJH53" s="188"/>
      <c r="AJI53" s="188"/>
      <c r="AJJ53" s="188"/>
      <c r="AJK53" s="188"/>
      <c r="AJL53" s="188"/>
      <c r="AJM53" s="188"/>
      <c r="AJN53" s="188"/>
      <c r="AJO53" s="188"/>
      <c r="AJP53" s="188"/>
      <c r="AJQ53" s="188"/>
      <c r="AJR53" s="188"/>
      <c r="AJS53" s="188"/>
      <c r="AJT53" s="188"/>
      <c r="AJU53" s="188"/>
      <c r="AJV53" s="188"/>
      <c r="AJW53" s="188"/>
      <c r="AJX53" s="188"/>
      <c r="AJY53" s="188"/>
      <c r="AJZ53" s="188"/>
      <c r="AKA53" s="188"/>
      <c r="AKB53" s="188"/>
      <c r="AKC53" s="188"/>
      <c r="AKD53" s="188"/>
      <c r="AKE53" s="188"/>
      <c r="AKF53" s="188"/>
      <c r="AKG53" s="188"/>
      <c r="AKH53" s="188"/>
      <c r="AKI53" s="188"/>
      <c r="AKJ53" s="188"/>
      <c r="AKK53" s="188"/>
      <c r="AKL53" s="188"/>
      <c r="AKM53" s="188"/>
      <c r="AKN53" s="188"/>
      <c r="AKO53" s="188"/>
      <c r="AKP53" s="188"/>
      <c r="AKQ53" s="188"/>
      <c r="AKR53" s="188"/>
      <c r="AKS53" s="188"/>
      <c r="AKT53" s="188"/>
      <c r="AKU53" s="188"/>
      <c r="AKV53" s="188"/>
      <c r="AKW53" s="188"/>
      <c r="AKX53" s="188"/>
      <c r="AKY53" s="188"/>
      <c r="AKZ53" s="188"/>
      <c r="ALA53" s="188"/>
      <c r="ALB53" s="188"/>
      <c r="ALC53" s="188"/>
      <c r="ALD53" s="188"/>
      <c r="ALE53" s="188"/>
      <c r="ALF53" s="188"/>
      <c r="ALG53" s="188"/>
      <c r="ALH53" s="188"/>
      <c r="ALI53" s="188"/>
      <c r="ALJ53" s="188"/>
      <c r="ALK53" s="188"/>
      <c r="ALL53" s="188"/>
      <c r="ALM53" s="188"/>
      <c r="ALN53" s="188"/>
      <c r="ALO53" s="188"/>
      <c r="ALP53" s="188"/>
      <c r="ALQ53" s="188"/>
      <c r="ALR53" s="188"/>
      <c r="ALS53" s="188"/>
      <c r="ALT53" s="188"/>
      <c r="ALU53" s="188"/>
      <c r="ALV53" s="188"/>
      <c r="ALW53" s="188"/>
      <c r="ALX53" s="188"/>
      <c r="ALY53" s="188"/>
      <c r="ALZ53" s="188"/>
      <c r="AMA53" s="188"/>
      <c r="AMB53" s="188"/>
      <c r="AMC53" s="188"/>
      <c r="AMD53" s="188"/>
      <c r="AME53" s="188"/>
      <c r="AMF53" s="188"/>
      <c r="AMG53" s="188"/>
      <c r="AMH53" s="188"/>
      <c r="AMI53" s="188"/>
      <c r="AMJ53" s="188"/>
      <c r="AMK53" s="188"/>
      <c r="AML53" s="188"/>
      <c r="AMM53" s="188"/>
      <c r="AMN53" s="188"/>
      <c r="AMO53" s="188"/>
      <c r="AMP53" s="188"/>
      <c r="AMQ53" s="188"/>
      <c r="AMR53" s="188"/>
      <c r="AMS53" s="188"/>
      <c r="AMT53" s="188"/>
      <c r="AMU53" s="188"/>
      <c r="AMV53" s="188"/>
      <c r="AMW53" s="188"/>
      <c r="AMX53" s="188"/>
      <c r="AMY53" s="188"/>
      <c r="AMZ53" s="188"/>
      <c r="ANA53" s="188"/>
      <c r="ANB53" s="188"/>
      <c r="ANC53" s="188"/>
      <c r="AND53" s="188"/>
      <c r="ANE53" s="188"/>
      <c r="ANF53" s="188"/>
      <c r="ANG53" s="188"/>
      <c r="ANH53" s="188"/>
      <c r="ANI53" s="188"/>
      <c r="ANJ53" s="188"/>
      <c r="ANK53" s="188"/>
      <c r="ANL53" s="188"/>
      <c r="ANM53" s="188"/>
      <c r="ANN53" s="188"/>
      <c r="ANO53" s="188"/>
      <c r="ANP53" s="188"/>
      <c r="ANQ53" s="188"/>
      <c r="ANR53" s="188"/>
      <c r="ANS53" s="188"/>
      <c r="ANT53" s="188"/>
      <c r="ANU53" s="188"/>
      <c r="ANV53" s="188"/>
      <c r="ANW53" s="188"/>
      <c r="ANX53" s="188"/>
      <c r="ANY53" s="188"/>
      <c r="ANZ53" s="188"/>
      <c r="AOA53" s="188"/>
      <c r="AOB53" s="188"/>
      <c r="AOC53" s="188"/>
      <c r="AOD53" s="188"/>
      <c r="AOE53" s="188"/>
      <c r="AOF53" s="188"/>
      <c r="AOG53" s="188"/>
      <c r="AOH53" s="188"/>
      <c r="AOI53" s="188"/>
      <c r="AOJ53" s="188"/>
      <c r="AOK53" s="188"/>
      <c r="AOL53" s="188"/>
      <c r="AOM53" s="188"/>
      <c r="AON53" s="188"/>
      <c r="AOO53" s="188"/>
      <c r="AOP53" s="188"/>
      <c r="AOQ53" s="188"/>
      <c r="AOR53" s="188"/>
      <c r="AOS53" s="188"/>
      <c r="AOT53" s="188"/>
      <c r="AOU53" s="188"/>
      <c r="AOV53" s="188"/>
      <c r="AOW53" s="188"/>
      <c r="AOX53" s="188"/>
      <c r="AOY53" s="188"/>
      <c r="AOZ53" s="188"/>
      <c r="APA53" s="188"/>
      <c r="APB53" s="188"/>
      <c r="APC53" s="188"/>
      <c r="APD53" s="188"/>
      <c r="APE53" s="188"/>
      <c r="APF53" s="188"/>
      <c r="APG53" s="188"/>
      <c r="APH53" s="188"/>
      <c r="API53" s="188"/>
      <c r="APJ53" s="188"/>
      <c r="APK53" s="188"/>
      <c r="APL53" s="188"/>
      <c r="APM53" s="188"/>
      <c r="APN53" s="188"/>
      <c r="APO53" s="188"/>
      <c r="APP53" s="188"/>
      <c r="APQ53" s="188"/>
      <c r="APR53" s="188"/>
      <c r="APS53" s="188"/>
      <c r="APT53" s="188"/>
      <c r="APU53" s="188"/>
      <c r="APV53" s="188"/>
      <c r="APW53" s="188"/>
      <c r="APX53" s="188"/>
      <c r="APY53" s="188"/>
      <c r="APZ53" s="188"/>
      <c r="AQA53" s="188"/>
      <c r="AQB53" s="188"/>
      <c r="AQC53" s="188"/>
      <c r="AQD53" s="188"/>
      <c r="AQE53" s="188"/>
      <c r="AQF53" s="188"/>
      <c r="AQG53" s="188"/>
      <c r="AQH53" s="188"/>
      <c r="AQI53" s="188"/>
      <c r="AQJ53" s="188"/>
      <c r="AQK53" s="188"/>
      <c r="AQL53" s="188"/>
      <c r="AQM53" s="188"/>
      <c r="AQN53" s="188"/>
      <c r="AQO53" s="188"/>
      <c r="AQP53" s="188"/>
      <c r="AQQ53" s="188"/>
      <c r="AQR53" s="188"/>
      <c r="AQS53" s="188"/>
      <c r="AQT53" s="188"/>
      <c r="AQU53" s="188"/>
      <c r="AQV53" s="188"/>
      <c r="AQW53" s="188"/>
      <c r="AQX53" s="188"/>
      <c r="AQY53" s="188"/>
      <c r="AQZ53" s="188"/>
      <c r="ARA53" s="188"/>
      <c r="ARB53" s="188"/>
      <c r="ARC53" s="188"/>
      <c r="ARD53" s="188"/>
      <c r="ARE53" s="188"/>
      <c r="ARF53" s="188"/>
      <c r="ARG53" s="188"/>
      <c r="ARH53" s="188"/>
      <c r="ARI53" s="188"/>
      <c r="ARJ53" s="188"/>
      <c r="ARK53" s="188"/>
      <c r="ARL53" s="188"/>
      <c r="ARM53" s="188"/>
      <c r="ARN53" s="188"/>
      <c r="ARO53" s="188"/>
      <c r="ARP53" s="188"/>
      <c r="ARQ53" s="188"/>
      <c r="ARR53" s="188"/>
      <c r="ARS53" s="188"/>
      <c r="ART53" s="188"/>
      <c r="ARU53" s="188"/>
      <c r="ARV53" s="188"/>
      <c r="ARW53" s="188"/>
      <c r="ARX53" s="188"/>
      <c r="ARY53" s="188"/>
      <c r="ARZ53" s="188"/>
      <c r="ASA53" s="188"/>
      <c r="ASB53" s="188"/>
      <c r="ASC53" s="188"/>
      <c r="ASD53" s="188"/>
      <c r="ASE53" s="188"/>
      <c r="ASF53" s="188"/>
      <c r="ASG53" s="188"/>
      <c r="ASH53" s="188"/>
      <c r="ASI53" s="188"/>
      <c r="ASJ53" s="188"/>
      <c r="ASK53" s="188"/>
      <c r="ASL53" s="188"/>
      <c r="ASM53" s="188"/>
      <c r="ASN53" s="188"/>
      <c r="ASO53" s="188"/>
      <c r="ASP53" s="188"/>
      <c r="ASQ53" s="188"/>
      <c r="ASR53" s="188"/>
      <c r="ASS53" s="188"/>
      <c r="AST53" s="188"/>
      <c r="ASU53" s="188"/>
      <c r="ASV53" s="188"/>
      <c r="ASW53" s="188"/>
      <c r="ASX53" s="188"/>
      <c r="ASY53" s="188"/>
      <c r="ASZ53" s="188"/>
      <c r="ATA53" s="188"/>
      <c r="ATB53" s="188"/>
      <c r="ATC53" s="188"/>
      <c r="ATD53" s="188"/>
      <c r="ATE53" s="188"/>
      <c r="ATF53" s="188"/>
      <c r="ATG53" s="188"/>
      <c r="ATH53" s="188"/>
      <c r="ATI53" s="188"/>
      <c r="ATJ53" s="188"/>
      <c r="ATK53" s="188"/>
      <c r="ATL53" s="188"/>
      <c r="ATM53" s="188"/>
      <c r="ATN53" s="188"/>
      <c r="ATO53" s="188"/>
      <c r="ATP53" s="188"/>
      <c r="ATQ53" s="188"/>
      <c r="ATR53" s="188"/>
      <c r="ATS53" s="188"/>
      <c r="ATT53" s="188"/>
      <c r="ATU53" s="188"/>
      <c r="ATV53" s="188"/>
      <c r="ATW53" s="188"/>
      <c r="ATX53" s="188"/>
      <c r="ATY53" s="188"/>
      <c r="ATZ53" s="188"/>
      <c r="AUA53" s="188"/>
      <c r="AUB53" s="188"/>
      <c r="AUC53" s="188"/>
      <c r="AUD53" s="188"/>
      <c r="AUE53" s="188"/>
      <c r="AUF53" s="188"/>
      <c r="AUG53" s="188"/>
      <c r="AUH53" s="188"/>
      <c r="AUI53" s="188"/>
      <c r="AUJ53" s="188"/>
      <c r="AUK53" s="188"/>
      <c r="AUL53" s="188"/>
      <c r="AUM53" s="188"/>
      <c r="AUN53" s="188"/>
      <c r="AUO53" s="188"/>
      <c r="AUP53" s="188"/>
      <c r="AUQ53" s="188"/>
      <c r="AUR53" s="188"/>
      <c r="AUS53" s="188"/>
      <c r="AUT53" s="188"/>
      <c r="AUU53" s="188"/>
      <c r="AUV53" s="188"/>
      <c r="AUW53" s="188"/>
      <c r="AUX53" s="188"/>
      <c r="AUY53" s="188"/>
      <c r="AUZ53" s="188"/>
      <c r="AVA53" s="188"/>
      <c r="AVB53" s="188"/>
      <c r="AVC53" s="188"/>
      <c r="AVD53" s="188"/>
      <c r="AVE53" s="188"/>
      <c r="AVF53" s="188"/>
      <c r="AVG53" s="188"/>
      <c r="AVH53" s="188"/>
      <c r="AVI53" s="188"/>
      <c r="AVJ53" s="188"/>
      <c r="AVK53" s="188"/>
      <c r="AVL53" s="188"/>
      <c r="AVM53" s="188"/>
      <c r="AVN53" s="188"/>
      <c r="AVO53" s="188"/>
      <c r="AVP53" s="188"/>
      <c r="AVQ53" s="188"/>
      <c r="AVR53" s="188"/>
      <c r="AVS53" s="188"/>
      <c r="AVT53" s="188"/>
      <c r="AVU53" s="188"/>
      <c r="AVV53" s="188"/>
      <c r="AVW53" s="188"/>
      <c r="AVX53" s="188"/>
      <c r="AVY53" s="188"/>
      <c r="AVZ53" s="188"/>
      <c r="AWA53" s="188"/>
      <c r="AWB53" s="188"/>
      <c r="AWC53" s="188"/>
      <c r="AWD53" s="188"/>
      <c r="AWE53" s="188"/>
      <c r="AWF53" s="188"/>
      <c r="AWG53" s="188"/>
      <c r="AWH53" s="188"/>
      <c r="AWI53" s="188"/>
      <c r="AWJ53" s="188"/>
      <c r="AWK53" s="188"/>
      <c r="AWL53" s="188"/>
      <c r="AWM53" s="188"/>
      <c r="AWN53" s="188"/>
      <c r="AWO53" s="188"/>
      <c r="AWP53" s="188"/>
      <c r="AWQ53" s="188"/>
      <c r="AWR53" s="188"/>
      <c r="AWS53" s="188"/>
      <c r="AWT53" s="188"/>
      <c r="AWU53" s="188"/>
      <c r="AWV53" s="188"/>
      <c r="AWW53" s="188"/>
      <c r="AWX53" s="188"/>
      <c r="AWY53" s="188"/>
      <c r="AWZ53" s="188"/>
      <c r="AXA53" s="188"/>
      <c r="AXB53" s="188"/>
      <c r="AXC53" s="188"/>
      <c r="AXD53" s="188"/>
      <c r="AXE53" s="188"/>
      <c r="AXF53" s="188"/>
      <c r="AXG53" s="188"/>
      <c r="AXH53" s="188"/>
      <c r="AXI53" s="188"/>
      <c r="AXJ53" s="188"/>
      <c r="AXK53" s="188"/>
      <c r="AXL53" s="188"/>
      <c r="AXM53" s="188"/>
      <c r="AXN53" s="188"/>
      <c r="AXO53" s="188"/>
      <c r="AXP53" s="188"/>
      <c r="AXQ53" s="188"/>
      <c r="AXR53" s="188"/>
      <c r="AXS53" s="188"/>
      <c r="AXT53" s="188"/>
      <c r="AXU53" s="188"/>
      <c r="AXV53" s="188"/>
      <c r="AXW53" s="188"/>
      <c r="AXX53" s="188"/>
      <c r="AXY53" s="188"/>
      <c r="AXZ53" s="188"/>
      <c r="AYA53" s="188"/>
      <c r="AYB53" s="188"/>
      <c r="AYC53" s="188"/>
      <c r="AYD53" s="188"/>
      <c r="AYE53" s="188"/>
      <c r="AYF53" s="188"/>
      <c r="AYG53" s="188"/>
      <c r="AYH53" s="188"/>
      <c r="AYI53" s="188"/>
      <c r="AYJ53" s="188"/>
      <c r="AYK53" s="188"/>
      <c r="AYL53" s="188"/>
      <c r="AYM53" s="188"/>
      <c r="AYN53" s="188"/>
      <c r="AYO53" s="188"/>
      <c r="AYP53" s="188"/>
      <c r="AYQ53" s="188"/>
      <c r="AYR53" s="188"/>
      <c r="AYS53" s="188"/>
      <c r="AYT53" s="188"/>
      <c r="AYU53" s="188"/>
      <c r="AYV53" s="188"/>
      <c r="AYW53" s="188"/>
      <c r="AYX53" s="188"/>
      <c r="AYY53" s="188"/>
      <c r="AYZ53" s="188"/>
      <c r="AZA53" s="188"/>
      <c r="AZB53" s="188"/>
      <c r="AZC53" s="188"/>
      <c r="AZD53" s="188"/>
      <c r="AZE53" s="188"/>
      <c r="AZF53" s="188"/>
      <c r="AZG53" s="188"/>
      <c r="AZH53" s="188"/>
      <c r="AZI53" s="188"/>
      <c r="AZJ53" s="188"/>
      <c r="AZK53" s="188"/>
      <c r="AZL53" s="188"/>
      <c r="AZM53" s="188"/>
      <c r="AZN53" s="188"/>
      <c r="AZO53" s="188"/>
      <c r="AZP53" s="188"/>
      <c r="AZQ53" s="188"/>
      <c r="AZR53" s="188"/>
      <c r="AZS53" s="188"/>
      <c r="AZT53" s="188"/>
      <c r="AZU53" s="188"/>
      <c r="AZV53" s="188"/>
      <c r="AZW53" s="188"/>
      <c r="AZX53" s="188"/>
      <c r="AZY53" s="188"/>
      <c r="AZZ53" s="188"/>
      <c r="BAA53" s="188"/>
      <c r="BAB53" s="188"/>
      <c r="BAC53" s="188"/>
      <c r="BAD53" s="188"/>
      <c r="BAE53" s="188"/>
      <c r="BAF53" s="188"/>
      <c r="BAG53" s="188"/>
      <c r="BAH53" s="188"/>
      <c r="BAI53" s="188"/>
      <c r="BAJ53" s="188"/>
      <c r="BAK53" s="188"/>
      <c r="BAL53" s="188"/>
      <c r="BAM53" s="188"/>
      <c r="BAN53" s="188"/>
      <c r="BAO53" s="188"/>
      <c r="BAP53" s="188"/>
      <c r="BAQ53" s="188"/>
      <c r="BAR53" s="188"/>
      <c r="BAS53" s="188"/>
      <c r="BAT53" s="188"/>
      <c r="BAU53" s="188"/>
      <c r="BAV53" s="188"/>
      <c r="BAW53" s="188"/>
      <c r="BAX53" s="188"/>
      <c r="BAY53" s="188"/>
      <c r="BAZ53" s="188"/>
      <c r="BBA53" s="188"/>
      <c r="BBB53" s="188"/>
      <c r="BBC53" s="188"/>
      <c r="BBD53" s="188"/>
      <c r="BBE53" s="188"/>
      <c r="BBF53" s="188"/>
      <c r="BBG53" s="188"/>
      <c r="BBH53" s="188"/>
      <c r="BBI53" s="188"/>
      <c r="BBJ53" s="188"/>
      <c r="BBK53" s="188"/>
      <c r="BBL53" s="188"/>
      <c r="BBM53" s="188"/>
      <c r="BBN53" s="188"/>
      <c r="BBO53" s="188"/>
      <c r="BBP53" s="188"/>
      <c r="BBQ53" s="188"/>
      <c r="BBR53" s="188"/>
      <c r="BBS53" s="188"/>
      <c r="BBT53" s="188"/>
      <c r="BBU53" s="188"/>
      <c r="BBV53" s="188"/>
      <c r="BBW53" s="188"/>
      <c r="BBX53" s="188"/>
      <c r="BBY53" s="188"/>
      <c r="BBZ53" s="188"/>
      <c r="BCA53" s="188"/>
      <c r="BCB53" s="188"/>
      <c r="BCC53" s="188"/>
      <c r="BCD53" s="188"/>
      <c r="BCE53" s="188"/>
      <c r="BCF53" s="188"/>
      <c r="BCG53" s="188"/>
      <c r="BCH53" s="188"/>
      <c r="BCI53" s="188"/>
      <c r="BCJ53" s="188"/>
      <c r="BCK53" s="188"/>
      <c r="BCL53" s="188"/>
      <c r="BCM53" s="188"/>
      <c r="BCN53" s="188"/>
      <c r="BCO53" s="188"/>
      <c r="BCP53" s="188"/>
      <c r="BCQ53" s="188"/>
      <c r="BCR53" s="188"/>
      <c r="BCS53" s="188"/>
      <c r="BCT53" s="188"/>
      <c r="BCU53" s="188"/>
      <c r="BCV53" s="188"/>
      <c r="BCW53" s="188"/>
      <c r="BCX53" s="188"/>
      <c r="BCY53" s="188"/>
      <c r="BCZ53" s="188"/>
      <c r="BDA53" s="188"/>
      <c r="BDB53" s="188"/>
      <c r="BDC53" s="188"/>
      <c r="BDD53" s="188"/>
      <c r="BDE53" s="188"/>
      <c r="BDF53" s="188"/>
      <c r="BDG53" s="188"/>
      <c r="BDH53" s="188"/>
      <c r="BDI53" s="188"/>
      <c r="BDJ53" s="188"/>
      <c r="BDK53" s="188"/>
      <c r="BDL53" s="188"/>
      <c r="BDM53" s="188"/>
      <c r="BDN53" s="188"/>
      <c r="BDO53" s="188"/>
      <c r="BDP53" s="188"/>
      <c r="BDQ53" s="188"/>
      <c r="BDR53" s="188"/>
      <c r="BDS53" s="188"/>
      <c r="BDT53" s="188"/>
      <c r="BDU53" s="188"/>
      <c r="BDV53" s="188"/>
      <c r="BDW53" s="188"/>
      <c r="BDX53" s="188"/>
      <c r="BDY53" s="188"/>
      <c r="BDZ53" s="188"/>
      <c r="BEA53" s="188"/>
      <c r="BEB53" s="188"/>
      <c r="BEC53" s="188"/>
      <c r="BED53" s="188"/>
      <c r="BEE53" s="188"/>
      <c r="BEF53" s="188"/>
      <c r="BEG53" s="188"/>
      <c r="BEH53" s="188"/>
      <c r="BEI53" s="188"/>
      <c r="BEJ53" s="188"/>
      <c r="BEK53" s="188"/>
      <c r="BEL53" s="188"/>
      <c r="BEM53" s="188"/>
      <c r="BEN53" s="188"/>
      <c r="BEO53" s="188"/>
      <c r="BEP53" s="188"/>
      <c r="BEQ53" s="188"/>
      <c r="BER53" s="188"/>
      <c r="BES53" s="188"/>
      <c r="BET53" s="188"/>
      <c r="BEU53" s="188"/>
      <c r="BEV53" s="188"/>
      <c r="BEW53" s="188"/>
      <c r="BEX53" s="188"/>
      <c r="BEY53" s="188"/>
      <c r="BEZ53" s="188"/>
      <c r="BFA53" s="188"/>
      <c r="BFB53" s="188"/>
      <c r="BFC53" s="188"/>
      <c r="BFD53" s="188"/>
      <c r="BFE53" s="188"/>
      <c r="BFF53" s="188"/>
      <c r="BFG53" s="188"/>
      <c r="BFH53" s="188"/>
      <c r="BFI53" s="188"/>
      <c r="BFJ53" s="188"/>
      <c r="BFK53" s="188"/>
      <c r="BFL53" s="188"/>
      <c r="BFM53" s="188"/>
      <c r="BFN53" s="188"/>
      <c r="BFO53" s="188"/>
      <c r="BFP53" s="188"/>
      <c r="BFQ53" s="188"/>
      <c r="BFR53" s="188"/>
      <c r="BFS53" s="188"/>
      <c r="BFT53" s="188"/>
      <c r="BFU53" s="188"/>
      <c r="BFV53" s="188"/>
      <c r="BFW53" s="188"/>
      <c r="BFX53" s="188"/>
      <c r="BFY53" s="188"/>
      <c r="BFZ53" s="188"/>
      <c r="BGA53" s="188"/>
      <c r="BGB53" s="188"/>
      <c r="BGC53" s="188"/>
      <c r="BGD53" s="188"/>
      <c r="BGE53" s="188"/>
      <c r="BGF53" s="188"/>
      <c r="BGG53" s="188"/>
      <c r="BGH53" s="188"/>
      <c r="BGI53" s="188"/>
      <c r="BGJ53" s="188"/>
      <c r="BGK53" s="188"/>
      <c r="BGL53" s="188"/>
      <c r="BGM53" s="188"/>
      <c r="BGN53" s="188"/>
      <c r="BGO53" s="188"/>
      <c r="BGP53" s="188"/>
      <c r="BGQ53" s="188"/>
      <c r="BGR53" s="188"/>
      <c r="BGS53" s="188"/>
      <c r="BGT53" s="188"/>
      <c r="BGU53" s="188"/>
      <c r="BGV53" s="188"/>
      <c r="BGW53" s="188"/>
      <c r="BGX53" s="188"/>
      <c r="BGY53" s="188"/>
      <c r="BGZ53" s="188"/>
      <c r="BHA53" s="188"/>
      <c r="BHB53" s="188"/>
      <c r="BHC53" s="188"/>
      <c r="BHD53" s="188"/>
      <c r="BHE53" s="188"/>
      <c r="BHF53" s="188"/>
      <c r="BHG53" s="188"/>
      <c r="BHH53" s="188"/>
      <c r="BHI53" s="188"/>
      <c r="BHJ53" s="188"/>
      <c r="BHK53" s="188"/>
      <c r="BHL53" s="188"/>
      <c r="BHM53" s="188"/>
      <c r="BHN53" s="188"/>
      <c r="BHO53" s="188"/>
      <c r="BHP53" s="188"/>
      <c r="BHQ53" s="188"/>
      <c r="BHR53" s="188"/>
      <c r="BHS53" s="188"/>
      <c r="BHT53" s="188"/>
      <c r="BHU53" s="188"/>
      <c r="BHV53" s="188"/>
      <c r="BHW53" s="188"/>
      <c r="BHX53" s="188"/>
      <c r="BHY53" s="188"/>
      <c r="BHZ53" s="188"/>
      <c r="BIA53" s="188"/>
      <c r="BIB53" s="188"/>
      <c r="BIC53" s="188"/>
      <c r="BID53" s="188"/>
      <c r="BIE53" s="188"/>
      <c r="BIF53" s="188"/>
      <c r="BIG53" s="188"/>
      <c r="BIH53" s="188"/>
      <c r="BII53" s="188"/>
      <c r="BIJ53" s="188"/>
      <c r="BIK53" s="188"/>
      <c r="BIL53" s="188"/>
      <c r="BIM53" s="188"/>
      <c r="BIN53" s="188"/>
      <c r="BIO53" s="188"/>
      <c r="BIP53" s="188"/>
      <c r="BIQ53" s="188"/>
      <c r="BIR53" s="188"/>
      <c r="BIS53" s="188"/>
      <c r="BIT53" s="188"/>
      <c r="BIU53" s="188"/>
      <c r="BIV53" s="188"/>
      <c r="BIW53" s="188"/>
      <c r="BIX53" s="188"/>
      <c r="BIY53" s="188"/>
      <c r="BIZ53" s="188"/>
      <c r="BJA53" s="188"/>
      <c r="BJB53" s="188"/>
      <c r="BJC53" s="188"/>
      <c r="BJD53" s="188"/>
      <c r="BJE53" s="188"/>
      <c r="BJF53" s="188"/>
      <c r="BJG53" s="188"/>
      <c r="BJH53" s="188"/>
      <c r="BJI53" s="188"/>
      <c r="BJJ53" s="188"/>
      <c r="BJK53" s="188"/>
      <c r="BJL53" s="188"/>
      <c r="BJM53" s="188"/>
      <c r="BJN53" s="188"/>
      <c r="BJO53" s="188"/>
      <c r="BJP53" s="188"/>
      <c r="BJQ53" s="188"/>
      <c r="BJR53" s="188"/>
      <c r="BJS53" s="188"/>
      <c r="BJT53" s="188"/>
      <c r="BJU53" s="188"/>
      <c r="BJV53" s="188"/>
      <c r="BJW53" s="188"/>
      <c r="BJX53" s="188"/>
      <c r="BJY53" s="188"/>
      <c r="BJZ53" s="188"/>
      <c r="BKA53" s="188"/>
      <c r="BKB53" s="188"/>
      <c r="BKC53" s="188"/>
      <c r="BKD53" s="188"/>
      <c r="BKE53" s="188"/>
      <c r="BKF53" s="188"/>
      <c r="BKG53" s="188"/>
      <c r="BKH53" s="188"/>
      <c r="BKI53" s="188"/>
      <c r="BKJ53" s="188"/>
      <c r="BKK53" s="188"/>
      <c r="BKL53" s="188"/>
      <c r="BKM53" s="188"/>
      <c r="BKN53" s="188"/>
    </row>
    <row r="54" spans="1:1652" s="21" customFormat="1" x14ac:dyDescent="0.3">
      <c r="A54" s="171"/>
      <c r="B54" s="189"/>
      <c r="C54" s="189"/>
      <c r="D54" s="189"/>
      <c r="E54" s="189"/>
      <c r="F54" s="189"/>
      <c r="G54" s="189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188"/>
      <c r="AE54" s="188"/>
      <c r="AF54" s="188"/>
      <c r="AG54" s="188"/>
      <c r="AH54" s="188"/>
      <c r="AI54" s="188"/>
      <c r="AJ54" s="188"/>
      <c r="AK54" s="188"/>
      <c r="AL54" s="188"/>
      <c r="AM54" s="188"/>
      <c r="AN54" s="188"/>
      <c r="AO54" s="188"/>
      <c r="AP54" s="188"/>
      <c r="AQ54" s="188"/>
      <c r="AR54" s="188"/>
      <c r="AS54" s="188"/>
      <c r="AT54" s="189"/>
      <c r="AU54" s="189"/>
      <c r="AV54" s="189"/>
      <c r="AW54" s="189"/>
      <c r="AX54" s="189"/>
      <c r="AY54" s="189"/>
      <c r="AZ54" s="189"/>
      <c r="BA54" s="189"/>
      <c r="BB54" s="189"/>
      <c r="BC54" s="189"/>
      <c r="BD54" s="189"/>
      <c r="BE54" s="188"/>
      <c r="BF54" s="188"/>
      <c r="BG54" s="188"/>
      <c r="BH54" s="188"/>
      <c r="BI54" s="188"/>
      <c r="BJ54" s="188"/>
      <c r="BK54" s="188"/>
      <c r="BL54" s="188"/>
      <c r="BM54" s="188"/>
      <c r="BN54" s="188"/>
      <c r="BO54" s="188"/>
      <c r="BP54" s="188"/>
      <c r="BQ54" s="188"/>
      <c r="BR54" s="188"/>
      <c r="BS54" s="188"/>
      <c r="BT54" s="188"/>
      <c r="BU54" s="188"/>
      <c r="BV54" s="188"/>
      <c r="BW54" s="188"/>
      <c r="BX54" s="188"/>
      <c r="BY54" s="188"/>
      <c r="BZ54" s="188"/>
      <c r="CA54" s="188"/>
      <c r="CB54" s="188"/>
      <c r="CC54" s="188"/>
      <c r="CD54" s="188"/>
      <c r="CE54" s="188"/>
      <c r="CF54" s="188"/>
      <c r="CG54" s="188"/>
      <c r="CH54" s="188"/>
      <c r="CI54" s="188"/>
      <c r="CJ54" s="188"/>
      <c r="CK54" s="188"/>
      <c r="CL54" s="188"/>
      <c r="CM54" s="188"/>
      <c r="CN54" s="188"/>
      <c r="CO54" s="188"/>
      <c r="CP54" s="188"/>
      <c r="CQ54" s="188"/>
      <c r="CR54" s="188"/>
      <c r="CS54" s="188"/>
      <c r="CT54" s="188"/>
      <c r="CU54" s="188"/>
      <c r="CV54" s="188"/>
      <c r="CW54" s="188"/>
      <c r="CX54" s="188"/>
      <c r="CY54" s="188"/>
      <c r="CZ54" s="188"/>
      <c r="DA54" s="188"/>
      <c r="DB54" s="188"/>
      <c r="DC54" s="188"/>
      <c r="DD54" s="188"/>
      <c r="DE54" s="188"/>
      <c r="DF54" s="188"/>
      <c r="DG54" s="188"/>
      <c r="DH54" s="188"/>
      <c r="DI54" s="188"/>
      <c r="DJ54" s="188"/>
      <c r="DK54" s="188"/>
      <c r="DL54" s="188"/>
      <c r="DM54" s="188"/>
      <c r="DN54" s="188"/>
      <c r="DO54" s="188"/>
      <c r="DP54" s="188"/>
      <c r="DQ54" s="188"/>
      <c r="DR54" s="188"/>
      <c r="DS54" s="188"/>
      <c r="DT54" s="188"/>
      <c r="DU54" s="188"/>
      <c r="DV54" s="188"/>
      <c r="DW54" s="188"/>
      <c r="DX54" s="188"/>
      <c r="DY54" s="188"/>
      <c r="DZ54" s="188"/>
      <c r="EA54" s="188"/>
      <c r="EB54" s="188"/>
      <c r="EC54" s="188"/>
      <c r="ED54" s="188"/>
      <c r="EE54" s="188"/>
      <c r="EF54" s="188"/>
      <c r="EG54" s="188"/>
      <c r="EH54" s="188"/>
      <c r="EI54" s="188"/>
      <c r="EJ54" s="188"/>
      <c r="EK54" s="188"/>
      <c r="EL54" s="188"/>
      <c r="EM54" s="188"/>
      <c r="EN54" s="188"/>
      <c r="EO54" s="188"/>
      <c r="EP54" s="188"/>
      <c r="EQ54" s="188"/>
      <c r="ER54" s="188"/>
      <c r="ES54" s="188"/>
      <c r="ET54" s="188"/>
      <c r="EU54" s="188"/>
      <c r="EV54" s="188"/>
      <c r="EW54" s="188"/>
      <c r="EX54" s="188"/>
      <c r="EY54" s="188"/>
      <c r="EZ54" s="188"/>
      <c r="FA54" s="188"/>
      <c r="FB54" s="188"/>
      <c r="FC54" s="188"/>
      <c r="FD54" s="188"/>
      <c r="FE54" s="188"/>
      <c r="FF54" s="188"/>
      <c r="FG54" s="188"/>
      <c r="FH54" s="188"/>
      <c r="FI54" s="188"/>
      <c r="FJ54" s="188"/>
      <c r="FK54" s="188"/>
      <c r="FL54" s="188"/>
      <c r="FM54" s="188"/>
      <c r="FN54" s="188"/>
      <c r="FO54" s="188"/>
      <c r="FP54" s="188"/>
      <c r="FQ54" s="188"/>
      <c r="FR54" s="188"/>
      <c r="FS54" s="188"/>
      <c r="FT54" s="188"/>
      <c r="FU54" s="188"/>
      <c r="FV54" s="188"/>
      <c r="FW54" s="188"/>
      <c r="FX54" s="188"/>
      <c r="FY54" s="188"/>
      <c r="FZ54" s="188"/>
      <c r="GA54" s="188"/>
      <c r="GB54" s="188"/>
      <c r="GC54" s="188"/>
      <c r="GD54" s="188"/>
      <c r="GE54" s="188"/>
      <c r="GF54" s="188"/>
      <c r="GG54" s="188"/>
      <c r="GH54" s="188"/>
      <c r="GI54" s="188"/>
      <c r="GJ54" s="188"/>
      <c r="GK54" s="188"/>
      <c r="GL54" s="188"/>
      <c r="GM54" s="188"/>
      <c r="GN54" s="188"/>
      <c r="GO54" s="188"/>
      <c r="GP54" s="188"/>
      <c r="GQ54" s="188"/>
      <c r="GR54" s="188"/>
      <c r="GS54" s="188"/>
      <c r="GT54" s="188"/>
      <c r="GU54" s="188"/>
      <c r="GV54" s="188"/>
      <c r="GW54" s="188"/>
      <c r="GX54" s="188"/>
      <c r="GY54" s="188"/>
      <c r="GZ54" s="188"/>
      <c r="HA54" s="188"/>
      <c r="HB54" s="188"/>
      <c r="HC54" s="188"/>
      <c r="HD54" s="188"/>
      <c r="HE54" s="188"/>
      <c r="HF54" s="188"/>
      <c r="HG54" s="188"/>
      <c r="HH54" s="188"/>
      <c r="HI54" s="188"/>
      <c r="HJ54" s="188"/>
      <c r="HK54" s="188"/>
      <c r="HL54" s="188"/>
      <c r="HM54" s="188"/>
      <c r="HN54" s="188"/>
      <c r="HO54" s="188"/>
      <c r="HP54" s="188"/>
      <c r="HQ54" s="188"/>
      <c r="HR54" s="188"/>
      <c r="HS54" s="188"/>
      <c r="HT54" s="188"/>
      <c r="HU54" s="188"/>
      <c r="HV54" s="188"/>
      <c r="HW54" s="188"/>
      <c r="HX54" s="188"/>
      <c r="HY54" s="188"/>
      <c r="HZ54" s="188"/>
      <c r="IA54" s="188"/>
      <c r="IB54" s="188"/>
      <c r="IC54" s="188"/>
      <c r="ID54" s="188"/>
      <c r="IE54" s="188"/>
      <c r="IF54" s="188"/>
      <c r="IG54" s="188"/>
      <c r="IH54" s="188"/>
      <c r="II54" s="188"/>
      <c r="IJ54" s="188"/>
      <c r="IK54" s="188"/>
      <c r="IL54" s="188"/>
      <c r="IM54" s="188"/>
      <c r="IN54" s="188"/>
      <c r="IO54" s="188"/>
      <c r="IP54" s="188"/>
      <c r="IQ54" s="188"/>
      <c r="IR54" s="188"/>
      <c r="IS54" s="188"/>
      <c r="IT54" s="188"/>
      <c r="IU54" s="188"/>
      <c r="IV54" s="188"/>
      <c r="IW54" s="188"/>
      <c r="IX54" s="188"/>
      <c r="IY54" s="188"/>
      <c r="IZ54" s="188"/>
      <c r="JA54" s="188"/>
      <c r="JB54" s="188"/>
      <c r="JC54" s="188"/>
      <c r="JD54" s="188"/>
      <c r="JE54" s="188"/>
      <c r="JF54" s="188"/>
      <c r="JG54" s="188"/>
      <c r="JH54" s="188"/>
      <c r="JI54" s="188"/>
      <c r="JJ54" s="188"/>
      <c r="JK54" s="188"/>
      <c r="JL54" s="188"/>
      <c r="JM54" s="188"/>
      <c r="JN54" s="188"/>
      <c r="JO54" s="188"/>
      <c r="JP54" s="188"/>
      <c r="JQ54" s="188"/>
      <c r="JR54" s="188"/>
      <c r="JS54" s="188"/>
      <c r="JT54" s="188"/>
      <c r="JU54" s="188"/>
      <c r="JV54" s="188"/>
      <c r="JW54" s="188"/>
      <c r="JX54" s="188"/>
      <c r="JY54" s="188"/>
      <c r="JZ54" s="188"/>
      <c r="KA54" s="188"/>
      <c r="KB54" s="188"/>
      <c r="KC54" s="188"/>
      <c r="KD54" s="188"/>
      <c r="KE54" s="188"/>
      <c r="KF54" s="188"/>
      <c r="KG54" s="188"/>
      <c r="KH54" s="188"/>
      <c r="KI54" s="188"/>
      <c r="KJ54" s="188"/>
      <c r="KK54" s="188"/>
      <c r="KL54" s="188"/>
      <c r="KM54" s="188"/>
      <c r="KN54" s="188"/>
      <c r="KO54" s="188"/>
      <c r="KP54" s="188"/>
      <c r="KQ54" s="188"/>
      <c r="KR54" s="188"/>
      <c r="KS54" s="188"/>
      <c r="KT54" s="188"/>
      <c r="KU54" s="188"/>
      <c r="KV54" s="188"/>
      <c r="KW54" s="188"/>
      <c r="KX54" s="188"/>
      <c r="KY54" s="188"/>
      <c r="KZ54" s="188"/>
      <c r="LA54" s="188"/>
      <c r="LB54" s="188"/>
      <c r="LC54" s="188"/>
      <c r="LD54" s="188"/>
      <c r="LE54" s="188"/>
      <c r="LF54" s="188"/>
      <c r="LG54" s="188"/>
      <c r="LH54" s="188"/>
      <c r="LI54" s="188"/>
      <c r="LJ54" s="188"/>
      <c r="LK54" s="188"/>
      <c r="LL54" s="188"/>
      <c r="LM54" s="188"/>
      <c r="LN54" s="188"/>
      <c r="LO54" s="188"/>
      <c r="LP54" s="188"/>
      <c r="LQ54" s="188"/>
      <c r="LR54" s="188"/>
      <c r="LS54" s="188"/>
      <c r="LT54" s="188"/>
      <c r="LU54" s="188"/>
      <c r="LV54" s="188"/>
      <c r="LW54" s="188"/>
      <c r="LX54" s="188"/>
      <c r="LY54" s="188"/>
      <c r="LZ54" s="188"/>
      <c r="MA54" s="188"/>
      <c r="MB54" s="188"/>
      <c r="MC54" s="188"/>
      <c r="MD54" s="188"/>
      <c r="ME54" s="188"/>
      <c r="MF54" s="188"/>
      <c r="MG54" s="188"/>
      <c r="MH54" s="188"/>
      <c r="MI54" s="188"/>
      <c r="MJ54" s="188"/>
      <c r="MK54" s="188"/>
      <c r="ML54" s="188"/>
      <c r="MM54" s="188"/>
      <c r="MN54" s="188"/>
      <c r="MO54" s="188"/>
      <c r="MP54" s="188"/>
      <c r="MQ54" s="188"/>
      <c r="MR54" s="188"/>
      <c r="MS54" s="188"/>
      <c r="MT54" s="188"/>
      <c r="MU54" s="188"/>
      <c r="MV54" s="188"/>
      <c r="MW54" s="188"/>
      <c r="MX54" s="188"/>
      <c r="MY54" s="188"/>
      <c r="MZ54" s="188"/>
      <c r="NA54" s="188"/>
      <c r="NB54" s="188"/>
      <c r="NC54" s="188"/>
      <c r="ND54" s="188"/>
      <c r="NE54" s="188"/>
      <c r="NF54" s="188"/>
      <c r="NG54" s="188"/>
      <c r="NH54" s="188"/>
      <c r="NI54" s="188"/>
      <c r="NJ54" s="188"/>
      <c r="NK54" s="188"/>
      <c r="NL54" s="188"/>
      <c r="NM54" s="188"/>
      <c r="NN54" s="188"/>
      <c r="NO54" s="188"/>
      <c r="NP54" s="188"/>
      <c r="NQ54" s="188"/>
      <c r="NR54" s="188"/>
      <c r="NS54" s="188"/>
      <c r="NT54" s="188"/>
      <c r="NU54" s="188"/>
      <c r="NV54" s="188"/>
      <c r="NW54" s="188"/>
      <c r="NX54" s="188"/>
      <c r="NY54" s="188"/>
      <c r="NZ54" s="188"/>
      <c r="OA54" s="188"/>
      <c r="OB54" s="188"/>
      <c r="OC54" s="188"/>
      <c r="OD54" s="188"/>
      <c r="OE54" s="188"/>
      <c r="OF54" s="188"/>
      <c r="OG54" s="188"/>
      <c r="OH54" s="188"/>
      <c r="OI54" s="188"/>
      <c r="OJ54" s="188"/>
      <c r="OK54" s="188"/>
      <c r="OL54" s="188"/>
      <c r="OM54" s="188"/>
      <c r="ON54" s="188"/>
      <c r="OO54" s="188"/>
      <c r="OP54" s="188"/>
      <c r="OQ54" s="188"/>
      <c r="OR54" s="188"/>
      <c r="OS54" s="188"/>
      <c r="OT54" s="188"/>
      <c r="OU54" s="188"/>
      <c r="OV54" s="188"/>
      <c r="OW54" s="188"/>
      <c r="OX54" s="188"/>
      <c r="OY54" s="188"/>
      <c r="OZ54" s="188"/>
      <c r="PA54" s="188"/>
      <c r="PB54" s="188"/>
      <c r="PC54" s="188"/>
      <c r="PD54" s="188"/>
      <c r="PE54" s="188"/>
      <c r="PF54" s="188"/>
      <c r="PG54" s="188"/>
      <c r="PH54" s="188"/>
      <c r="PI54" s="188"/>
      <c r="PJ54" s="188"/>
      <c r="PK54" s="188"/>
      <c r="PL54" s="188"/>
      <c r="PM54" s="188"/>
      <c r="PN54" s="188"/>
      <c r="PO54" s="188"/>
      <c r="PP54" s="188"/>
      <c r="PQ54" s="188"/>
      <c r="PR54" s="188"/>
      <c r="PS54" s="188"/>
      <c r="PT54" s="188"/>
      <c r="PU54" s="188"/>
      <c r="PV54" s="188"/>
      <c r="PW54" s="188"/>
      <c r="PX54" s="188"/>
      <c r="PY54" s="188"/>
      <c r="PZ54" s="188"/>
      <c r="QA54" s="188"/>
      <c r="QB54" s="188"/>
      <c r="QC54" s="188"/>
      <c r="QD54" s="188"/>
      <c r="QE54" s="188"/>
      <c r="QF54" s="188"/>
      <c r="QG54" s="188"/>
      <c r="QH54" s="188"/>
      <c r="QI54" s="188"/>
      <c r="QJ54" s="188"/>
      <c r="QK54" s="188"/>
      <c r="QL54" s="188"/>
      <c r="QM54" s="188"/>
      <c r="QN54" s="188"/>
      <c r="QO54" s="188"/>
      <c r="QP54" s="188"/>
      <c r="QQ54" s="188"/>
      <c r="QR54" s="188"/>
      <c r="QS54" s="188"/>
      <c r="QT54" s="188"/>
      <c r="QU54" s="188"/>
      <c r="QV54" s="188"/>
      <c r="QW54" s="188"/>
      <c r="QX54" s="188"/>
      <c r="QY54" s="188"/>
      <c r="QZ54" s="188"/>
      <c r="RA54" s="188"/>
      <c r="RB54" s="188"/>
      <c r="RC54" s="188"/>
      <c r="RD54" s="188"/>
      <c r="RE54" s="188"/>
      <c r="RF54" s="188"/>
      <c r="RG54" s="188"/>
      <c r="RH54" s="188"/>
      <c r="RI54" s="188"/>
      <c r="RJ54" s="188"/>
      <c r="RK54" s="188"/>
      <c r="RL54" s="188"/>
      <c r="RM54" s="188"/>
      <c r="RN54" s="188"/>
      <c r="RO54" s="188"/>
      <c r="RP54" s="188"/>
      <c r="RQ54" s="188"/>
      <c r="RR54" s="188"/>
      <c r="RS54" s="188"/>
      <c r="RT54" s="188"/>
      <c r="RU54" s="188"/>
      <c r="RV54" s="188"/>
      <c r="RW54" s="188"/>
      <c r="RX54" s="188"/>
      <c r="RY54" s="188"/>
      <c r="RZ54" s="188"/>
      <c r="SA54" s="188"/>
      <c r="SB54" s="188"/>
      <c r="SC54" s="188"/>
      <c r="SD54" s="188"/>
      <c r="SE54" s="188"/>
      <c r="SF54" s="188"/>
      <c r="SG54" s="188"/>
      <c r="SH54" s="188"/>
      <c r="SI54" s="188"/>
      <c r="SJ54" s="188"/>
      <c r="SK54" s="188"/>
      <c r="SL54" s="188"/>
      <c r="SM54" s="188"/>
      <c r="SN54" s="188"/>
      <c r="SO54" s="188"/>
      <c r="SP54" s="188"/>
      <c r="SQ54" s="188"/>
      <c r="SR54" s="188"/>
      <c r="SS54" s="188"/>
      <c r="ST54" s="188"/>
      <c r="SU54" s="188"/>
      <c r="SV54" s="188"/>
      <c r="SW54" s="188"/>
      <c r="SX54" s="188"/>
      <c r="SY54" s="188"/>
      <c r="SZ54" s="188"/>
      <c r="TA54" s="188"/>
      <c r="TB54" s="188"/>
      <c r="TC54" s="188"/>
      <c r="TD54" s="188"/>
      <c r="TE54" s="188"/>
      <c r="TF54" s="188"/>
      <c r="TG54" s="188"/>
      <c r="TH54" s="188"/>
      <c r="TI54" s="188"/>
      <c r="TJ54" s="188"/>
      <c r="TK54" s="188"/>
      <c r="TL54" s="188"/>
      <c r="TM54" s="188"/>
      <c r="TN54" s="188"/>
      <c r="TO54" s="188"/>
      <c r="TP54" s="188"/>
      <c r="TQ54" s="188"/>
      <c r="TR54" s="188"/>
      <c r="TS54" s="188"/>
      <c r="TT54" s="188"/>
      <c r="TU54" s="188"/>
      <c r="TV54" s="188"/>
      <c r="TW54" s="188"/>
      <c r="TX54" s="188"/>
      <c r="TY54" s="188"/>
      <c r="TZ54" s="188"/>
      <c r="UA54" s="188"/>
      <c r="UB54" s="188"/>
      <c r="UC54" s="188"/>
      <c r="UD54" s="188"/>
      <c r="UE54" s="188"/>
      <c r="UF54" s="188"/>
      <c r="UG54" s="188"/>
      <c r="UH54" s="188"/>
      <c r="UI54" s="188"/>
      <c r="UJ54" s="188"/>
      <c r="UK54" s="188"/>
      <c r="UL54" s="188"/>
      <c r="UM54" s="188"/>
      <c r="UN54" s="188"/>
      <c r="UO54" s="188"/>
      <c r="UP54" s="188"/>
      <c r="UQ54" s="188"/>
      <c r="UR54" s="188"/>
      <c r="US54" s="188"/>
      <c r="UT54" s="188"/>
      <c r="UU54" s="188"/>
      <c r="UV54" s="188"/>
      <c r="UW54" s="188"/>
      <c r="UX54" s="188"/>
      <c r="UY54" s="188"/>
      <c r="UZ54" s="188"/>
      <c r="VA54" s="188"/>
      <c r="VB54" s="188"/>
      <c r="VC54" s="188"/>
      <c r="VD54" s="188"/>
      <c r="VE54" s="188"/>
      <c r="VF54" s="188"/>
      <c r="VG54" s="188"/>
      <c r="VH54" s="188"/>
      <c r="VI54" s="188"/>
      <c r="VJ54" s="188"/>
      <c r="VK54" s="188"/>
      <c r="VL54" s="188"/>
      <c r="VM54" s="188"/>
      <c r="VN54" s="188"/>
      <c r="VO54" s="188"/>
      <c r="VP54" s="188"/>
      <c r="VQ54" s="188"/>
      <c r="VR54" s="188"/>
      <c r="VS54" s="188"/>
      <c r="VT54" s="188"/>
      <c r="VU54" s="188"/>
      <c r="VV54" s="188"/>
      <c r="VW54" s="188"/>
      <c r="VX54" s="188"/>
      <c r="VY54" s="188"/>
      <c r="VZ54" s="188"/>
      <c r="WA54" s="188"/>
      <c r="WB54" s="188"/>
      <c r="WC54" s="188"/>
      <c r="WD54" s="188"/>
      <c r="WE54" s="188"/>
      <c r="WF54" s="188"/>
      <c r="WG54" s="188"/>
      <c r="WH54" s="188"/>
      <c r="WI54" s="188"/>
      <c r="WJ54" s="188"/>
      <c r="WK54" s="188"/>
      <c r="WL54" s="188"/>
      <c r="WM54" s="188"/>
      <c r="WN54" s="188"/>
      <c r="WO54" s="188"/>
      <c r="WP54" s="188"/>
      <c r="WQ54" s="188"/>
      <c r="WR54" s="188"/>
      <c r="WS54" s="188"/>
      <c r="WT54" s="188"/>
      <c r="WU54" s="188"/>
      <c r="WV54" s="188"/>
      <c r="WW54" s="188"/>
      <c r="WX54" s="188"/>
      <c r="WY54" s="188"/>
      <c r="WZ54" s="188"/>
      <c r="XA54" s="188"/>
      <c r="XB54" s="188"/>
      <c r="XC54" s="188"/>
      <c r="XD54" s="188"/>
      <c r="XE54" s="188"/>
      <c r="XF54" s="188"/>
      <c r="XG54" s="188"/>
      <c r="XH54" s="188"/>
      <c r="XI54" s="188"/>
      <c r="XJ54" s="188"/>
      <c r="XK54" s="188"/>
      <c r="XL54" s="188"/>
      <c r="XM54" s="188"/>
      <c r="XN54" s="188"/>
      <c r="XO54" s="188"/>
      <c r="XP54" s="188"/>
      <c r="XQ54" s="188"/>
      <c r="XR54" s="188"/>
      <c r="XS54" s="188"/>
      <c r="XT54" s="188"/>
      <c r="XU54" s="188"/>
      <c r="XV54" s="188"/>
      <c r="XW54" s="188"/>
      <c r="XX54" s="188"/>
      <c r="XY54" s="188"/>
      <c r="XZ54" s="188"/>
      <c r="YA54" s="188"/>
      <c r="YB54" s="188"/>
      <c r="YC54" s="188"/>
      <c r="YD54" s="188"/>
      <c r="YE54" s="188"/>
      <c r="YF54" s="188"/>
      <c r="YG54" s="188"/>
      <c r="YH54" s="188"/>
      <c r="YI54" s="188"/>
      <c r="YJ54" s="188"/>
      <c r="YK54" s="188"/>
      <c r="YL54" s="188"/>
      <c r="YM54" s="188"/>
      <c r="YN54" s="188"/>
      <c r="YO54" s="188"/>
      <c r="YP54" s="188"/>
      <c r="YQ54" s="188"/>
      <c r="YR54" s="188"/>
      <c r="YS54" s="188"/>
      <c r="YT54" s="188"/>
      <c r="YU54" s="188"/>
      <c r="YV54" s="188"/>
      <c r="YW54" s="188"/>
      <c r="YX54" s="188"/>
      <c r="YY54" s="188"/>
      <c r="YZ54" s="188"/>
      <c r="ZA54" s="188"/>
      <c r="ZB54" s="188"/>
      <c r="ZC54" s="188"/>
      <c r="ZD54" s="188"/>
      <c r="ZE54" s="188"/>
      <c r="ZF54" s="188"/>
      <c r="ZG54" s="188"/>
      <c r="ZH54" s="188"/>
      <c r="ZI54" s="188"/>
      <c r="ZJ54" s="188"/>
      <c r="ZK54" s="188"/>
      <c r="ZL54" s="188"/>
      <c r="ZM54" s="188"/>
      <c r="ZN54" s="188"/>
      <c r="ZO54" s="188"/>
      <c r="ZP54" s="188"/>
      <c r="ZQ54" s="188"/>
      <c r="ZR54" s="188"/>
      <c r="ZS54" s="188"/>
      <c r="ZT54" s="188"/>
      <c r="ZU54" s="188"/>
      <c r="ZV54" s="188"/>
      <c r="ZW54" s="188"/>
      <c r="ZX54" s="188"/>
      <c r="ZY54" s="188"/>
      <c r="ZZ54" s="188"/>
      <c r="AAA54" s="188"/>
      <c r="AAB54" s="188"/>
      <c r="AAC54" s="188"/>
      <c r="AAD54" s="188"/>
      <c r="AAE54" s="188"/>
      <c r="AAF54" s="188"/>
      <c r="AAG54" s="188"/>
      <c r="AAH54" s="188"/>
      <c r="AAI54" s="188"/>
      <c r="AAJ54" s="188"/>
      <c r="AAK54" s="188"/>
      <c r="AAL54" s="188"/>
      <c r="AAM54" s="188"/>
      <c r="AAN54" s="188"/>
      <c r="AAO54" s="188"/>
      <c r="AAP54" s="188"/>
      <c r="AAQ54" s="188"/>
      <c r="AAR54" s="188"/>
      <c r="AAS54" s="188"/>
      <c r="AAT54" s="188"/>
      <c r="AAU54" s="188"/>
      <c r="AAV54" s="188"/>
      <c r="AAW54" s="188"/>
      <c r="AAX54" s="188"/>
      <c r="AAY54" s="188"/>
      <c r="AAZ54" s="188"/>
      <c r="ABA54" s="188"/>
      <c r="ABB54" s="188"/>
      <c r="ABC54" s="188"/>
      <c r="ABD54" s="188"/>
      <c r="ABE54" s="188"/>
      <c r="ABF54" s="188"/>
      <c r="ABG54" s="188"/>
      <c r="ABH54" s="188"/>
      <c r="ABI54" s="188"/>
      <c r="ABJ54" s="188"/>
      <c r="ABK54" s="188"/>
      <c r="ABL54" s="188"/>
      <c r="ABM54" s="188"/>
      <c r="ABN54" s="188"/>
      <c r="ABO54" s="188"/>
      <c r="ABP54" s="188"/>
      <c r="ABQ54" s="188"/>
      <c r="ABR54" s="188"/>
      <c r="ABS54" s="188"/>
      <c r="ABT54" s="188"/>
      <c r="ABU54" s="188"/>
      <c r="ABV54" s="188"/>
      <c r="ABW54" s="188"/>
      <c r="ABX54" s="188"/>
      <c r="ABY54" s="188"/>
      <c r="ABZ54" s="188"/>
      <c r="ACA54" s="188"/>
      <c r="ACB54" s="188"/>
      <c r="ACC54" s="188"/>
      <c r="ACD54" s="188"/>
      <c r="ACE54" s="188"/>
      <c r="ACF54" s="188"/>
      <c r="ACG54" s="188"/>
      <c r="ACH54" s="188"/>
      <c r="ACI54" s="188"/>
      <c r="ACJ54" s="188"/>
      <c r="ACK54" s="188"/>
      <c r="ACL54" s="188"/>
      <c r="ACM54" s="188"/>
      <c r="ACN54" s="188"/>
      <c r="ACO54" s="188"/>
      <c r="ACP54" s="188"/>
      <c r="ACQ54" s="188"/>
      <c r="ACR54" s="188"/>
      <c r="ACS54" s="188"/>
      <c r="ACT54" s="188"/>
      <c r="ACU54" s="188"/>
      <c r="ACV54" s="188"/>
      <c r="ACW54" s="188"/>
      <c r="ACX54" s="188"/>
      <c r="ACY54" s="188"/>
      <c r="ACZ54" s="188"/>
      <c r="ADA54" s="188"/>
      <c r="ADB54" s="188"/>
      <c r="ADC54" s="188"/>
      <c r="ADD54" s="188"/>
      <c r="ADE54" s="188"/>
      <c r="ADF54" s="188"/>
      <c r="ADG54" s="188"/>
      <c r="ADH54" s="188"/>
      <c r="ADI54" s="188"/>
      <c r="ADJ54" s="188"/>
      <c r="ADK54" s="188"/>
      <c r="ADL54" s="188"/>
      <c r="ADM54" s="188"/>
      <c r="ADN54" s="188"/>
      <c r="ADO54" s="188"/>
      <c r="ADP54" s="188"/>
      <c r="ADQ54" s="188"/>
      <c r="ADR54" s="188"/>
      <c r="ADS54" s="188"/>
      <c r="ADT54" s="188"/>
      <c r="ADU54" s="188"/>
      <c r="ADV54" s="188"/>
      <c r="ADW54" s="188"/>
      <c r="ADX54" s="188"/>
      <c r="ADY54" s="188"/>
      <c r="ADZ54" s="188"/>
      <c r="AEA54" s="188"/>
      <c r="AEB54" s="188"/>
      <c r="AEC54" s="188"/>
      <c r="AED54" s="188"/>
      <c r="AEE54" s="188"/>
      <c r="AEF54" s="188"/>
      <c r="AEG54" s="188"/>
      <c r="AEH54" s="188"/>
      <c r="AEI54" s="188"/>
      <c r="AEJ54" s="188"/>
      <c r="AEK54" s="188"/>
      <c r="AEL54" s="188"/>
      <c r="AEM54" s="188"/>
      <c r="AEN54" s="188"/>
      <c r="AEO54" s="188"/>
      <c r="AEP54" s="188"/>
      <c r="AEQ54" s="188"/>
      <c r="AER54" s="188"/>
      <c r="AES54" s="188"/>
      <c r="AET54" s="188"/>
      <c r="AEU54" s="188"/>
      <c r="AEV54" s="188"/>
      <c r="AEW54" s="188"/>
      <c r="AEX54" s="188"/>
      <c r="AEY54" s="188"/>
      <c r="AEZ54" s="188"/>
      <c r="AFA54" s="188"/>
      <c r="AFB54" s="188"/>
      <c r="AFC54" s="188"/>
      <c r="AFD54" s="188"/>
      <c r="AFE54" s="188"/>
      <c r="AFF54" s="188"/>
      <c r="AFG54" s="188"/>
      <c r="AFH54" s="188"/>
      <c r="AFI54" s="188"/>
      <c r="AFJ54" s="188"/>
      <c r="AFK54" s="188"/>
      <c r="AFL54" s="188"/>
      <c r="AFM54" s="188"/>
      <c r="AFN54" s="188"/>
      <c r="AFO54" s="188"/>
      <c r="AFP54" s="188"/>
      <c r="AFQ54" s="188"/>
      <c r="AFR54" s="188"/>
      <c r="AFS54" s="188"/>
      <c r="AFT54" s="188"/>
      <c r="AFU54" s="188"/>
      <c r="AFV54" s="188"/>
      <c r="AFW54" s="188"/>
      <c r="AFX54" s="188"/>
      <c r="AFY54" s="188"/>
      <c r="AFZ54" s="188"/>
      <c r="AGA54" s="188"/>
      <c r="AGB54" s="188"/>
      <c r="AGC54" s="188"/>
      <c r="AGD54" s="188"/>
      <c r="AGE54" s="188"/>
      <c r="AGF54" s="188"/>
      <c r="AGG54" s="188"/>
      <c r="AGH54" s="188"/>
      <c r="AGI54" s="188"/>
      <c r="AGJ54" s="188"/>
      <c r="AGK54" s="188"/>
      <c r="AGL54" s="188"/>
      <c r="AGM54" s="188"/>
      <c r="AGN54" s="188"/>
      <c r="AGO54" s="188"/>
      <c r="AGP54" s="188"/>
      <c r="AGQ54" s="188"/>
      <c r="AGR54" s="188"/>
      <c r="AGS54" s="188"/>
      <c r="AGT54" s="188"/>
      <c r="AGU54" s="188"/>
      <c r="AGV54" s="188"/>
      <c r="AGW54" s="188"/>
      <c r="AGX54" s="188"/>
      <c r="AGY54" s="188"/>
      <c r="AGZ54" s="188"/>
      <c r="AHA54" s="188"/>
      <c r="AHB54" s="188"/>
      <c r="AHC54" s="188"/>
      <c r="AHD54" s="188"/>
      <c r="AHE54" s="188"/>
      <c r="AHF54" s="188"/>
      <c r="AHG54" s="188"/>
      <c r="AHH54" s="188"/>
      <c r="AHI54" s="188"/>
      <c r="AHJ54" s="188"/>
      <c r="AHK54" s="188"/>
      <c r="AHL54" s="188"/>
      <c r="AHM54" s="188"/>
      <c r="AHN54" s="188"/>
      <c r="AHO54" s="188"/>
      <c r="AHP54" s="188"/>
      <c r="AHQ54" s="188"/>
      <c r="AHR54" s="188"/>
      <c r="AHS54" s="188"/>
      <c r="AHT54" s="188"/>
      <c r="AHU54" s="188"/>
      <c r="AHV54" s="188"/>
      <c r="AHW54" s="188"/>
      <c r="AHX54" s="188"/>
      <c r="AHY54" s="188"/>
      <c r="AHZ54" s="188"/>
      <c r="AIA54" s="188"/>
      <c r="AIB54" s="188"/>
      <c r="AIC54" s="188"/>
      <c r="AID54" s="188"/>
      <c r="AIE54" s="188"/>
      <c r="AIF54" s="188"/>
      <c r="AIG54" s="188"/>
      <c r="AIH54" s="188"/>
      <c r="AII54" s="188"/>
      <c r="AIJ54" s="188"/>
      <c r="AIK54" s="188"/>
      <c r="AIL54" s="188"/>
      <c r="AIM54" s="188"/>
      <c r="AIN54" s="188"/>
      <c r="AIO54" s="188"/>
      <c r="AIP54" s="188"/>
      <c r="AIQ54" s="188"/>
      <c r="AIR54" s="188"/>
      <c r="AIS54" s="188"/>
      <c r="AIT54" s="188"/>
      <c r="AIU54" s="188"/>
      <c r="AIV54" s="188"/>
      <c r="AIW54" s="188"/>
      <c r="AIX54" s="188"/>
      <c r="AIY54" s="188"/>
      <c r="AIZ54" s="188"/>
      <c r="AJA54" s="188"/>
      <c r="AJB54" s="188"/>
      <c r="AJC54" s="188"/>
      <c r="AJD54" s="188"/>
      <c r="AJE54" s="188"/>
      <c r="AJF54" s="188"/>
      <c r="AJG54" s="188"/>
      <c r="AJH54" s="188"/>
      <c r="AJI54" s="188"/>
      <c r="AJJ54" s="188"/>
      <c r="AJK54" s="188"/>
      <c r="AJL54" s="188"/>
      <c r="AJM54" s="188"/>
      <c r="AJN54" s="188"/>
      <c r="AJO54" s="188"/>
      <c r="AJP54" s="188"/>
      <c r="AJQ54" s="188"/>
      <c r="AJR54" s="188"/>
      <c r="AJS54" s="188"/>
      <c r="AJT54" s="188"/>
      <c r="AJU54" s="188"/>
      <c r="AJV54" s="188"/>
      <c r="AJW54" s="188"/>
      <c r="AJX54" s="188"/>
      <c r="AJY54" s="188"/>
      <c r="AJZ54" s="188"/>
      <c r="AKA54" s="188"/>
      <c r="AKB54" s="188"/>
      <c r="AKC54" s="188"/>
      <c r="AKD54" s="188"/>
      <c r="AKE54" s="188"/>
      <c r="AKF54" s="188"/>
      <c r="AKG54" s="188"/>
      <c r="AKH54" s="188"/>
      <c r="AKI54" s="188"/>
      <c r="AKJ54" s="188"/>
      <c r="AKK54" s="188"/>
      <c r="AKL54" s="188"/>
      <c r="AKM54" s="188"/>
      <c r="AKN54" s="188"/>
      <c r="AKO54" s="188"/>
      <c r="AKP54" s="188"/>
      <c r="AKQ54" s="188"/>
      <c r="AKR54" s="188"/>
      <c r="AKS54" s="188"/>
      <c r="AKT54" s="188"/>
      <c r="AKU54" s="188"/>
      <c r="AKV54" s="188"/>
      <c r="AKW54" s="188"/>
      <c r="AKX54" s="188"/>
      <c r="AKY54" s="188"/>
      <c r="AKZ54" s="188"/>
      <c r="ALA54" s="188"/>
      <c r="ALB54" s="188"/>
      <c r="ALC54" s="188"/>
      <c r="ALD54" s="188"/>
      <c r="ALE54" s="188"/>
      <c r="ALF54" s="188"/>
      <c r="ALG54" s="188"/>
      <c r="ALH54" s="188"/>
      <c r="ALI54" s="188"/>
      <c r="ALJ54" s="188"/>
      <c r="ALK54" s="188"/>
      <c r="ALL54" s="188"/>
      <c r="ALM54" s="188"/>
      <c r="ALN54" s="188"/>
      <c r="ALO54" s="188"/>
      <c r="ALP54" s="188"/>
      <c r="ALQ54" s="188"/>
      <c r="ALR54" s="188"/>
      <c r="ALS54" s="188"/>
      <c r="ALT54" s="188"/>
      <c r="ALU54" s="188"/>
      <c r="ALV54" s="188"/>
      <c r="ALW54" s="188"/>
      <c r="ALX54" s="188"/>
      <c r="ALY54" s="188"/>
      <c r="ALZ54" s="188"/>
      <c r="AMA54" s="188"/>
      <c r="AMB54" s="188"/>
      <c r="AMC54" s="188"/>
      <c r="AMD54" s="188"/>
      <c r="AME54" s="188"/>
      <c r="AMF54" s="188"/>
      <c r="AMG54" s="188"/>
      <c r="AMH54" s="188"/>
      <c r="AMI54" s="188"/>
      <c r="AMJ54" s="188"/>
      <c r="AMK54" s="188"/>
      <c r="AML54" s="188"/>
      <c r="AMM54" s="188"/>
      <c r="AMN54" s="188"/>
      <c r="AMO54" s="188"/>
      <c r="AMP54" s="188"/>
      <c r="AMQ54" s="188"/>
      <c r="AMR54" s="188"/>
      <c r="AMS54" s="188"/>
      <c r="AMT54" s="188"/>
      <c r="AMU54" s="188"/>
      <c r="AMV54" s="188"/>
      <c r="AMW54" s="188"/>
      <c r="AMX54" s="188"/>
      <c r="AMY54" s="188"/>
      <c r="AMZ54" s="188"/>
      <c r="ANA54" s="188"/>
      <c r="ANB54" s="188"/>
      <c r="ANC54" s="188"/>
      <c r="AND54" s="188"/>
      <c r="ANE54" s="188"/>
      <c r="ANF54" s="188"/>
      <c r="ANG54" s="188"/>
      <c r="ANH54" s="188"/>
      <c r="ANI54" s="188"/>
      <c r="ANJ54" s="188"/>
      <c r="ANK54" s="188"/>
      <c r="ANL54" s="188"/>
      <c r="ANM54" s="188"/>
      <c r="ANN54" s="188"/>
      <c r="ANO54" s="188"/>
      <c r="ANP54" s="188"/>
      <c r="ANQ54" s="188"/>
      <c r="ANR54" s="188"/>
      <c r="ANS54" s="188"/>
      <c r="ANT54" s="188"/>
      <c r="ANU54" s="188"/>
      <c r="ANV54" s="188"/>
      <c r="ANW54" s="188"/>
      <c r="ANX54" s="188"/>
      <c r="ANY54" s="188"/>
      <c r="ANZ54" s="188"/>
      <c r="AOA54" s="188"/>
      <c r="AOB54" s="188"/>
      <c r="AOC54" s="188"/>
      <c r="AOD54" s="188"/>
      <c r="AOE54" s="188"/>
      <c r="AOF54" s="188"/>
      <c r="AOG54" s="188"/>
      <c r="AOH54" s="188"/>
      <c r="AOI54" s="188"/>
      <c r="AOJ54" s="188"/>
      <c r="AOK54" s="188"/>
      <c r="AOL54" s="188"/>
      <c r="AOM54" s="188"/>
      <c r="AON54" s="188"/>
      <c r="AOO54" s="188"/>
      <c r="AOP54" s="188"/>
      <c r="AOQ54" s="188"/>
      <c r="AOR54" s="188"/>
      <c r="AOS54" s="188"/>
      <c r="AOT54" s="188"/>
      <c r="AOU54" s="188"/>
      <c r="AOV54" s="188"/>
      <c r="AOW54" s="188"/>
      <c r="AOX54" s="188"/>
      <c r="AOY54" s="188"/>
      <c r="AOZ54" s="188"/>
      <c r="APA54" s="188"/>
      <c r="APB54" s="188"/>
      <c r="APC54" s="188"/>
      <c r="APD54" s="188"/>
      <c r="APE54" s="188"/>
      <c r="APF54" s="188"/>
      <c r="APG54" s="188"/>
      <c r="APH54" s="188"/>
      <c r="API54" s="188"/>
      <c r="APJ54" s="188"/>
      <c r="APK54" s="188"/>
      <c r="APL54" s="188"/>
      <c r="APM54" s="188"/>
      <c r="APN54" s="188"/>
      <c r="APO54" s="188"/>
      <c r="APP54" s="188"/>
      <c r="APQ54" s="188"/>
      <c r="APR54" s="188"/>
      <c r="APS54" s="188"/>
      <c r="APT54" s="188"/>
      <c r="APU54" s="188"/>
      <c r="APV54" s="188"/>
      <c r="APW54" s="188"/>
      <c r="APX54" s="188"/>
      <c r="APY54" s="188"/>
      <c r="APZ54" s="188"/>
      <c r="AQA54" s="188"/>
      <c r="AQB54" s="188"/>
      <c r="AQC54" s="188"/>
      <c r="AQD54" s="188"/>
      <c r="AQE54" s="188"/>
      <c r="AQF54" s="188"/>
      <c r="AQG54" s="188"/>
      <c r="AQH54" s="188"/>
      <c r="AQI54" s="188"/>
      <c r="AQJ54" s="188"/>
      <c r="AQK54" s="188"/>
      <c r="AQL54" s="188"/>
      <c r="AQM54" s="188"/>
      <c r="AQN54" s="188"/>
      <c r="AQO54" s="188"/>
      <c r="AQP54" s="188"/>
      <c r="AQQ54" s="188"/>
      <c r="AQR54" s="188"/>
      <c r="AQS54" s="188"/>
      <c r="AQT54" s="188"/>
      <c r="AQU54" s="188"/>
      <c r="AQV54" s="188"/>
      <c r="AQW54" s="188"/>
      <c r="AQX54" s="188"/>
      <c r="AQY54" s="188"/>
      <c r="AQZ54" s="188"/>
      <c r="ARA54" s="188"/>
      <c r="ARB54" s="188"/>
      <c r="ARC54" s="188"/>
      <c r="ARD54" s="188"/>
      <c r="ARE54" s="188"/>
      <c r="ARF54" s="188"/>
      <c r="ARG54" s="188"/>
      <c r="ARH54" s="188"/>
      <c r="ARI54" s="188"/>
      <c r="ARJ54" s="188"/>
      <c r="ARK54" s="188"/>
      <c r="ARL54" s="188"/>
      <c r="ARM54" s="188"/>
      <c r="ARN54" s="188"/>
      <c r="ARO54" s="188"/>
      <c r="ARP54" s="188"/>
      <c r="ARQ54" s="188"/>
      <c r="ARR54" s="188"/>
      <c r="ARS54" s="188"/>
      <c r="ART54" s="188"/>
      <c r="ARU54" s="188"/>
      <c r="ARV54" s="188"/>
      <c r="ARW54" s="188"/>
      <c r="ARX54" s="188"/>
      <c r="ARY54" s="188"/>
      <c r="ARZ54" s="188"/>
      <c r="ASA54" s="188"/>
      <c r="ASB54" s="188"/>
      <c r="ASC54" s="188"/>
      <c r="ASD54" s="188"/>
      <c r="ASE54" s="188"/>
      <c r="ASF54" s="188"/>
      <c r="ASG54" s="188"/>
      <c r="ASH54" s="188"/>
      <c r="ASI54" s="188"/>
      <c r="ASJ54" s="188"/>
      <c r="ASK54" s="188"/>
      <c r="ASL54" s="188"/>
      <c r="ASM54" s="188"/>
      <c r="ASN54" s="188"/>
      <c r="ASO54" s="188"/>
      <c r="ASP54" s="188"/>
      <c r="ASQ54" s="188"/>
      <c r="ASR54" s="188"/>
      <c r="ASS54" s="188"/>
      <c r="AST54" s="188"/>
      <c r="ASU54" s="188"/>
      <c r="ASV54" s="188"/>
      <c r="ASW54" s="188"/>
      <c r="ASX54" s="188"/>
      <c r="ASY54" s="188"/>
      <c r="ASZ54" s="188"/>
      <c r="ATA54" s="188"/>
      <c r="ATB54" s="188"/>
      <c r="ATC54" s="188"/>
      <c r="ATD54" s="188"/>
      <c r="ATE54" s="188"/>
      <c r="ATF54" s="188"/>
      <c r="ATG54" s="188"/>
      <c r="ATH54" s="188"/>
      <c r="ATI54" s="188"/>
      <c r="ATJ54" s="188"/>
      <c r="ATK54" s="188"/>
      <c r="ATL54" s="188"/>
      <c r="ATM54" s="188"/>
      <c r="ATN54" s="188"/>
      <c r="ATO54" s="188"/>
      <c r="ATP54" s="188"/>
      <c r="ATQ54" s="188"/>
      <c r="ATR54" s="188"/>
      <c r="ATS54" s="188"/>
      <c r="ATT54" s="188"/>
      <c r="ATU54" s="188"/>
      <c r="ATV54" s="188"/>
      <c r="ATW54" s="188"/>
      <c r="ATX54" s="188"/>
      <c r="ATY54" s="188"/>
      <c r="ATZ54" s="188"/>
      <c r="AUA54" s="188"/>
      <c r="AUB54" s="188"/>
      <c r="AUC54" s="188"/>
      <c r="AUD54" s="188"/>
      <c r="AUE54" s="188"/>
      <c r="AUF54" s="188"/>
      <c r="AUG54" s="188"/>
      <c r="AUH54" s="188"/>
      <c r="AUI54" s="188"/>
      <c r="AUJ54" s="188"/>
      <c r="AUK54" s="188"/>
      <c r="AUL54" s="188"/>
      <c r="AUM54" s="188"/>
      <c r="AUN54" s="188"/>
      <c r="AUO54" s="188"/>
      <c r="AUP54" s="188"/>
      <c r="AUQ54" s="188"/>
      <c r="AUR54" s="188"/>
      <c r="AUS54" s="188"/>
      <c r="AUT54" s="188"/>
      <c r="AUU54" s="188"/>
      <c r="AUV54" s="188"/>
      <c r="AUW54" s="188"/>
      <c r="AUX54" s="188"/>
      <c r="AUY54" s="188"/>
      <c r="AUZ54" s="188"/>
      <c r="AVA54" s="188"/>
      <c r="AVB54" s="188"/>
      <c r="AVC54" s="188"/>
      <c r="AVD54" s="188"/>
      <c r="AVE54" s="188"/>
      <c r="AVF54" s="188"/>
      <c r="AVG54" s="188"/>
      <c r="AVH54" s="188"/>
      <c r="AVI54" s="188"/>
      <c r="AVJ54" s="188"/>
      <c r="AVK54" s="188"/>
      <c r="AVL54" s="188"/>
      <c r="AVM54" s="188"/>
      <c r="AVN54" s="188"/>
      <c r="AVO54" s="188"/>
      <c r="AVP54" s="188"/>
      <c r="AVQ54" s="188"/>
      <c r="AVR54" s="188"/>
      <c r="AVS54" s="188"/>
      <c r="AVT54" s="188"/>
      <c r="AVU54" s="188"/>
      <c r="AVV54" s="188"/>
      <c r="AVW54" s="188"/>
      <c r="AVX54" s="188"/>
      <c r="AVY54" s="188"/>
      <c r="AVZ54" s="188"/>
      <c r="AWA54" s="188"/>
      <c r="AWB54" s="188"/>
      <c r="AWC54" s="188"/>
      <c r="AWD54" s="188"/>
      <c r="AWE54" s="188"/>
      <c r="AWF54" s="188"/>
      <c r="AWG54" s="188"/>
      <c r="AWH54" s="188"/>
      <c r="AWI54" s="188"/>
      <c r="AWJ54" s="188"/>
      <c r="AWK54" s="188"/>
      <c r="AWL54" s="188"/>
      <c r="AWM54" s="188"/>
      <c r="AWN54" s="188"/>
      <c r="AWO54" s="188"/>
      <c r="AWP54" s="188"/>
      <c r="AWQ54" s="188"/>
      <c r="AWR54" s="188"/>
      <c r="AWS54" s="188"/>
      <c r="AWT54" s="188"/>
      <c r="AWU54" s="188"/>
      <c r="AWV54" s="188"/>
      <c r="AWW54" s="188"/>
      <c r="AWX54" s="188"/>
      <c r="AWY54" s="188"/>
      <c r="AWZ54" s="188"/>
      <c r="AXA54" s="188"/>
      <c r="AXB54" s="188"/>
      <c r="AXC54" s="188"/>
      <c r="AXD54" s="188"/>
      <c r="AXE54" s="188"/>
      <c r="AXF54" s="188"/>
      <c r="AXG54" s="188"/>
      <c r="AXH54" s="188"/>
      <c r="AXI54" s="188"/>
      <c r="AXJ54" s="188"/>
      <c r="AXK54" s="188"/>
      <c r="AXL54" s="188"/>
      <c r="AXM54" s="188"/>
      <c r="AXN54" s="188"/>
      <c r="AXO54" s="188"/>
      <c r="AXP54" s="188"/>
      <c r="AXQ54" s="188"/>
      <c r="AXR54" s="188"/>
      <c r="AXS54" s="188"/>
      <c r="AXT54" s="188"/>
      <c r="AXU54" s="188"/>
      <c r="AXV54" s="188"/>
      <c r="AXW54" s="188"/>
      <c r="AXX54" s="188"/>
      <c r="AXY54" s="188"/>
      <c r="AXZ54" s="188"/>
      <c r="AYA54" s="188"/>
      <c r="AYB54" s="188"/>
      <c r="AYC54" s="188"/>
      <c r="AYD54" s="188"/>
      <c r="AYE54" s="188"/>
      <c r="AYF54" s="188"/>
      <c r="AYG54" s="188"/>
      <c r="AYH54" s="188"/>
      <c r="AYI54" s="188"/>
      <c r="AYJ54" s="188"/>
      <c r="AYK54" s="188"/>
      <c r="AYL54" s="188"/>
      <c r="AYM54" s="188"/>
      <c r="AYN54" s="188"/>
      <c r="AYO54" s="188"/>
      <c r="AYP54" s="188"/>
      <c r="AYQ54" s="188"/>
      <c r="AYR54" s="188"/>
      <c r="AYS54" s="188"/>
      <c r="AYT54" s="188"/>
      <c r="AYU54" s="188"/>
      <c r="AYV54" s="188"/>
      <c r="AYW54" s="188"/>
      <c r="AYX54" s="188"/>
      <c r="AYY54" s="188"/>
      <c r="AYZ54" s="188"/>
      <c r="AZA54" s="188"/>
      <c r="AZB54" s="188"/>
      <c r="AZC54" s="188"/>
      <c r="AZD54" s="188"/>
      <c r="AZE54" s="188"/>
      <c r="AZF54" s="188"/>
      <c r="AZG54" s="188"/>
      <c r="AZH54" s="188"/>
      <c r="AZI54" s="188"/>
      <c r="AZJ54" s="188"/>
      <c r="AZK54" s="188"/>
      <c r="AZL54" s="188"/>
      <c r="AZM54" s="188"/>
      <c r="AZN54" s="188"/>
      <c r="AZO54" s="188"/>
      <c r="AZP54" s="188"/>
      <c r="AZQ54" s="188"/>
      <c r="AZR54" s="188"/>
      <c r="AZS54" s="188"/>
      <c r="AZT54" s="188"/>
      <c r="AZU54" s="188"/>
      <c r="AZV54" s="188"/>
      <c r="AZW54" s="188"/>
      <c r="AZX54" s="188"/>
      <c r="AZY54" s="188"/>
      <c r="AZZ54" s="188"/>
      <c r="BAA54" s="188"/>
      <c r="BAB54" s="188"/>
      <c r="BAC54" s="188"/>
      <c r="BAD54" s="188"/>
      <c r="BAE54" s="188"/>
      <c r="BAF54" s="188"/>
      <c r="BAG54" s="188"/>
      <c r="BAH54" s="188"/>
      <c r="BAI54" s="188"/>
      <c r="BAJ54" s="188"/>
      <c r="BAK54" s="188"/>
      <c r="BAL54" s="188"/>
      <c r="BAM54" s="188"/>
      <c r="BAN54" s="188"/>
      <c r="BAO54" s="188"/>
      <c r="BAP54" s="188"/>
      <c r="BAQ54" s="188"/>
      <c r="BAR54" s="188"/>
      <c r="BAS54" s="188"/>
      <c r="BAT54" s="188"/>
      <c r="BAU54" s="188"/>
      <c r="BAV54" s="188"/>
      <c r="BAW54" s="188"/>
      <c r="BAX54" s="188"/>
      <c r="BAY54" s="188"/>
      <c r="BAZ54" s="188"/>
      <c r="BBA54" s="188"/>
      <c r="BBB54" s="188"/>
      <c r="BBC54" s="188"/>
      <c r="BBD54" s="188"/>
      <c r="BBE54" s="188"/>
      <c r="BBF54" s="188"/>
      <c r="BBG54" s="188"/>
      <c r="BBH54" s="188"/>
      <c r="BBI54" s="188"/>
      <c r="BBJ54" s="188"/>
      <c r="BBK54" s="188"/>
      <c r="BBL54" s="188"/>
      <c r="BBM54" s="188"/>
      <c r="BBN54" s="188"/>
      <c r="BBO54" s="188"/>
      <c r="BBP54" s="188"/>
      <c r="BBQ54" s="188"/>
      <c r="BBR54" s="188"/>
      <c r="BBS54" s="188"/>
      <c r="BBT54" s="188"/>
      <c r="BBU54" s="188"/>
      <c r="BBV54" s="188"/>
      <c r="BBW54" s="188"/>
      <c r="BBX54" s="188"/>
      <c r="BBY54" s="188"/>
      <c r="BBZ54" s="188"/>
      <c r="BCA54" s="188"/>
      <c r="BCB54" s="188"/>
      <c r="BCC54" s="188"/>
      <c r="BCD54" s="188"/>
      <c r="BCE54" s="188"/>
      <c r="BCF54" s="188"/>
      <c r="BCG54" s="188"/>
      <c r="BCH54" s="188"/>
      <c r="BCI54" s="188"/>
      <c r="BCJ54" s="188"/>
      <c r="BCK54" s="188"/>
      <c r="BCL54" s="188"/>
      <c r="BCM54" s="188"/>
      <c r="BCN54" s="188"/>
      <c r="BCO54" s="188"/>
      <c r="BCP54" s="188"/>
      <c r="BCQ54" s="188"/>
      <c r="BCR54" s="188"/>
      <c r="BCS54" s="188"/>
      <c r="BCT54" s="188"/>
      <c r="BCU54" s="188"/>
      <c r="BCV54" s="188"/>
      <c r="BCW54" s="188"/>
      <c r="BCX54" s="188"/>
      <c r="BCY54" s="188"/>
      <c r="BCZ54" s="188"/>
      <c r="BDA54" s="188"/>
      <c r="BDB54" s="188"/>
      <c r="BDC54" s="188"/>
      <c r="BDD54" s="188"/>
      <c r="BDE54" s="188"/>
      <c r="BDF54" s="188"/>
      <c r="BDG54" s="188"/>
      <c r="BDH54" s="188"/>
      <c r="BDI54" s="188"/>
      <c r="BDJ54" s="188"/>
      <c r="BDK54" s="188"/>
      <c r="BDL54" s="188"/>
      <c r="BDM54" s="188"/>
      <c r="BDN54" s="188"/>
      <c r="BDO54" s="188"/>
      <c r="BDP54" s="188"/>
      <c r="BDQ54" s="188"/>
      <c r="BDR54" s="188"/>
      <c r="BDS54" s="188"/>
      <c r="BDT54" s="188"/>
      <c r="BDU54" s="188"/>
      <c r="BDV54" s="188"/>
      <c r="BDW54" s="188"/>
      <c r="BDX54" s="188"/>
      <c r="BDY54" s="188"/>
      <c r="BDZ54" s="188"/>
      <c r="BEA54" s="188"/>
      <c r="BEB54" s="188"/>
      <c r="BEC54" s="188"/>
      <c r="BED54" s="188"/>
      <c r="BEE54" s="188"/>
      <c r="BEF54" s="188"/>
      <c r="BEG54" s="188"/>
      <c r="BEH54" s="188"/>
      <c r="BEI54" s="188"/>
      <c r="BEJ54" s="188"/>
      <c r="BEK54" s="188"/>
      <c r="BEL54" s="188"/>
      <c r="BEM54" s="188"/>
      <c r="BEN54" s="188"/>
      <c r="BEO54" s="188"/>
      <c r="BEP54" s="188"/>
      <c r="BEQ54" s="188"/>
      <c r="BER54" s="188"/>
      <c r="BES54" s="188"/>
      <c r="BET54" s="188"/>
      <c r="BEU54" s="188"/>
      <c r="BEV54" s="188"/>
      <c r="BEW54" s="188"/>
      <c r="BEX54" s="188"/>
      <c r="BEY54" s="188"/>
      <c r="BEZ54" s="188"/>
      <c r="BFA54" s="188"/>
      <c r="BFB54" s="188"/>
      <c r="BFC54" s="188"/>
      <c r="BFD54" s="188"/>
      <c r="BFE54" s="188"/>
      <c r="BFF54" s="188"/>
      <c r="BFG54" s="188"/>
      <c r="BFH54" s="188"/>
      <c r="BFI54" s="188"/>
      <c r="BFJ54" s="188"/>
      <c r="BFK54" s="188"/>
      <c r="BFL54" s="188"/>
      <c r="BFM54" s="188"/>
      <c r="BFN54" s="188"/>
      <c r="BFO54" s="188"/>
      <c r="BFP54" s="188"/>
      <c r="BFQ54" s="188"/>
      <c r="BFR54" s="188"/>
      <c r="BFS54" s="188"/>
      <c r="BFT54" s="188"/>
      <c r="BFU54" s="188"/>
      <c r="BFV54" s="188"/>
      <c r="BFW54" s="188"/>
      <c r="BFX54" s="188"/>
      <c r="BFY54" s="188"/>
      <c r="BFZ54" s="188"/>
      <c r="BGA54" s="188"/>
      <c r="BGB54" s="188"/>
      <c r="BGC54" s="188"/>
      <c r="BGD54" s="188"/>
      <c r="BGE54" s="188"/>
      <c r="BGF54" s="188"/>
      <c r="BGG54" s="188"/>
      <c r="BGH54" s="188"/>
      <c r="BGI54" s="188"/>
      <c r="BGJ54" s="188"/>
      <c r="BGK54" s="188"/>
      <c r="BGL54" s="188"/>
      <c r="BGM54" s="188"/>
      <c r="BGN54" s="188"/>
      <c r="BGO54" s="188"/>
      <c r="BGP54" s="188"/>
      <c r="BGQ54" s="188"/>
      <c r="BGR54" s="188"/>
      <c r="BGS54" s="188"/>
      <c r="BGT54" s="188"/>
      <c r="BGU54" s="188"/>
      <c r="BGV54" s="188"/>
      <c r="BGW54" s="188"/>
      <c r="BGX54" s="188"/>
      <c r="BGY54" s="188"/>
      <c r="BGZ54" s="188"/>
      <c r="BHA54" s="188"/>
      <c r="BHB54" s="188"/>
      <c r="BHC54" s="188"/>
      <c r="BHD54" s="188"/>
      <c r="BHE54" s="188"/>
      <c r="BHF54" s="188"/>
      <c r="BHG54" s="188"/>
      <c r="BHH54" s="188"/>
      <c r="BHI54" s="188"/>
      <c r="BHJ54" s="188"/>
      <c r="BHK54" s="188"/>
      <c r="BHL54" s="188"/>
      <c r="BHM54" s="188"/>
      <c r="BHN54" s="188"/>
      <c r="BHO54" s="188"/>
      <c r="BHP54" s="188"/>
      <c r="BHQ54" s="188"/>
      <c r="BHR54" s="188"/>
      <c r="BHS54" s="188"/>
      <c r="BHT54" s="188"/>
      <c r="BHU54" s="188"/>
      <c r="BHV54" s="188"/>
      <c r="BHW54" s="188"/>
      <c r="BHX54" s="188"/>
      <c r="BHY54" s="188"/>
      <c r="BHZ54" s="188"/>
      <c r="BIA54" s="188"/>
      <c r="BIB54" s="188"/>
      <c r="BIC54" s="188"/>
      <c r="BID54" s="188"/>
      <c r="BIE54" s="188"/>
      <c r="BIF54" s="188"/>
      <c r="BIG54" s="188"/>
      <c r="BIH54" s="188"/>
      <c r="BII54" s="188"/>
      <c r="BIJ54" s="188"/>
      <c r="BIK54" s="188"/>
      <c r="BIL54" s="188"/>
      <c r="BIM54" s="188"/>
      <c r="BIN54" s="188"/>
      <c r="BIO54" s="188"/>
      <c r="BIP54" s="188"/>
      <c r="BIQ54" s="188"/>
      <c r="BIR54" s="188"/>
      <c r="BIS54" s="188"/>
      <c r="BIT54" s="188"/>
      <c r="BIU54" s="188"/>
      <c r="BIV54" s="188"/>
      <c r="BIW54" s="188"/>
      <c r="BIX54" s="188"/>
      <c r="BIY54" s="188"/>
      <c r="BIZ54" s="188"/>
      <c r="BJA54" s="188"/>
      <c r="BJB54" s="188"/>
      <c r="BJC54" s="188"/>
      <c r="BJD54" s="188"/>
      <c r="BJE54" s="188"/>
      <c r="BJF54" s="188"/>
      <c r="BJG54" s="188"/>
      <c r="BJH54" s="188"/>
      <c r="BJI54" s="188"/>
      <c r="BJJ54" s="188"/>
      <c r="BJK54" s="188"/>
      <c r="BJL54" s="188"/>
      <c r="BJM54" s="188"/>
      <c r="BJN54" s="188"/>
      <c r="BJO54" s="188"/>
      <c r="BJP54" s="188"/>
      <c r="BJQ54" s="188"/>
      <c r="BJR54" s="188"/>
      <c r="BJS54" s="188"/>
      <c r="BJT54" s="188"/>
      <c r="BJU54" s="188"/>
      <c r="BJV54" s="188"/>
      <c r="BJW54" s="188"/>
      <c r="BJX54" s="188"/>
      <c r="BJY54" s="188"/>
      <c r="BJZ54" s="188"/>
      <c r="BKA54" s="188"/>
      <c r="BKB54" s="188"/>
      <c r="BKC54" s="188"/>
      <c r="BKD54" s="188"/>
      <c r="BKE54" s="188"/>
      <c r="BKF54" s="188"/>
      <c r="BKG54" s="188"/>
      <c r="BKH54" s="188"/>
      <c r="BKI54" s="188"/>
      <c r="BKJ54" s="188"/>
      <c r="BKK54" s="188"/>
      <c r="BKL54" s="188"/>
      <c r="BKM54" s="188"/>
      <c r="BKN54" s="188"/>
    </row>
    <row r="55" spans="1:1652" s="21" customFormat="1" x14ac:dyDescent="0.3">
      <c r="A55" s="171"/>
      <c r="B55" s="189"/>
      <c r="C55" s="189"/>
      <c r="D55" s="189"/>
      <c r="E55" s="189"/>
      <c r="F55" s="189"/>
      <c r="G55" s="189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188"/>
      <c r="AE55" s="188"/>
      <c r="AF55" s="188"/>
      <c r="AG55" s="188"/>
      <c r="AH55" s="188"/>
      <c r="AI55" s="188"/>
      <c r="AJ55" s="188"/>
      <c r="AK55" s="188"/>
      <c r="AL55" s="188"/>
      <c r="AM55" s="188"/>
      <c r="AN55" s="188"/>
      <c r="AO55" s="188"/>
      <c r="AP55" s="188"/>
      <c r="AQ55" s="188"/>
      <c r="AR55" s="188"/>
      <c r="AS55" s="188"/>
      <c r="AT55" s="189"/>
      <c r="AU55" s="189"/>
      <c r="AV55" s="189"/>
      <c r="AW55" s="189"/>
      <c r="AX55" s="189"/>
      <c r="AY55" s="189"/>
      <c r="AZ55" s="189"/>
      <c r="BA55" s="189"/>
      <c r="BB55" s="189"/>
      <c r="BC55" s="189"/>
      <c r="BD55" s="189"/>
      <c r="BE55" s="188"/>
      <c r="BF55" s="188"/>
      <c r="BG55" s="188"/>
      <c r="BH55" s="188"/>
      <c r="BI55" s="188"/>
      <c r="BJ55" s="188"/>
      <c r="BK55" s="188"/>
      <c r="BL55" s="188"/>
      <c r="BM55" s="188"/>
      <c r="BN55" s="188"/>
      <c r="BO55" s="188"/>
      <c r="BP55" s="188"/>
      <c r="BQ55" s="188"/>
      <c r="BR55" s="188"/>
      <c r="BS55" s="188"/>
      <c r="BT55" s="188"/>
      <c r="BU55" s="188"/>
      <c r="BV55" s="188"/>
      <c r="BW55" s="188"/>
      <c r="BX55" s="188"/>
      <c r="BY55" s="188"/>
      <c r="BZ55" s="188"/>
      <c r="CA55" s="188"/>
      <c r="CB55" s="188"/>
      <c r="CC55" s="188"/>
      <c r="CD55" s="188"/>
      <c r="CE55" s="188"/>
      <c r="CF55" s="188"/>
      <c r="CG55" s="188"/>
      <c r="CH55" s="188"/>
      <c r="CI55" s="188"/>
      <c r="CJ55" s="188"/>
      <c r="CK55" s="188"/>
      <c r="CL55" s="188"/>
      <c r="CM55" s="188"/>
      <c r="CN55" s="188"/>
      <c r="CO55" s="188"/>
      <c r="CP55" s="188"/>
      <c r="CQ55" s="188"/>
      <c r="CR55" s="188"/>
      <c r="CS55" s="188"/>
      <c r="CT55" s="188"/>
      <c r="CU55" s="188"/>
      <c r="CV55" s="188"/>
      <c r="CW55" s="188"/>
      <c r="CX55" s="188"/>
      <c r="CY55" s="188"/>
      <c r="CZ55" s="188"/>
      <c r="DA55" s="188"/>
      <c r="DB55" s="188"/>
      <c r="DC55" s="188"/>
      <c r="DD55" s="188"/>
      <c r="DE55" s="188"/>
      <c r="DF55" s="188"/>
      <c r="DG55" s="188"/>
      <c r="DH55" s="188"/>
      <c r="DI55" s="188"/>
      <c r="DJ55" s="188"/>
      <c r="DK55" s="188"/>
      <c r="DL55" s="188"/>
      <c r="DM55" s="188"/>
      <c r="DN55" s="188"/>
      <c r="DO55" s="188"/>
      <c r="DP55" s="188"/>
      <c r="DQ55" s="188"/>
      <c r="DR55" s="188"/>
      <c r="DS55" s="188"/>
      <c r="DT55" s="188"/>
      <c r="DU55" s="188"/>
      <c r="DV55" s="188"/>
      <c r="DW55" s="188"/>
      <c r="DX55" s="188"/>
      <c r="DY55" s="188"/>
      <c r="DZ55" s="188"/>
      <c r="EA55" s="188"/>
      <c r="EB55" s="188"/>
      <c r="EC55" s="188"/>
      <c r="ED55" s="188"/>
      <c r="EE55" s="188"/>
      <c r="EF55" s="188"/>
      <c r="EG55" s="188"/>
      <c r="EH55" s="188"/>
      <c r="EI55" s="188"/>
      <c r="EJ55" s="188"/>
      <c r="EK55" s="188"/>
      <c r="EL55" s="188"/>
      <c r="EM55" s="188"/>
      <c r="EN55" s="188"/>
      <c r="EO55" s="188"/>
      <c r="EP55" s="188"/>
      <c r="EQ55" s="188"/>
      <c r="ER55" s="188"/>
      <c r="ES55" s="188"/>
      <c r="ET55" s="188"/>
      <c r="EU55" s="188"/>
      <c r="EV55" s="188"/>
      <c r="EW55" s="188"/>
      <c r="EX55" s="188"/>
      <c r="EY55" s="188"/>
      <c r="EZ55" s="188"/>
      <c r="FA55" s="188"/>
      <c r="FB55" s="188"/>
      <c r="FC55" s="188"/>
      <c r="FD55" s="188"/>
      <c r="FE55" s="188"/>
      <c r="FF55" s="188"/>
      <c r="FG55" s="188"/>
      <c r="FH55" s="188"/>
      <c r="FI55" s="188"/>
      <c r="FJ55" s="188"/>
      <c r="FK55" s="188"/>
      <c r="FL55" s="188"/>
      <c r="FM55" s="188"/>
      <c r="FN55" s="188"/>
      <c r="FO55" s="188"/>
      <c r="FP55" s="188"/>
      <c r="FQ55" s="188"/>
      <c r="FR55" s="188"/>
      <c r="FS55" s="188"/>
      <c r="FT55" s="188"/>
      <c r="FU55" s="188"/>
      <c r="FV55" s="188"/>
      <c r="FW55" s="188"/>
      <c r="FX55" s="188"/>
      <c r="FY55" s="188"/>
      <c r="FZ55" s="188"/>
      <c r="GA55" s="188"/>
      <c r="GB55" s="188"/>
      <c r="GC55" s="188"/>
      <c r="GD55" s="188"/>
      <c r="GE55" s="188"/>
      <c r="GF55" s="188"/>
      <c r="GG55" s="188"/>
      <c r="GH55" s="188"/>
      <c r="GI55" s="188"/>
      <c r="GJ55" s="188"/>
      <c r="GK55" s="188"/>
      <c r="GL55" s="188"/>
      <c r="GM55" s="188"/>
      <c r="GN55" s="188"/>
      <c r="GO55" s="188"/>
      <c r="GP55" s="188"/>
      <c r="GQ55" s="188"/>
      <c r="GR55" s="188"/>
      <c r="GS55" s="188"/>
      <c r="GT55" s="188"/>
      <c r="GU55" s="188"/>
      <c r="GV55" s="188"/>
      <c r="GW55" s="188"/>
      <c r="GX55" s="188"/>
      <c r="GY55" s="188"/>
      <c r="GZ55" s="188"/>
      <c r="HA55" s="188"/>
      <c r="HB55" s="188"/>
      <c r="HC55" s="188"/>
      <c r="HD55" s="188"/>
      <c r="HE55" s="188"/>
      <c r="HF55" s="188"/>
      <c r="HG55" s="188"/>
      <c r="HH55" s="188"/>
      <c r="HI55" s="188"/>
      <c r="HJ55" s="188"/>
      <c r="HK55" s="188"/>
      <c r="HL55" s="188"/>
      <c r="HM55" s="188"/>
      <c r="HN55" s="188"/>
      <c r="HO55" s="188"/>
      <c r="HP55" s="188"/>
      <c r="HQ55" s="188"/>
      <c r="HR55" s="188"/>
      <c r="HS55" s="188"/>
      <c r="HT55" s="188"/>
      <c r="HU55" s="188"/>
      <c r="HV55" s="188"/>
      <c r="HW55" s="188"/>
      <c r="HX55" s="188"/>
      <c r="HY55" s="188"/>
      <c r="HZ55" s="188"/>
      <c r="IA55" s="188"/>
      <c r="IB55" s="188"/>
      <c r="IC55" s="188"/>
      <c r="ID55" s="188"/>
      <c r="IE55" s="188"/>
      <c r="IF55" s="188"/>
      <c r="IG55" s="188"/>
      <c r="IH55" s="188"/>
      <c r="II55" s="188"/>
      <c r="IJ55" s="188"/>
      <c r="IK55" s="188"/>
      <c r="IL55" s="188"/>
      <c r="IM55" s="188"/>
      <c r="IN55" s="188"/>
      <c r="IO55" s="188"/>
      <c r="IP55" s="188"/>
      <c r="IQ55" s="188"/>
      <c r="IR55" s="188"/>
      <c r="IS55" s="188"/>
      <c r="IT55" s="188"/>
      <c r="IU55" s="188"/>
      <c r="IV55" s="188"/>
      <c r="IW55" s="188"/>
      <c r="IX55" s="188"/>
      <c r="IY55" s="188"/>
      <c r="IZ55" s="188"/>
      <c r="JA55" s="188"/>
      <c r="JB55" s="188"/>
      <c r="JC55" s="188"/>
      <c r="JD55" s="188"/>
      <c r="JE55" s="188"/>
      <c r="JF55" s="188"/>
      <c r="JG55" s="188"/>
      <c r="JH55" s="188"/>
      <c r="JI55" s="188"/>
      <c r="JJ55" s="188"/>
      <c r="JK55" s="188"/>
      <c r="JL55" s="188"/>
      <c r="JM55" s="188"/>
      <c r="JN55" s="188"/>
      <c r="JO55" s="188"/>
      <c r="JP55" s="188"/>
      <c r="JQ55" s="188"/>
      <c r="JR55" s="188"/>
      <c r="JS55" s="188"/>
      <c r="JT55" s="188"/>
      <c r="JU55" s="188"/>
      <c r="JV55" s="188"/>
      <c r="JW55" s="188"/>
      <c r="JX55" s="188"/>
      <c r="JY55" s="188"/>
      <c r="JZ55" s="188"/>
      <c r="KA55" s="188"/>
      <c r="KB55" s="188"/>
      <c r="KC55" s="188"/>
      <c r="KD55" s="188"/>
      <c r="KE55" s="188"/>
      <c r="KF55" s="188"/>
      <c r="KG55" s="188"/>
      <c r="KH55" s="188"/>
      <c r="KI55" s="188"/>
      <c r="KJ55" s="188"/>
      <c r="KK55" s="188"/>
      <c r="KL55" s="188"/>
      <c r="KM55" s="188"/>
      <c r="KN55" s="188"/>
      <c r="KO55" s="188"/>
      <c r="KP55" s="188"/>
      <c r="KQ55" s="188"/>
      <c r="KR55" s="188"/>
      <c r="KS55" s="188"/>
      <c r="KT55" s="188"/>
      <c r="KU55" s="188"/>
      <c r="KV55" s="188"/>
      <c r="KW55" s="188"/>
      <c r="KX55" s="188"/>
      <c r="KY55" s="188"/>
      <c r="KZ55" s="188"/>
      <c r="LA55" s="188"/>
      <c r="LB55" s="188"/>
      <c r="LC55" s="188"/>
      <c r="LD55" s="188"/>
      <c r="LE55" s="188"/>
      <c r="LF55" s="188"/>
      <c r="LG55" s="188"/>
      <c r="LH55" s="188"/>
      <c r="LI55" s="188"/>
      <c r="LJ55" s="188"/>
      <c r="LK55" s="188"/>
      <c r="LL55" s="188"/>
      <c r="LM55" s="188"/>
      <c r="LN55" s="188"/>
      <c r="LO55" s="188"/>
      <c r="LP55" s="188"/>
      <c r="LQ55" s="188"/>
      <c r="LR55" s="188"/>
      <c r="LS55" s="188"/>
      <c r="LT55" s="188"/>
      <c r="LU55" s="188"/>
      <c r="LV55" s="188"/>
      <c r="LW55" s="188"/>
      <c r="LX55" s="188"/>
      <c r="LY55" s="188"/>
      <c r="LZ55" s="188"/>
      <c r="MA55" s="188"/>
      <c r="MB55" s="188"/>
      <c r="MC55" s="188"/>
      <c r="MD55" s="188"/>
      <c r="ME55" s="188"/>
      <c r="MF55" s="188"/>
      <c r="MG55" s="188"/>
      <c r="MH55" s="188"/>
      <c r="MI55" s="188"/>
      <c r="MJ55" s="188"/>
      <c r="MK55" s="188"/>
      <c r="ML55" s="188"/>
      <c r="MM55" s="188"/>
      <c r="MN55" s="188"/>
      <c r="MO55" s="188"/>
      <c r="MP55" s="188"/>
      <c r="MQ55" s="188"/>
      <c r="MR55" s="188"/>
      <c r="MS55" s="188"/>
      <c r="MT55" s="188"/>
      <c r="MU55" s="188"/>
      <c r="MV55" s="188"/>
      <c r="MW55" s="188"/>
      <c r="MX55" s="188"/>
      <c r="MY55" s="188"/>
      <c r="MZ55" s="188"/>
      <c r="NA55" s="188"/>
      <c r="NB55" s="188"/>
      <c r="NC55" s="188"/>
      <c r="ND55" s="188"/>
      <c r="NE55" s="188"/>
      <c r="NF55" s="188"/>
      <c r="NG55" s="188"/>
      <c r="NH55" s="188"/>
      <c r="NI55" s="188"/>
      <c r="NJ55" s="188"/>
      <c r="NK55" s="188"/>
      <c r="NL55" s="188"/>
      <c r="NM55" s="188"/>
      <c r="NN55" s="188"/>
      <c r="NO55" s="188"/>
      <c r="NP55" s="188"/>
      <c r="NQ55" s="188"/>
      <c r="NR55" s="188"/>
      <c r="NS55" s="188"/>
      <c r="NT55" s="188"/>
      <c r="NU55" s="188"/>
      <c r="NV55" s="188"/>
      <c r="NW55" s="188"/>
      <c r="NX55" s="188"/>
      <c r="NY55" s="188"/>
      <c r="NZ55" s="188"/>
      <c r="OA55" s="188"/>
      <c r="OB55" s="188"/>
      <c r="OC55" s="188"/>
      <c r="OD55" s="188"/>
      <c r="OE55" s="188"/>
      <c r="OF55" s="188"/>
      <c r="OG55" s="188"/>
      <c r="OH55" s="188"/>
      <c r="OI55" s="188"/>
      <c r="OJ55" s="188"/>
      <c r="OK55" s="188"/>
      <c r="OL55" s="188"/>
      <c r="OM55" s="188"/>
      <c r="ON55" s="188"/>
      <c r="OO55" s="188"/>
      <c r="OP55" s="188"/>
      <c r="OQ55" s="188"/>
      <c r="OR55" s="188"/>
      <c r="OS55" s="188"/>
      <c r="OT55" s="188"/>
      <c r="OU55" s="188"/>
      <c r="OV55" s="188"/>
      <c r="OW55" s="188"/>
      <c r="OX55" s="188"/>
      <c r="OY55" s="188"/>
      <c r="OZ55" s="188"/>
      <c r="PA55" s="188"/>
      <c r="PB55" s="188"/>
      <c r="PC55" s="188"/>
      <c r="PD55" s="188"/>
      <c r="PE55" s="188"/>
      <c r="PF55" s="188"/>
      <c r="PG55" s="188"/>
      <c r="PH55" s="188"/>
      <c r="PI55" s="188"/>
      <c r="PJ55" s="188"/>
      <c r="PK55" s="188"/>
      <c r="PL55" s="188"/>
      <c r="PM55" s="188"/>
      <c r="PN55" s="188"/>
      <c r="PO55" s="188"/>
      <c r="PP55" s="188"/>
      <c r="PQ55" s="188"/>
      <c r="PR55" s="188"/>
      <c r="PS55" s="188"/>
      <c r="PT55" s="188"/>
      <c r="PU55" s="188"/>
      <c r="PV55" s="188"/>
      <c r="PW55" s="188"/>
      <c r="PX55" s="188"/>
      <c r="PY55" s="188"/>
      <c r="PZ55" s="188"/>
      <c r="QA55" s="188"/>
      <c r="QB55" s="188"/>
      <c r="QC55" s="188"/>
      <c r="QD55" s="188"/>
      <c r="QE55" s="188"/>
      <c r="QF55" s="188"/>
      <c r="QG55" s="188"/>
      <c r="QH55" s="188"/>
      <c r="QI55" s="188"/>
      <c r="QJ55" s="188"/>
      <c r="QK55" s="188"/>
      <c r="QL55" s="188"/>
      <c r="QM55" s="188"/>
      <c r="QN55" s="188"/>
      <c r="QO55" s="188"/>
      <c r="QP55" s="188"/>
      <c r="QQ55" s="188"/>
      <c r="QR55" s="188"/>
      <c r="QS55" s="188"/>
      <c r="QT55" s="188"/>
      <c r="QU55" s="188"/>
      <c r="QV55" s="188"/>
      <c r="QW55" s="188"/>
      <c r="QX55" s="188"/>
      <c r="QY55" s="188"/>
      <c r="QZ55" s="188"/>
      <c r="RA55" s="188"/>
      <c r="RB55" s="188"/>
      <c r="RC55" s="188"/>
      <c r="RD55" s="188"/>
      <c r="RE55" s="188"/>
      <c r="RF55" s="188"/>
      <c r="RG55" s="188"/>
      <c r="RH55" s="188"/>
      <c r="RI55" s="188"/>
      <c r="RJ55" s="188"/>
      <c r="RK55" s="188"/>
      <c r="RL55" s="188"/>
      <c r="RM55" s="188"/>
      <c r="RN55" s="188"/>
      <c r="RO55" s="188"/>
      <c r="RP55" s="188"/>
      <c r="RQ55" s="188"/>
      <c r="RR55" s="188"/>
      <c r="RS55" s="188"/>
      <c r="RT55" s="188"/>
      <c r="RU55" s="188"/>
      <c r="RV55" s="188"/>
      <c r="RW55" s="188"/>
      <c r="RX55" s="188"/>
      <c r="RY55" s="188"/>
      <c r="RZ55" s="188"/>
      <c r="SA55" s="188"/>
      <c r="SB55" s="188"/>
      <c r="SC55" s="188"/>
      <c r="SD55" s="188"/>
      <c r="SE55" s="188"/>
      <c r="SF55" s="188"/>
      <c r="SG55" s="188"/>
      <c r="SH55" s="188"/>
      <c r="SI55" s="188"/>
      <c r="SJ55" s="188"/>
      <c r="SK55" s="188"/>
      <c r="SL55" s="188"/>
      <c r="SM55" s="188"/>
      <c r="SN55" s="188"/>
      <c r="SO55" s="188"/>
      <c r="SP55" s="188"/>
      <c r="SQ55" s="188"/>
      <c r="SR55" s="188"/>
      <c r="SS55" s="188"/>
      <c r="ST55" s="188"/>
      <c r="SU55" s="188"/>
      <c r="SV55" s="188"/>
      <c r="SW55" s="188"/>
      <c r="SX55" s="188"/>
      <c r="SY55" s="188"/>
      <c r="SZ55" s="188"/>
      <c r="TA55" s="188"/>
      <c r="TB55" s="188"/>
      <c r="TC55" s="188"/>
      <c r="TD55" s="188"/>
      <c r="TE55" s="188"/>
      <c r="TF55" s="188"/>
      <c r="TG55" s="188"/>
      <c r="TH55" s="188"/>
      <c r="TI55" s="188"/>
      <c r="TJ55" s="188"/>
      <c r="TK55" s="188"/>
      <c r="TL55" s="188"/>
      <c r="TM55" s="188"/>
      <c r="TN55" s="188"/>
      <c r="TO55" s="188"/>
      <c r="TP55" s="188"/>
      <c r="TQ55" s="188"/>
      <c r="TR55" s="188"/>
      <c r="TS55" s="188"/>
      <c r="TT55" s="188"/>
      <c r="TU55" s="188"/>
      <c r="TV55" s="188"/>
      <c r="TW55" s="188"/>
      <c r="TX55" s="188"/>
      <c r="TY55" s="188"/>
      <c r="TZ55" s="188"/>
      <c r="UA55" s="188"/>
      <c r="UB55" s="188"/>
      <c r="UC55" s="188"/>
      <c r="UD55" s="188"/>
      <c r="UE55" s="188"/>
      <c r="UF55" s="188"/>
      <c r="UG55" s="188"/>
      <c r="UH55" s="188"/>
      <c r="UI55" s="188"/>
      <c r="UJ55" s="188"/>
      <c r="UK55" s="188"/>
      <c r="UL55" s="188"/>
      <c r="UM55" s="188"/>
      <c r="UN55" s="188"/>
      <c r="UO55" s="188"/>
      <c r="UP55" s="188"/>
      <c r="UQ55" s="188"/>
      <c r="UR55" s="188"/>
      <c r="US55" s="188"/>
      <c r="UT55" s="188"/>
      <c r="UU55" s="188"/>
      <c r="UV55" s="188"/>
      <c r="UW55" s="188"/>
      <c r="UX55" s="188"/>
      <c r="UY55" s="188"/>
      <c r="UZ55" s="188"/>
      <c r="VA55" s="188"/>
      <c r="VB55" s="188"/>
      <c r="VC55" s="188"/>
      <c r="VD55" s="188"/>
      <c r="VE55" s="188"/>
      <c r="VF55" s="188"/>
      <c r="VG55" s="188"/>
      <c r="VH55" s="188"/>
      <c r="VI55" s="188"/>
      <c r="VJ55" s="188"/>
      <c r="VK55" s="188"/>
      <c r="VL55" s="188"/>
      <c r="VM55" s="188"/>
      <c r="VN55" s="188"/>
      <c r="VO55" s="188"/>
      <c r="VP55" s="188"/>
      <c r="VQ55" s="188"/>
      <c r="VR55" s="188"/>
      <c r="VS55" s="188"/>
      <c r="VT55" s="188"/>
      <c r="VU55" s="188"/>
      <c r="VV55" s="188"/>
      <c r="VW55" s="188"/>
      <c r="VX55" s="188"/>
      <c r="VY55" s="188"/>
      <c r="VZ55" s="188"/>
      <c r="WA55" s="188"/>
      <c r="WB55" s="188"/>
      <c r="WC55" s="188"/>
      <c r="WD55" s="188"/>
      <c r="WE55" s="188"/>
      <c r="WF55" s="188"/>
      <c r="WG55" s="188"/>
      <c r="WH55" s="188"/>
      <c r="WI55" s="188"/>
      <c r="WJ55" s="188"/>
      <c r="WK55" s="188"/>
      <c r="WL55" s="188"/>
      <c r="WM55" s="188"/>
      <c r="WN55" s="188"/>
      <c r="WO55" s="188"/>
      <c r="WP55" s="188"/>
      <c r="WQ55" s="188"/>
      <c r="WR55" s="188"/>
      <c r="WS55" s="188"/>
      <c r="WT55" s="188"/>
      <c r="WU55" s="188"/>
      <c r="WV55" s="188"/>
      <c r="WW55" s="188"/>
      <c r="WX55" s="188"/>
      <c r="WY55" s="188"/>
      <c r="WZ55" s="188"/>
      <c r="XA55" s="188"/>
      <c r="XB55" s="188"/>
      <c r="XC55" s="188"/>
      <c r="XD55" s="188"/>
      <c r="XE55" s="188"/>
      <c r="XF55" s="188"/>
      <c r="XG55" s="188"/>
      <c r="XH55" s="188"/>
      <c r="XI55" s="188"/>
      <c r="XJ55" s="188"/>
      <c r="XK55" s="188"/>
      <c r="XL55" s="188"/>
      <c r="XM55" s="188"/>
      <c r="XN55" s="188"/>
      <c r="XO55" s="188"/>
      <c r="XP55" s="188"/>
      <c r="XQ55" s="188"/>
      <c r="XR55" s="188"/>
      <c r="XS55" s="188"/>
      <c r="XT55" s="188"/>
      <c r="XU55" s="188"/>
      <c r="XV55" s="188"/>
      <c r="XW55" s="188"/>
      <c r="XX55" s="188"/>
      <c r="XY55" s="188"/>
      <c r="XZ55" s="188"/>
      <c r="YA55" s="188"/>
      <c r="YB55" s="188"/>
      <c r="YC55" s="188"/>
      <c r="YD55" s="188"/>
      <c r="YE55" s="188"/>
      <c r="YF55" s="188"/>
      <c r="YG55" s="188"/>
      <c r="YH55" s="188"/>
      <c r="YI55" s="188"/>
      <c r="YJ55" s="188"/>
      <c r="YK55" s="188"/>
      <c r="YL55" s="188"/>
      <c r="YM55" s="188"/>
      <c r="YN55" s="188"/>
      <c r="YO55" s="188"/>
      <c r="YP55" s="188"/>
      <c r="YQ55" s="188"/>
      <c r="YR55" s="188"/>
      <c r="YS55" s="188"/>
      <c r="YT55" s="188"/>
      <c r="YU55" s="188"/>
      <c r="YV55" s="188"/>
      <c r="YW55" s="188"/>
      <c r="YX55" s="188"/>
      <c r="YY55" s="188"/>
      <c r="YZ55" s="188"/>
      <c r="ZA55" s="188"/>
      <c r="ZB55" s="188"/>
      <c r="ZC55" s="188"/>
      <c r="ZD55" s="188"/>
      <c r="ZE55" s="188"/>
      <c r="ZF55" s="188"/>
      <c r="ZG55" s="188"/>
      <c r="ZH55" s="188"/>
      <c r="ZI55" s="188"/>
      <c r="ZJ55" s="188"/>
      <c r="ZK55" s="188"/>
      <c r="ZL55" s="188"/>
      <c r="ZM55" s="188"/>
      <c r="ZN55" s="188"/>
      <c r="ZO55" s="188"/>
      <c r="ZP55" s="188"/>
      <c r="ZQ55" s="188"/>
      <c r="ZR55" s="188"/>
      <c r="ZS55" s="188"/>
      <c r="ZT55" s="188"/>
      <c r="ZU55" s="188"/>
      <c r="ZV55" s="188"/>
      <c r="ZW55" s="188"/>
      <c r="ZX55" s="188"/>
      <c r="ZY55" s="188"/>
      <c r="ZZ55" s="188"/>
      <c r="AAA55" s="188"/>
      <c r="AAB55" s="188"/>
      <c r="AAC55" s="188"/>
      <c r="AAD55" s="188"/>
      <c r="AAE55" s="188"/>
      <c r="AAF55" s="188"/>
      <c r="AAG55" s="188"/>
      <c r="AAH55" s="188"/>
      <c r="AAI55" s="188"/>
      <c r="AAJ55" s="188"/>
      <c r="AAK55" s="188"/>
      <c r="AAL55" s="188"/>
      <c r="AAM55" s="188"/>
      <c r="AAN55" s="188"/>
      <c r="AAO55" s="188"/>
      <c r="AAP55" s="188"/>
      <c r="AAQ55" s="188"/>
      <c r="AAR55" s="188"/>
      <c r="AAS55" s="188"/>
      <c r="AAT55" s="188"/>
      <c r="AAU55" s="188"/>
      <c r="AAV55" s="188"/>
      <c r="AAW55" s="188"/>
      <c r="AAX55" s="188"/>
      <c r="AAY55" s="188"/>
      <c r="AAZ55" s="188"/>
      <c r="ABA55" s="188"/>
      <c r="ABB55" s="188"/>
      <c r="ABC55" s="188"/>
      <c r="ABD55" s="188"/>
      <c r="ABE55" s="188"/>
      <c r="ABF55" s="188"/>
      <c r="ABG55" s="188"/>
      <c r="ABH55" s="188"/>
      <c r="ABI55" s="188"/>
      <c r="ABJ55" s="188"/>
      <c r="ABK55" s="188"/>
      <c r="ABL55" s="188"/>
      <c r="ABM55" s="188"/>
      <c r="ABN55" s="188"/>
      <c r="ABO55" s="188"/>
      <c r="ABP55" s="188"/>
      <c r="ABQ55" s="188"/>
      <c r="ABR55" s="188"/>
      <c r="ABS55" s="188"/>
      <c r="ABT55" s="188"/>
      <c r="ABU55" s="188"/>
      <c r="ABV55" s="188"/>
      <c r="ABW55" s="188"/>
      <c r="ABX55" s="188"/>
      <c r="ABY55" s="188"/>
      <c r="ABZ55" s="188"/>
      <c r="ACA55" s="188"/>
      <c r="ACB55" s="188"/>
      <c r="ACC55" s="188"/>
      <c r="ACD55" s="188"/>
      <c r="ACE55" s="188"/>
      <c r="ACF55" s="188"/>
      <c r="ACG55" s="188"/>
      <c r="ACH55" s="188"/>
      <c r="ACI55" s="188"/>
      <c r="ACJ55" s="188"/>
      <c r="ACK55" s="188"/>
      <c r="ACL55" s="188"/>
      <c r="ACM55" s="188"/>
      <c r="ACN55" s="188"/>
      <c r="ACO55" s="188"/>
      <c r="ACP55" s="188"/>
      <c r="ACQ55" s="188"/>
      <c r="ACR55" s="188"/>
      <c r="ACS55" s="188"/>
      <c r="ACT55" s="188"/>
      <c r="ACU55" s="188"/>
      <c r="ACV55" s="188"/>
      <c r="ACW55" s="188"/>
      <c r="ACX55" s="188"/>
      <c r="ACY55" s="188"/>
      <c r="ACZ55" s="188"/>
      <c r="ADA55" s="188"/>
      <c r="ADB55" s="188"/>
      <c r="ADC55" s="188"/>
      <c r="ADD55" s="188"/>
      <c r="ADE55" s="188"/>
      <c r="ADF55" s="188"/>
      <c r="ADG55" s="188"/>
      <c r="ADH55" s="188"/>
      <c r="ADI55" s="188"/>
      <c r="ADJ55" s="188"/>
      <c r="ADK55" s="188"/>
      <c r="ADL55" s="188"/>
      <c r="ADM55" s="188"/>
      <c r="ADN55" s="188"/>
      <c r="ADO55" s="188"/>
      <c r="ADP55" s="188"/>
      <c r="ADQ55" s="188"/>
      <c r="ADR55" s="188"/>
      <c r="ADS55" s="188"/>
      <c r="ADT55" s="188"/>
      <c r="ADU55" s="188"/>
      <c r="ADV55" s="188"/>
      <c r="ADW55" s="188"/>
      <c r="ADX55" s="188"/>
      <c r="ADY55" s="188"/>
      <c r="ADZ55" s="188"/>
      <c r="AEA55" s="188"/>
      <c r="AEB55" s="188"/>
      <c r="AEC55" s="188"/>
      <c r="AED55" s="188"/>
      <c r="AEE55" s="188"/>
      <c r="AEF55" s="188"/>
      <c r="AEG55" s="188"/>
      <c r="AEH55" s="188"/>
      <c r="AEI55" s="188"/>
      <c r="AEJ55" s="188"/>
      <c r="AEK55" s="188"/>
      <c r="AEL55" s="188"/>
      <c r="AEM55" s="188"/>
      <c r="AEN55" s="188"/>
      <c r="AEO55" s="188"/>
      <c r="AEP55" s="188"/>
      <c r="AEQ55" s="188"/>
      <c r="AER55" s="188"/>
      <c r="AES55" s="188"/>
      <c r="AET55" s="188"/>
      <c r="AEU55" s="188"/>
      <c r="AEV55" s="188"/>
      <c r="AEW55" s="188"/>
      <c r="AEX55" s="188"/>
      <c r="AEY55" s="188"/>
      <c r="AEZ55" s="188"/>
      <c r="AFA55" s="188"/>
      <c r="AFB55" s="188"/>
      <c r="AFC55" s="188"/>
      <c r="AFD55" s="188"/>
      <c r="AFE55" s="188"/>
      <c r="AFF55" s="188"/>
      <c r="AFG55" s="188"/>
      <c r="AFH55" s="188"/>
      <c r="AFI55" s="188"/>
      <c r="AFJ55" s="188"/>
      <c r="AFK55" s="188"/>
      <c r="AFL55" s="188"/>
      <c r="AFM55" s="188"/>
      <c r="AFN55" s="188"/>
      <c r="AFO55" s="188"/>
      <c r="AFP55" s="188"/>
      <c r="AFQ55" s="188"/>
      <c r="AFR55" s="188"/>
      <c r="AFS55" s="188"/>
      <c r="AFT55" s="188"/>
      <c r="AFU55" s="188"/>
      <c r="AFV55" s="188"/>
      <c r="AFW55" s="188"/>
      <c r="AFX55" s="188"/>
      <c r="AFY55" s="188"/>
      <c r="AFZ55" s="188"/>
      <c r="AGA55" s="188"/>
      <c r="AGB55" s="188"/>
      <c r="AGC55" s="188"/>
      <c r="AGD55" s="188"/>
      <c r="AGE55" s="188"/>
      <c r="AGF55" s="188"/>
      <c r="AGG55" s="188"/>
      <c r="AGH55" s="188"/>
      <c r="AGI55" s="188"/>
      <c r="AGJ55" s="188"/>
      <c r="AGK55" s="188"/>
      <c r="AGL55" s="188"/>
      <c r="AGM55" s="188"/>
      <c r="AGN55" s="188"/>
      <c r="AGO55" s="188"/>
      <c r="AGP55" s="188"/>
      <c r="AGQ55" s="188"/>
      <c r="AGR55" s="188"/>
      <c r="AGS55" s="188"/>
      <c r="AGT55" s="188"/>
      <c r="AGU55" s="188"/>
      <c r="AGV55" s="188"/>
      <c r="AGW55" s="188"/>
      <c r="AGX55" s="188"/>
      <c r="AGY55" s="188"/>
      <c r="AGZ55" s="188"/>
      <c r="AHA55" s="188"/>
      <c r="AHB55" s="188"/>
      <c r="AHC55" s="188"/>
      <c r="AHD55" s="188"/>
      <c r="AHE55" s="188"/>
      <c r="AHF55" s="188"/>
      <c r="AHG55" s="188"/>
      <c r="AHH55" s="188"/>
      <c r="AHI55" s="188"/>
      <c r="AHJ55" s="188"/>
      <c r="AHK55" s="188"/>
      <c r="AHL55" s="188"/>
      <c r="AHM55" s="188"/>
      <c r="AHN55" s="188"/>
      <c r="AHO55" s="188"/>
      <c r="AHP55" s="188"/>
      <c r="AHQ55" s="188"/>
      <c r="AHR55" s="188"/>
      <c r="AHS55" s="188"/>
      <c r="AHT55" s="188"/>
      <c r="AHU55" s="188"/>
      <c r="AHV55" s="188"/>
      <c r="AHW55" s="188"/>
      <c r="AHX55" s="188"/>
      <c r="AHY55" s="188"/>
      <c r="AHZ55" s="188"/>
      <c r="AIA55" s="188"/>
      <c r="AIB55" s="188"/>
      <c r="AIC55" s="188"/>
      <c r="AID55" s="188"/>
      <c r="AIE55" s="188"/>
      <c r="AIF55" s="188"/>
      <c r="AIG55" s="188"/>
      <c r="AIH55" s="188"/>
      <c r="AII55" s="188"/>
      <c r="AIJ55" s="188"/>
      <c r="AIK55" s="188"/>
      <c r="AIL55" s="188"/>
      <c r="AIM55" s="188"/>
      <c r="AIN55" s="188"/>
      <c r="AIO55" s="188"/>
      <c r="AIP55" s="188"/>
      <c r="AIQ55" s="188"/>
      <c r="AIR55" s="188"/>
      <c r="AIS55" s="188"/>
      <c r="AIT55" s="188"/>
      <c r="AIU55" s="188"/>
      <c r="AIV55" s="188"/>
      <c r="AIW55" s="188"/>
      <c r="AIX55" s="188"/>
      <c r="AIY55" s="188"/>
      <c r="AIZ55" s="188"/>
      <c r="AJA55" s="188"/>
      <c r="AJB55" s="188"/>
      <c r="AJC55" s="188"/>
      <c r="AJD55" s="188"/>
      <c r="AJE55" s="188"/>
      <c r="AJF55" s="188"/>
      <c r="AJG55" s="188"/>
      <c r="AJH55" s="188"/>
      <c r="AJI55" s="188"/>
      <c r="AJJ55" s="188"/>
      <c r="AJK55" s="188"/>
      <c r="AJL55" s="188"/>
      <c r="AJM55" s="188"/>
      <c r="AJN55" s="188"/>
      <c r="AJO55" s="188"/>
      <c r="AJP55" s="188"/>
      <c r="AJQ55" s="188"/>
      <c r="AJR55" s="188"/>
      <c r="AJS55" s="188"/>
      <c r="AJT55" s="188"/>
      <c r="AJU55" s="188"/>
      <c r="AJV55" s="188"/>
      <c r="AJW55" s="188"/>
      <c r="AJX55" s="188"/>
      <c r="AJY55" s="188"/>
      <c r="AJZ55" s="188"/>
      <c r="AKA55" s="188"/>
      <c r="AKB55" s="188"/>
      <c r="AKC55" s="188"/>
      <c r="AKD55" s="188"/>
      <c r="AKE55" s="188"/>
      <c r="AKF55" s="188"/>
      <c r="AKG55" s="188"/>
      <c r="AKH55" s="188"/>
      <c r="AKI55" s="188"/>
      <c r="AKJ55" s="188"/>
      <c r="AKK55" s="188"/>
      <c r="AKL55" s="188"/>
      <c r="AKM55" s="188"/>
      <c r="AKN55" s="188"/>
      <c r="AKO55" s="188"/>
      <c r="AKP55" s="188"/>
      <c r="AKQ55" s="188"/>
      <c r="AKR55" s="188"/>
      <c r="AKS55" s="188"/>
      <c r="AKT55" s="188"/>
      <c r="AKU55" s="188"/>
      <c r="AKV55" s="188"/>
      <c r="AKW55" s="188"/>
      <c r="AKX55" s="188"/>
      <c r="AKY55" s="188"/>
      <c r="AKZ55" s="188"/>
      <c r="ALA55" s="188"/>
      <c r="ALB55" s="188"/>
      <c r="ALC55" s="188"/>
      <c r="ALD55" s="188"/>
      <c r="ALE55" s="188"/>
      <c r="ALF55" s="188"/>
      <c r="ALG55" s="188"/>
      <c r="ALH55" s="188"/>
      <c r="ALI55" s="188"/>
      <c r="ALJ55" s="188"/>
      <c r="ALK55" s="188"/>
      <c r="ALL55" s="188"/>
      <c r="ALM55" s="188"/>
      <c r="ALN55" s="188"/>
      <c r="ALO55" s="188"/>
      <c r="ALP55" s="188"/>
      <c r="ALQ55" s="188"/>
      <c r="ALR55" s="188"/>
      <c r="ALS55" s="188"/>
      <c r="ALT55" s="188"/>
      <c r="ALU55" s="188"/>
      <c r="ALV55" s="188"/>
      <c r="ALW55" s="188"/>
      <c r="ALX55" s="188"/>
      <c r="ALY55" s="188"/>
      <c r="ALZ55" s="188"/>
      <c r="AMA55" s="188"/>
      <c r="AMB55" s="188"/>
      <c r="AMC55" s="188"/>
      <c r="AMD55" s="188"/>
      <c r="AME55" s="188"/>
      <c r="AMF55" s="188"/>
      <c r="AMG55" s="188"/>
      <c r="AMH55" s="188"/>
      <c r="AMI55" s="188"/>
      <c r="AMJ55" s="188"/>
      <c r="AMK55" s="188"/>
      <c r="AML55" s="188"/>
      <c r="AMM55" s="188"/>
      <c r="AMN55" s="188"/>
      <c r="AMO55" s="188"/>
      <c r="AMP55" s="188"/>
      <c r="AMQ55" s="188"/>
      <c r="AMR55" s="188"/>
      <c r="AMS55" s="188"/>
      <c r="AMT55" s="188"/>
      <c r="AMU55" s="188"/>
      <c r="AMV55" s="188"/>
      <c r="AMW55" s="188"/>
      <c r="AMX55" s="188"/>
      <c r="AMY55" s="188"/>
      <c r="AMZ55" s="188"/>
      <c r="ANA55" s="188"/>
      <c r="ANB55" s="188"/>
      <c r="ANC55" s="188"/>
      <c r="AND55" s="188"/>
      <c r="ANE55" s="188"/>
      <c r="ANF55" s="188"/>
      <c r="ANG55" s="188"/>
      <c r="ANH55" s="188"/>
      <c r="ANI55" s="188"/>
      <c r="ANJ55" s="188"/>
      <c r="ANK55" s="188"/>
      <c r="ANL55" s="188"/>
      <c r="ANM55" s="188"/>
      <c r="ANN55" s="188"/>
      <c r="ANO55" s="188"/>
      <c r="ANP55" s="188"/>
      <c r="ANQ55" s="188"/>
      <c r="ANR55" s="188"/>
      <c r="ANS55" s="188"/>
      <c r="ANT55" s="188"/>
      <c r="ANU55" s="188"/>
      <c r="ANV55" s="188"/>
      <c r="ANW55" s="188"/>
      <c r="ANX55" s="188"/>
      <c r="ANY55" s="188"/>
      <c r="ANZ55" s="188"/>
      <c r="AOA55" s="188"/>
      <c r="AOB55" s="188"/>
      <c r="AOC55" s="188"/>
      <c r="AOD55" s="188"/>
      <c r="AOE55" s="188"/>
      <c r="AOF55" s="188"/>
      <c r="AOG55" s="188"/>
      <c r="AOH55" s="188"/>
      <c r="AOI55" s="188"/>
      <c r="AOJ55" s="188"/>
      <c r="AOK55" s="188"/>
      <c r="AOL55" s="188"/>
      <c r="AOM55" s="188"/>
      <c r="AON55" s="188"/>
      <c r="AOO55" s="188"/>
      <c r="AOP55" s="188"/>
      <c r="AOQ55" s="188"/>
      <c r="AOR55" s="188"/>
      <c r="AOS55" s="188"/>
      <c r="AOT55" s="188"/>
      <c r="AOU55" s="188"/>
      <c r="AOV55" s="188"/>
      <c r="AOW55" s="188"/>
      <c r="AOX55" s="188"/>
      <c r="AOY55" s="188"/>
      <c r="AOZ55" s="188"/>
      <c r="APA55" s="188"/>
      <c r="APB55" s="188"/>
      <c r="APC55" s="188"/>
      <c r="APD55" s="188"/>
      <c r="APE55" s="188"/>
      <c r="APF55" s="188"/>
      <c r="APG55" s="188"/>
      <c r="APH55" s="188"/>
      <c r="API55" s="188"/>
      <c r="APJ55" s="188"/>
      <c r="APK55" s="188"/>
      <c r="APL55" s="188"/>
      <c r="APM55" s="188"/>
      <c r="APN55" s="188"/>
      <c r="APO55" s="188"/>
      <c r="APP55" s="188"/>
      <c r="APQ55" s="188"/>
      <c r="APR55" s="188"/>
      <c r="APS55" s="188"/>
      <c r="APT55" s="188"/>
      <c r="APU55" s="188"/>
      <c r="APV55" s="188"/>
      <c r="APW55" s="188"/>
      <c r="APX55" s="188"/>
      <c r="APY55" s="188"/>
      <c r="APZ55" s="188"/>
      <c r="AQA55" s="188"/>
      <c r="AQB55" s="188"/>
      <c r="AQC55" s="188"/>
      <c r="AQD55" s="188"/>
      <c r="AQE55" s="188"/>
      <c r="AQF55" s="188"/>
      <c r="AQG55" s="188"/>
      <c r="AQH55" s="188"/>
      <c r="AQI55" s="188"/>
      <c r="AQJ55" s="188"/>
      <c r="AQK55" s="188"/>
      <c r="AQL55" s="188"/>
      <c r="AQM55" s="188"/>
      <c r="AQN55" s="188"/>
      <c r="AQO55" s="188"/>
      <c r="AQP55" s="188"/>
      <c r="AQQ55" s="188"/>
      <c r="AQR55" s="188"/>
      <c r="AQS55" s="188"/>
      <c r="AQT55" s="188"/>
      <c r="AQU55" s="188"/>
      <c r="AQV55" s="188"/>
      <c r="AQW55" s="188"/>
      <c r="AQX55" s="188"/>
      <c r="AQY55" s="188"/>
      <c r="AQZ55" s="188"/>
      <c r="ARA55" s="188"/>
      <c r="ARB55" s="188"/>
      <c r="ARC55" s="188"/>
      <c r="ARD55" s="188"/>
      <c r="ARE55" s="188"/>
      <c r="ARF55" s="188"/>
      <c r="ARG55" s="188"/>
      <c r="ARH55" s="188"/>
      <c r="ARI55" s="188"/>
      <c r="ARJ55" s="188"/>
      <c r="ARK55" s="188"/>
      <c r="ARL55" s="188"/>
      <c r="ARM55" s="188"/>
      <c r="ARN55" s="188"/>
      <c r="ARO55" s="188"/>
      <c r="ARP55" s="188"/>
      <c r="ARQ55" s="188"/>
      <c r="ARR55" s="188"/>
      <c r="ARS55" s="188"/>
      <c r="ART55" s="188"/>
      <c r="ARU55" s="188"/>
      <c r="ARV55" s="188"/>
      <c r="ARW55" s="188"/>
      <c r="ARX55" s="188"/>
      <c r="ARY55" s="188"/>
      <c r="ARZ55" s="188"/>
      <c r="ASA55" s="188"/>
      <c r="ASB55" s="188"/>
      <c r="ASC55" s="188"/>
      <c r="ASD55" s="188"/>
      <c r="ASE55" s="188"/>
      <c r="ASF55" s="188"/>
      <c r="ASG55" s="188"/>
      <c r="ASH55" s="188"/>
      <c r="ASI55" s="188"/>
      <c r="ASJ55" s="188"/>
      <c r="ASK55" s="188"/>
      <c r="ASL55" s="188"/>
      <c r="ASM55" s="188"/>
      <c r="ASN55" s="188"/>
      <c r="ASO55" s="188"/>
      <c r="ASP55" s="188"/>
      <c r="ASQ55" s="188"/>
      <c r="ASR55" s="188"/>
      <c r="ASS55" s="188"/>
      <c r="AST55" s="188"/>
      <c r="ASU55" s="188"/>
      <c r="ASV55" s="188"/>
      <c r="ASW55" s="188"/>
      <c r="ASX55" s="188"/>
      <c r="ASY55" s="188"/>
      <c r="ASZ55" s="188"/>
      <c r="ATA55" s="188"/>
      <c r="ATB55" s="188"/>
      <c r="ATC55" s="188"/>
      <c r="ATD55" s="188"/>
      <c r="ATE55" s="188"/>
      <c r="ATF55" s="188"/>
      <c r="ATG55" s="188"/>
      <c r="ATH55" s="188"/>
      <c r="ATI55" s="188"/>
      <c r="ATJ55" s="188"/>
      <c r="ATK55" s="188"/>
      <c r="ATL55" s="188"/>
      <c r="ATM55" s="188"/>
      <c r="ATN55" s="188"/>
      <c r="ATO55" s="188"/>
      <c r="ATP55" s="188"/>
      <c r="ATQ55" s="188"/>
      <c r="ATR55" s="188"/>
      <c r="ATS55" s="188"/>
      <c r="ATT55" s="188"/>
      <c r="ATU55" s="188"/>
      <c r="ATV55" s="188"/>
      <c r="ATW55" s="188"/>
      <c r="ATX55" s="188"/>
      <c r="ATY55" s="188"/>
      <c r="ATZ55" s="188"/>
      <c r="AUA55" s="188"/>
      <c r="AUB55" s="188"/>
      <c r="AUC55" s="188"/>
      <c r="AUD55" s="188"/>
      <c r="AUE55" s="188"/>
      <c r="AUF55" s="188"/>
      <c r="AUG55" s="188"/>
      <c r="AUH55" s="188"/>
      <c r="AUI55" s="188"/>
      <c r="AUJ55" s="188"/>
      <c r="AUK55" s="188"/>
      <c r="AUL55" s="188"/>
      <c r="AUM55" s="188"/>
      <c r="AUN55" s="188"/>
      <c r="AUO55" s="188"/>
      <c r="AUP55" s="188"/>
      <c r="AUQ55" s="188"/>
      <c r="AUR55" s="188"/>
      <c r="AUS55" s="188"/>
      <c r="AUT55" s="188"/>
      <c r="AUU55" s="188"/>
      <c r="AUV55" s="188"/>
      <c r="AUW55" s="188"/>
      <c r="AUX55" s="188"/>
      <c r="AUY55" s="188"/>
      <c r="AUZ55" s="188"/>
      <c r="AVA55" s="188"/>
      <c r="AVB55" s="188"/>
      <c r="AVC55" s="188"/>
      <c r="AVD55" s="188"/>
      <c r="AVE55" s="188"/>
      <c r="AVF55" s="188"/>
      <c r="AVG55" s="188"/>
      <c r="AVH55" s="188"/>
      <c r="AVI55" s="188"/>
      <c r="AVJ55" s="188"/>
      <c r="AVK55" s="188"/>
      <c r="AVL55" s="188"/>
      <c r="AVM55" s="188"/>
      <c r="AVN55" s="188"/>
      <c r="AVO55" s="188"/>
      <c r="AVP55" s="188"/>
      <c r="AVQ55" s="188"/>
      <c r="AVR55" s="188"/>
      <c r="AVS55" s="188"/>
      <c r="AVT55" s="188"/>
      <c r="AVU55" s="188"/>
      <c r="AVV55" s="188"/>
      <c r="AVW55" s="188"/>
      <c r="AVX55" s="188"/>
      <c r="AVY55" s="188"/>
      <c r="AVZ55" s="188"/>
      <c r="AWA55" s="188"/>
      <c r="AWB55" s="188"/>
      <c r="AWC55" s="188"/>
      <c r="AWD55" s="188"/>
      <c r="AWE55" s="188"/>
      <c r="AWF55" s="188"/>
      <c r="AWG55" s="188"/>
      <c r="AWH55" s="188"/>
      <c r="AWI55" s="188"/>
      <c r="AWJ55" s="188"/>
      <c r="AWK55" s="188"/>
      <c r="AWL55" s="188"/>
      <c r="AWM55" s="188"/>
      <c r="AWN55" s="188"/>
      <c r="AWO55" s="188"/>
      <c r="AWP55" s="188"/>
      <c r="AWQ55" s="188"/>
      <c r="AWR55" s="188"/>
      <c r="AWS55" s="188"/>
      <c r="AWT55" s="188"/>
      <c r="AWU55" s="188"/>
      <c r="AWV55" s="188"/>
      <c r="AWW55" s="188"/>
      <c r="AWX55" s="188"/>
      <c r="AWY55" s="188"/>
      <c r="AWZ55" s="188"/>
      <c r="AXA55" s="188"/>
      <c r="AXB55" s="188"/>
      <c r="AXC55" s="188"/>
      <c r="AXD55" s="188"/>
      <c r="AXE55" s="188"/>
      <c r="AXF55" s="188"/>
      <c r="AXG55" s="188"/>
      <c r="AXH55" s="188"/>
      <c r="AXI55" s="188"/>
      <c r="AXJ55" s="188"/>
      <c r="AXK55" s="188"/>
      <c r="AXL55" s="188"/>
      <c r="AXM55" s="188"/>
      <c r="AXN55" s="188"/>
      <c r="AXO55" s="188"/>
      <c r="AXP55" s="188"/>
      <c r="AXQ55" s="188"/>
      <c r="AXR55" s="188"/>
      <c r="AXS55" s="188"/>
      <c r="AXT55" s="188"/>
      <c r="AXU55" s="188"/>
      <c r="AXV55" s="188"/>
      <c r="AXW55" s="188"/>
      <c r="AXX55" s="188"/>
      <c r="AXY55" s="188"/>
      <c r="AXZ55" s="188"/>
      <c r="AYA55" s="188"/>
      <c r="AYB55" s="188"/>
      <c r="AYC55" s="188"/>
      <c r="AYD55" s="188"/>
      <c r="AYE55" s="188"/>
      <c r="AYF55" s="188"/>
      <c r="AYG55" s="188"/>
      <c r="AYH55" s="188"/>
      <c r="AYI55" s="188"/>
      <c r="AYJ55" s="188"/>
      <c r="AYK55" s="188"/>
      <c r="AYL55" s="188"/>
      <c r="AYM55" s="188"/>
      <c r="AYN55" s="188"/>
      <c r="AYO55" s="188"/>
      <c r="AYP55" s="188"/>
      <c r="AYQ55" s="188"/>
      <c r="AYR55" s="188"/>
      <c r="AYS55" s="188"/>
      <c r="AYT55" s="188"/>
      <c r="AYU55" s="188"/>
      <c r="AYV55" s="188"/>
      <c r="AYW55" s="188"/>
      <c r="AYX55" s="188"/>
      <c r="AYY55" s="188"/>
      <c r="AYZ55" s="188"/>
      <c r="AZA55" s="188"/>
      <c r="AZB55" s="188"/>
      <c r="AZC55" s="188"/>
      <c r="AZD55" s="188"/>
      <c r="AZE55" s="188"/>
      <c r="AZF55" s="188"/>
      <c r="AZG55" s="188"/>
      <c r="AZH55" s="188"/>
      <c r="AZI55" s="188"/>
      <c r="AZJ55" s="188"/>
      <c r="AZK55" s="188"/>
      <c r="AZL55" s="188"/>
      <c r="AZM55" s="188"/>
      <c r="AZN55" s="188"/>
      <c r="AZO55" s="188"/>
      <c r="AZP55" s="188"/>
      <c r="AZQ55" s="188"/>
      <c r="AZR55" s="188"/>
      <c r="AZS55" s="188"/>
      <c r="AZT55" s="188"/>
      <c r="AZU55" s="188"/>
      <c r="AZV55" s="188"/>
      <c r="AZW55" s="188"/>
      <c r="AZX55" s="188"/>
      <c r="AZY55" s="188"/>
      <c r="AZZ55" s="188"/>
      <c r="BAA55" s="188"/>
      <c r="BAB55" s="188"/>
      <c r="BAC55" s="188"/>
      <c r="BAD55" s="188"/>
      <c r="BAE55" s="188"/>
      <c r="BAF55" s="188"/>
      <c r="BAG55" s="188"/>
      <c r="BAH55" s="188"/>
      <c r="BAI55" s="188"/>
      <c r="BAJ55" s="188"/>
      <c r="BAK55" s="188"/>
      <c r="BAL55" s="188"/>
      <c r="BAM55" s="188"/>
      <c r="BAN55" s="188"/>
      <c r="BAO55" s="188"/>
      <c r="BAP55" s="188"/>
      <c r="BAQ55" s="188"/>
      <c r="BAR55" s="188"/>
      <c r="BAS55" s="188"/>
      <c r="BAT55" s="188"/>
      <c r="BAU55" s="188"/>
      <c r="BAV55" s="188"/>
      <c r="BAW55" s="188"/>
      <c r="BAX55" s="188"/>
      <c r="BAY55" s="188"/>
      <c r="BAZ55" s="188"/>
      <c r="BBA55" s="188"/>
      <c r="BBB55" s="188"/>
      <c r="BBC55" s="188"/>
      <c r="BBD55" s="188"/>
      <c r="BBE55" s="188"/>
      <c r="BBF55" s="188"/>
      <c r="BBG55" s="188"/>
      <c r="BBH55" s="188"/>
      <c r="BBI55" s="188"/>
      <c r="BBJ55" s="188"/>
      <c r="BBK55" s="188"/>
      <c r="BBL55" s="188"/>
      <c r="BBM55" s="188"/>
      <c r="BBN55" s="188"/>
      <c r="BBO55" s="188"/>
      <c r="BBP55" s="188"/>
      <c r="BBQ55" s="188"/>
      <c r="BBR55" s="188"/>
      <c r="BBS55" s="188"/>
      <c r="BBT55" s="188"/>
      <c r="BBU55" s="188"/>
      <c r="BBV55" s="188"/>
      <c r="BBW55" s="188"/>
      <c r="BBX55" s="188"/>
      <c r="BBY55" s="188"/>
      <c r="BBZ55" s="188"/>
      <c r="BCA55" s="188"/>
      <c r="BCB55" s="188"/>
      <c r="BCC55" s="188"/>
      <c r="BCD55" s="188"/>
      <c r="BCE55" s="188"/>
      <c r="BCF55" s="188"/>
      <c r="BCG55" s="188"/>
      <c r="BCH55" s="188"/>
      <c r="BCI55" s="188"/>
      <c r="BCJ55" s="188"/>
      <c r="BCK55" s="188"/>
      <c r="BCL55" s="188"/>
      <c r="BCM55" s="188"/>
      <c r="BCN55" s="188"/>
      <c r="BCO55" s="188"/>
      <c r="BCP55" s="188"/>
      <c r="BCQ55" s="188"/>
      <c r="BCR55" s="188"/>
      <c r="BCS55" s="188"/>
      <c r="BCT55" s="188"/>
      <c r="BCU55" s="188"/>
      <c r="BCV55" s="188"/>
      <c r="BCW55" s="188"/>
      <c r="BCX55" s="188"/>
      <c r="BCY55" s="188"/>
      <c r="BCZ55" s="188"/>
      <c r="BDA55" s="188"/>
      <c r="BDB55" s="188"/>
      <c r="BDC55" s="188"/>
      <c r="BDD55" s="188"/>
      <c r="BDE55" s="188"/>
      <c r="BDF55" s="188"/>
      <c r="BDG55" s="188"/>
      <c r="BDH55" s="188"/>
      <c r="BDI55" s="188"/>
      <c r="BDJ55" s="188"/>
      <c r="BDK55" s="188"/>
      <c r="BDL55" s="188"/>
      <c r="BDM55" s="188"/>
      <c r="BDN55" s="188"/>
      <c r="BDO55" s="188"/>
      <c r="BDP55" s="188"/>
      <c r="BDQ55" s="188"/>
      <c r="BDR55" s="188"/>
      <c r="BDS55" s="188"/>
      <c r="BDT55" s="188"/>
      <c r="BDU55" s="188"/>
      <c r="BDV55" s="188"/>
      <c r="BDW55" s="188"/>
      <c r="BDX55" s="188"/>
      <c r="BDY55" s="188"/>
      <c r="BDZ55" s="188"/>
      <c r="BEA55" s="188"/>
      <c r="BEB55" s="188"/>
      <c r="BEC55" s="188"/>
      <c r="BED55" s="188"/>
      <c r="BEE55" s="188"/>
      <c r="BEF55" s="188"/>
      <c r="BEG55" s="188"/>
      <c r="BEH55" s="188"/>
      <c r="BEI55" s="188"/>
      <c r="BEJ55" s="188"/>
      <c r="BEK55" s="188"/>
      <c r="BEL55" s="188"/>
      <c r="BEM55" s="188"/>
      <c r="BEN55" s="188"/>
      <c r="BEO55" s="188"/>
      <c r="BEP55" s="188"/>
      <c r="BEQ55" s="188"/>
      <c r="BER55" s="188"/>
      <c r="BES55" s="188"/>
      <c r="BET55" s="188"/>
      <c r="BEU55" s="188"/>
      <c r="BEV55" s="188"/>
      <c r="BEW55" s="188"/>
      <c r="BEX55" s="188"/>
      <c r="BEY55" s="188"/>
      <c r="BEZ55" s="188"/>
      <c r="BFA55" s="188"/>
      <c r="BFB55" s="188"/>
      <c r="BFC55" s="188"/>
      <c r="BFD55" s="188"/>
      <c r="BFE55" s="188"/>
      <c r="BFF55" s="188"/>
      <c r="BFG55" s="188"/>
      <c r="BFH55" s="188"/>
      <c r="BFI55" s="188"/>
      <c r="BFJ55" s="188"/>
      <c r="BFK55" s="188"/>
      <c r="BFL55" s="188"/>
      <c r="BFM55" s="188"/>
      <c r="BFN55" s="188"/>
      <c r="BFO55" s="188"/>
      <c r="BFP55" s="188"/>
      <c r="BFQ55" s="188"/>
      <c r="BFR55" s="188"/>
      <c r="BFS55" s="188"/>
      <c r="BFT55" s="188"/>
      <c r="BFU55" s="188"/>
      <c r="BFV55" s="188"/>
      <c r="BFW55" s="188"/>
      <c r="BFX55" s="188"/>
      <c r="BFY55" s="188"/>
      <c r="BFZ55" s="188"/>
      <c r="BGA55" s="188"/>
      <c r="BGB55" s="188"/>
      <c r="BGC55" s="188"/>
      <c r="BGD55" s="188"/>
      <c r="BGE55" s="188"/>
      <c r="BGF55" s="188"/>
      <c r="BGG55" s="188"/>
      <c r="BGH55" s="188"/>
      <c r="BGI55" s="188"/>
      <c r="BGJ55" s="188"/>
      <c r="BGK55" s="188"/>
      <c r="BGL55" s="188"/>
      <c r="BGM55" s="188"/>
      <c r="BGN55" s="188"/>
      <c r="BGO55" s="188"/>
      <c r="BGP55" s="188"/>
      <c r="BGQ55" s="188"/>
      <c r="BGR55" s="188"/>
      <c r="BGS55" s="188"/>
      <c r="BGT55" s="188"/>
      <c r="BGU55" s="188"/>
      <c r="BGV55" s="188"/>
      <c r="BGW55" s="188"/>
      <c r="BGX55" s="188"/>
      <c r="BGY55" s="188"/>
      <c r="BGZ55" s="188"/>
      <c r="BHA55" s="188"/>
      <c r="BHB55" s="188"/>
      <c r="BHC55" s="188"/>
      <c r="BHD55" s="188"/>
      <c r="BHE55" s="188"/>
      <c r="BHF55" s="188"/>
      <c r="BHG55" s="188"/>
      <c r="BHH55" s="188"/>
      <c r="BHI55" s="188"/>
      <c r="BHJ55" s="188"/>
      <c r="BHK55" s="188"/>
      <c r="BHL55" s="188"/>
      <c r="BHM55" s="188"/>
      <c r="BHN55" s="188"/>
      <c r="BHO55" s="188"/>
      <c r="BHP55" s="188"/>
      <c r="BHQ55" s="188"/>
      <c r="BHR55" s="188"/>
      <c r="BHS55" s="188"/>
      <c r="BHT55" s="188"/>
      <c r="BHU55" s="188"/>
      <c r="BHV55" s="188"/>
      <c r="BHW55" s="188"/>
      <c r="BHX55" s="188"/>
      <c r="BHY55" s="188"/>
      <c r="BHZ55" s="188"/>
      <c r="BIA55" s="188"/>
      <c r="BIB55" s="188"/>
      <c r="BIC55" s="188"/>
      <c r="BID55" s="188"/>
      <c r="BIE55" s="188"/>
      <c r="BIF55" s="188"/>
      <c r="BIG55" s="188"/>
      <c r="BIH55" s="188"/>
      <c r="BII55" s="188"/>
      <c r="BIJ55" s="188"/>
      <c r="BIK55" s="188"/>
      <c r="BIL55" s="188"/>
      <c r="BIM55" s="188"/>
      <c r="BIN55" s="188"/>
      <c r="BIO55" s="188"/>
      <c r="BIP55" s="188"/>
      <c r="BIQ55" s="188"/>
      <c r="BIR55" s="188"/>
      <c r="BIS55" s="188"/>
      <c r="BIT55" s="188"/>
      <c r="BIU55" s="188"/>
      <c r="BIV55" s="188"/>
      <c r="BIW55" s="188"/>
      <c r="BIX55" s="188"/>
      <c r="BIY55" s="188"/>
      <c r="BIZ55" s="188"/>
      <c r="BJA55" s="188"/>
      <c r="BJB55" s="188"/>
      <c r="BJC55" s="188"/>
      <c r="BJD55" s="188"/>
      <c r="BJE55" s="188"/>
      <c r="BJF55" s="188"/>
      <c r="BJG55" s="188"/>
      <c r="BJH55" s="188"/>
      <c r="BJI55" s="188"/>
      <c r="BJJ55" s="188"/>
      <c r="BJK55" s="188"/>
      <c r="BJL55" s="188"/>
      <c r="BJM55" s="188"/>
      <c r="BJN55" s="188"/>
      <c r="BJO55" s="188"/>
      <c r="BJP55" s="188"/>
      <c r="BJQ55" s="188"/>
      <c r="BJR55" s="188"/>
      <c r="BJS55" s="188"/>
      <c r="BJT55" s="188"/>
      <c r="BJU55" s="188"/>
      <c r="BJV55" s="188"/>
      <c r="BJW55" s="188"/>
      <c r="BJX55" s="188"/>
      <c r="BJY55" s="188"/>
      <c r="BJZ55" s="188"/>
      <c r="BKA55" s="188"/>
      <c r="BKB55" s="188"/>
      <c r="BKC55" s="188"/>
      <c r="BKD55" s="188"/>
      <c r="BKE55" s="188"/>
      <c r="BKF55" s="188"/>
      <c r="BKG55" s="188"/>
      <c r="BKH55" s="188"/>
      <c r="BKI55" s="188"/>
      <c r="BKJ55" s="188"/>
      <c r="BKK55" s="188"/>
      <c r="BKL55" s="188"/>
      <c r="BKM55" s="188"/>
      <c r="BKN55" s="188"/>
    </row>
    <row r="56" spans="1:1652" s="21" customFormat="1" x14ac:dyDescent="0.3">
      <c r="A56" s="171"/>
      <c r="B56" s="189"/>
      <c r="C56" s="189"/>
      <c r="D56" s="189"/>
      <c r="E56" s="189"/>
      <c r="F56" s="189"/>
      <c r="G56" s="189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8"/>
      <c r="AE56" s="188"/>
      <c r="AF56" s="188"/>
      <c r="AG56" s="188"/>
      <c r="AH56" s="188"/>
      <c r="AI56" s="188"/>
      <c r="AJ56" s="188"/>
      <c r="AK56" s="188"/>
      <c r="AL56" s="188"/>
      <c r="AM56" s="188"/>
      <c r="AN56" s="188"/>
      <c r="AO56" s="188"/>
      <c r="AP56" s="188"/>
      <c r="AQ56" s="188"/>
      <c r="AR56" s="188"/>
      <c r="AS56" s="188"/>
      <c r="AT56" s="189"/>
      <c r="AU56" s="189"/>
      <c r="AV56" s="189"/>
      <c r="AW56" s="189"/>
      <c r="AX56" s="189"/>
      <c r="AY56" s="189"/>
      <c r="AZ56" s="189"/>
      <c r="BA56" s="189"/>
      <c r="BB56" s="189"/>
      <c r="BC56" s="189"/>
      <c r="BD56" s="189"/>
      <c r="BE56" s="188"/>
      <c r="BF56" s="188"/>
      <c r="BG56" s="188"/>
      <c r="BH56" s="188"/>
      <c r="BI56" s="188"/>
      <c r="BJ56" s="188"/>
      <c r="BK56" s="188"/>
      <c r="BL56" s="188"/>
      <c r="BM56" s="188"/>
      <c r="BN56" s="188"/>
      <c r="BO56" s="188"/>
      <c r="BP56" s="188"/>
      <c r="BQ56" s="188"/>
      <c r="BR56" s="188"/>
      <c r="BS56" s="188"/>
      <c r="BT56" s="188"/>
      <c r="BU56" s="188"/>
      <c r="BV56" s="188"/>
      <c r="BW56" s="188"/>
      <c r="BX56" s="188"/>
      <c r="BY56" s="188"/>
      <c r="BZ56" s="188"/>
      <c r="CA56" s="188"/>
      <c r="CB56" s="188"/>
      <c r="CC56" s="188"/>
      <c r="CD56" s="188"/>
      <c r="CE56" s="188"/>
      <c r="CF56" s="188"/>
      <c r="CG56" s="188"/>
      <c r="CH56" s="188"/>
      <c r="CI56" s="188"/>
      <c r="CJ56" s="188"/>
      <c r="CK56" s="188"/>
      <c r="CL56" s="188"/>
      <c r="CM56" s="188"/>
      <c r="CN56" s="188"/>
      <c r="CO56" s="188"/>
      <c r="CP56" s="188"/>
      <c r="CQ56" s="188"/>
      <c r="CR56" s="188"/>
      <c r="CS56" s="188"/>
      <c r="CT56" s="188"/>
      <c r="CU56" s="188"/>
      <c r="CV56" s="188"/>
      <c r="CW56" s="188"/>
      <c r="CX56" s="188"/>
      <c r="CY56" s="188"/>
      <c r="CZ56" s="188"/>
      <c r="DA56" s="188"/>
      <c r="DB56" s="188"/>
      <c r="DC56" s="188"/>
      <c r="DD56" s="188"/>
      <c r="DE56" s="188"/>
      <c r="DF56" s="188"/>
      <c r="DG56" s="188"/>
      <c r="DH56" s="188"/>
      <c r="DI56" s="188"/>
      <c r="DJ56" s="188"/>
      <c r="DK56" s="188"/>
      <c r="DL56" s="188"/>
      <c r="DM56" s="188"/>
      <c r="DN56" s="188"/>
      <c r="DO56" s="188"/>
      <c r="DP56" s="188"/>
      <c r="DQ56" s="188"/>
      <c r="DR56" s="188"/>
      <c r="DS56" s="188"/>
      <c r="DT56" s="188"/>
      <c r="DU56" s="188"/>
      <c r="DV56" s="188"/>
      <c r="DW56" s="188"/>
      <c r="DX56" s="188"/>
      <c r="DY56" s="188"/>
      <c r="DZ56" s="188"/>
      <c r="EA56" s="188"/>
      <c r="EB56" s="188"/>
      <c r="EC56" s="188"/>
      <c r="ED56" s="188"/>
      <c r="EE56" s="188"/>
      <c r="EF56" s="188"/>
      <c r="EG56" s="188"/>
      <c r="EH56" s="188"/>
      <c r="EI56" s="188"/>
      <c r="EJ56" s="188"/>
      <c r="EK56" s="188"/>
      <c r="EL56" s="188"/>
      <c r="EM56" s="188"/>
      <c r="EN56" s="188"/>
      <c r="EO56" s="188"/>
      <c r="EP56" s="188"/>
      <c r="EQ56" s="188"/>
      <c r="ER56" s="188"/>
      <c r="ES56" s="188"/>
      <c r="ET56" s="188"/>
      <c r="EU56" s="188"/>
      <c r="EV56" s="188"/>
      <c r="EW56" s="188"/>
      <c r="EX56" s="188"/>
      <c r="EY56" s="188"/>
      <c r="EZ56" s="188"/>
      <c r="FA56" s="188"/>
      <c r="FB56" s="188"/>
      <c r="FC56" s="188"/>
      <c r="FD56" s="188"/>
      <c r="FE56" s="188"/>
      <c r="FF56" s="188"/>
      <c r="FG56" s="188"/>
      <c r="FH56" s="188"/>
      <c r="FI56" s="188"/>
      <c r="FJ56" s="188"/>
      <c r="FK56" s="188"/>
      <c r="FL56" s="188"/>
      <c r="FM56" s="188"/>
      <c r="FN56" s="188"/>
      <c r="FO56" s="188"/>
      <c r="FP56" s="188"/>
      <c r="FQ56" s="188"/>
      <c r="FR56" s="188"/>
      <c r="FS56" s="188"/>
      <c r="FT56" s="188"/>
      <c r="FU56" s="188"/>
      <c r="FV56" s="188"/>
      <c r="FW56" s="188"/>
      <c r="FX56" s="188"/>
      <c r="FY56" s="188"/>
      <c r="FZ56" s="188"/>
      <c r="GA56" s="188"/>
      <c r="GB56" s="188"/>
      <c r="GC56" s="188"/>
      <c r="GD56" s="188"/>
      <c r="GE56" s="188"/>
      <c r="GF56" s="188"/>
      <c r="GG56" s="188"/>
      <c r="GH56" s="188"/>
      <c r="GI56" s="188"/>
      <c r="GJ56" s="188"/>
      <c r="GK56" s="188"/>
      <c r="GL56" s="188"/>
      <c r="GM56" s="188"/>
      <c r="GN56" s="188"/>
      <c r="GO56" s="188"/>
      <c r="GP56" s="188"/>
      <c r="GQ56" s="188"/>
      <c r="GR56" s="188"/>
      <c r="GS56" s="188"/>
      <c r="GT56" s="188"/>
      <c r="GU56" s="188"/>
      <c r="GV56" s="188"/>
      <c r="GW56" s="188"/>
      <c r="GX56" s="188"/>
      <c r="GY56" s="188"/>
      <c r="GZ56" s="188"/>
      <c r="HA56" s="188"/>
      <c r="HB56" s="188"/>
      <c r="HC56" s="188"/>
      <c r="HD56" s="188"/>
      <c r="HE56" s="188"/>
      <c r="HF56" s="188"/>
      <c r="HG56" s="188"/>
      <c r="HH56" s="188"/>
      <c r="HI56" s="188"/>
      <c r="HJ56" s="188"/>
      <c r="HK56" s="188"/>
      <c r="HL56" s="188"/>
      <c r="HM56" s="188"/>
      <c r="HN56" s="188"/>
      <c r="HO56" s="188"/>
      <c r="HP56" s="188"/>
      <c r="HQ56" s="188"/>
      <c r="HR56" s="188"/>
      <c r="HS56" s="188"/>
      <c r="HT56" s="188"/>
      <c r="HU56" s="188"/>
      <c r="HV56" s="188"/>
      <c r="HW56" s="188"/>
      <c r="HX56" s="188"/>
      <c r="HY56" s="188"/>
      <c r="HZ56" s="188"/>
      <c r="IA56" s="188"/>
      <c r="IB56" s="188"/>
      <c r="IC56" s="188"/>
      <c r="ID56" s="188"/>
      <c r="IE56" s="188"/>
      <c r="IF56" s="188"/>
      <c r="IG56" s="188"/>
      <c r="IH56" s="188"/>
      <c r="II56" s="188"/>
      <c r="IJ56" s="188"/>
      <c r="IK56" s="188"/>
      <c r="IL56" s="188"/>
      <c r="IM56" s="188"/>
      <c r="IN56" s="188"/>
      <c r="IO56" s="188"/>
      <c r="IP56" s="188"/>
      <c r="IQ56" s="188"/>
      <c r="IR56" s="188"/>
      <c r="IS56" s="188"/>
      <c r="IT56" s="188"/>
      <c r="IU56" s="188"/>
      <c r="IV56" s="188"/>
      <c r="IW56" s="188"/>
      <c r="IX56" s="188"/>
      <c r="IY56" s="188"/>
      <c r="IZ56" s="188"/>
      <c r="JA56" s="188"/>
      <c r="JB56" s="188"/>
      <c r="JC56" s="188"/>
      <c r="JD56" s="188"/>
      <c r="JE56" s="188"/>
      <c r="JF56" s="188"/>
      <c r="JG56" s="188"/>
      <c r="JH56" s="188"/>
      <c r="JI56" s="188"/>
      <c r="JJ56" s="188"/>
      <c r="JK56" s="188"/>
      <c r="JL56" s="188"/>
      <c r="JM56" s="188"/>
      <c r="JN56" s="188"/>
      <c r="JO56" s="188"/>
      <c r="JP56" s="188"/>
      <c r="JQ56" s="188"/>
      <c r="JR56" s="188"/>
      <c r="JS56" s="188"/>
      <c r="JT56" s="188"/>
      <c r="JU56" s="188"/>
      <c r="JV56" s="188"/>
      <c r="JW56" s="188"/>
      <c r="JX56" s="188"/>
      <c r="JY56" s="188"/>
      <c r="JZ56" s="188"/>
      <c r="KA56" s="188"/>
      <c r="KB56" s="188"/>
      <c r="KC56" s="188"/>
      <c r="KD56" s="188"/>
      <c r="KE56" s="188"/>
      <c r="KF56" s="188"/>
      <c r="KG56" s="188"/>
      <c r="KH56" s="188"/>
      <c r="KI56" s="188"/>
      <c r="KJ56" s="188"/>
      <c r="KK56" s="188"/>
      <c r="KL56" s="188"/>
      <c r="KM56" s="188"/>
      <c r="KN56" s="188"/>
      <c r="KO56" s="188"/>
      <c r="KP56" s="188"/>
      <c r="KQ56" s="188"/>
      <c r="KR56" s="188"/>
      <c r="KS56" s="188"/>
      <c r="KT56" s="188"/>
      <c r="KU56" s="188"/>
      <c r="KV56" s="188"/>
      <c r="KW56" s="188"/>
      <c r="KX56" s="188"/>
      <c r="KY56" s="188"/>
      <c r="KZ56" s="188"/>
      <c r="LA56" s="188"/>
      <c r="LB56" s="188"/>
      <c r="LC56" s="188"/>
      <c r="LD56" s="188"/>
      <c r="LE56" s="188"/>
      <c r="LF56" s="188"/>
      <c r="LG56" s="188"/>
      <c r="LH56" s="188"/>
      <c r="LI56" s="188"/>
      <c r="LJ56" s="188"/>
      <c r="LK56" s="188"/>
      <c r="LL56" s="188"/>
      <c r="LM56" s="188"/>
      <c r="LN56" s="188"/>
      <c r="LO56" s="188"/>
      <c r="LP56" s="188"/>
      <c r="LQ56" s="188"/>
      <c r="LR56" s="188"/>
      <c r="LS56" s="188"/>
      <c r="LT56" s="188"/>
      <c r="LU56" s="188"/>
      <c r="LV56" s="188"/>
      <c r="LW56" s="188"/>
      <c r="LX56" s="188"/>
      <c r="LY56" s="188"/>
      <c r="LZ56" s="188"/>
      <c r="MA56" s="188"/>
      <c r="MB56" s="188"/>
      <c r="MC56" s="188"/>
      <c r="MD56" s="188"/>
      <c r="ME56" s="188"/>
      <c r="MF56" s="188"/>
      <c r="MG56" s="188"/>
      <c r="MH56" s="188"/>
      <c r="MI56" s="188"/>
      <c r="MJ56" s="188"/>
      <c r="MK56" s="188"/>
      <c r="ML56" s="188"/>
      <c r="MM56" s="188"/>
      <c r="MN56" s="188"/>
      <c r="MO56" s="188"/>
      <c r="MP56" s="188"/>
      <c r="MQ56" s="188"/>
      <c r="MR56" s="188"/>
      <c r="MS56" s="188"/>
      <c r="MT56" s="188"/>
      <c r="MU56" s="188"/>
      <c r="MV56" s="188"/>
      <c r="MW56" s="188"/>
      <c r="MX56" s="188"/>
      <c r="MY56" s="188"/>
      <c r="MZ56" s="188"/>
      <c r="NA56" s="188"/>
      <c r="NB56" s="188"/>
      <c r="NC56" s="188"/>
      <c r="ND56" s="188"/>
      <c r="NE56" s="188"/>
      <c r="NF56" s="188"/>
      <c r="NG56" s="188"/>
      <c r="NH56" s="188"/>
      <c r="NI56" s="188"/>
      <c r="NJ56" s="188"/>
      <c r="NK56" s="188"/>
      <c r="NL56" s="188"/>
      <c r="NM56" s="188"/>
      <c r="NN56" s="188"/>
      <c r="NO56" s="188"/>
      <c r="NP56" s="188"/>
      <c r="NQ56" s="188"/>
      <c r="NR56" s="188"/>
      <c r="NS56" s="188"/>
      <c r="NT56" s="188"/>
      <c r="NU56" s="188"/>
      <c r="NV56" s="188"/>
      <c r="NW56" s="188"/>
      <c r="NX56" s="188"/>
      <c r="NY56" s="188"/>
      <c r="NZ56" s="188"/>
      <c r="OA56" s="188"/>
      <c r="OB56" s="188"/>
      <c r="OC56" s="188"/>
      <c r="OD56" s="188"/>
      <c r="OE56" s="188"/>
      <c r="OF56" s="188"/>
      <c r="OG56" s="188"/>
      <c r="OH56" s="188"/>
      <c r="OI56" s="188"/>
      <c r="OJ56" s="188"/>
      <c r="OK56" s="188"/>
      <c r="OL56" s="188"/>
      <c r="OM56" s="188"/>
      <c r="ON56" s="188"/>
      <c r="OO56" s="188"/>
      <c r="OP56" s="188"/>
      <c r="OQ56" s="188"/>
      <c r="OR56" s="188"/>
      <c r="OS56" s="188"/>
      <c r="OT56" s="188"/>
      <c r="OU56" s="188"/>
      <c r="OV56" s="188"/>
      <c r="OW56" s="188"/>
      <c r="OX56" s="188"/>
      <c r="OY56" s="188"/>
      <c r="OZ56" s="188"/>
      <c r="PA56" s="188"/>
      <c r="PB56" s="188"/>
      <c r="PC56" s="188"/>
      <c r="PD56" s="188"/>
      <c r="PE56" s="188"/>
      <c r="PF56" s="188"/>
      <c r="PG56" s="188"/>
      <c r="PH56" s="188"/>
      <c r="PI56" s="188"/>
      <c r="PJ56" s="188"/>
      <c r="PK56" s="188"/>
      <c r="PL56" s="188"/>
      <c r="PM56" s="188"/>
      <c r="PN56" s="188"/>
      <c r="PO56" s="188"/>
      <c r="PP56" s="188"/>
      <c r="PQ56" s="188"/>
      <c r="PR56" s="188"/>
      <c r="PS56" s="188"/>
      <c r="PT56" s="188"/>
      <c r="PU56" s="188"/>
      <c r="PV56" s="188"/>
      <c r="PW56" s="188"/>
      <c r="PX56" s="188"/>
      <c r="PY56" s="188"/>
      <c r="PZ56" s="188"/>
      <c r="QA56" s="188"/>
      <c r="QB56" s="188"/>
      <c r="QC56" s="188"/>
      <c r="QD56" s="188"/>
      <c r="QE56" s="188"/>
      <c r="QF56" s="188"/>
      <c r="QG56" s="188"/>
      <c r="QH56" s="188"/>
      <c r="QI56" s="188"/>
      <c r="QJ56" s="188"/>
      <c r="QK56" s="188"/>
      <c r="QL56" s="188"/>
      <c r="QM56" s="188"/>
      <c r="QN56" s="188"/>
      <c r="QO56" s="188"/>
      <c r="QP56" s="188"/>
      <c r="QQ56" s="188"/>
      <c r="QR56" s="188"/>
      <c r="QS56" s="188"/>
      <c r="QT56" s="188"/>
      <c r="QU56" s="188"/>
      <c r="QV56" s="188"/>
      <c r="QW56" s="188"/>
      <c r="QX56" s="188"/>
      <c r="QY56" s="188"/>
      <c r="QZ56" s="188"/>
      <c r="RA56" s="188"/>
      <c r="RB56" s="188"/>
      <c r="RC56" s="188"/>
      <c r="RD56" s="188"/>
      <c r="RE56" s="188"/>
      <c r="RF56" s="188"/>
      <c r="RG56" s="188"/>
      <c r="RH56" s="188"/>
      <c r="RI56" s="188"/>
      <c r="RJ56" s="188"/>
      <c r="RK56" s="188"/>
      <c r="RL56" s="188"/>
      <c r="RM56" s="188"/>
      <c r="RN56" s="188"/>
      <c r="RO56" s="188"/>
      <c r="RP56" s="188"/>
      <c r="RQ56" s="188"/>
      <c r="RR56" s="188"/>
      <c r="RS56" s="188"/>
      <c r="RT56" s="188"/>
      <c r="RU56" s="188"/>
      <c r="RV56" s="188"/>
      <c r="RW56" s="188"/>
      <c r="RX56" s="188"/>
      <c r="RY56" s="188"/>
      <c r="RZ56" s="188"/>
      <c r="SA56" s="188"/>
      <c r="SB56" s="188"/>
      <c r="SC56" s="188"/>
      <c r="SD56" s="188"/>
      <c r="SE56" s="188"/>
      <c r="SF56" s="188"/>
      <c r="SG56" s="188"/>
      <c r="SH56" s="188"/>
      <c r="SI56" s="188"/>
      <c r="SJ56" s="188"/>
      <c r="SK56" s="188"/>
      <c r="SL56" s="188"/>
      <c r="SM56" s="188"/>
      <c r="SN56" s="188"/>
      <c r="SO56" s="188"/>
      <c r="SP56" s="188"/>
      <c r="SQ56" s="188"/>
      <c r="SR56" s="188"/>
      <c r="SS56" s="188"/>
      <c r="ST56" s="188"/>
      <c r="SU56" s="188"/>
      <c r="SV56" s="188"/>
      <c r="SW56" s="188"/>
      <c r="SX56" s="188"/>
      <c r="SY56" s="188"/>
      <c r="SZ56" s="188"/>
      <c r="TA56" s="188"/>
      <c r="TB56" s="188"/>
      <c r="TC56" s="188"/>
      <c r="TD56" s="188"/>
      <c r="TE56" s="188"/>
      <c r="TF56" s="188"/>
      <c r="TG56" s="188"/>
      <c r="TH56" s="188"/>
      <c r="TI56" s="188"/>
      <c r="TJ56" s="188"/>
      <c r="TK56" s="188"/>
      <c r="TL56" s="188"/>
      <c r="TM56" s="188"/>
      <c r="TN56" s="188"/>
      <c r="TO56" s="188"/>
      <c r="TP56" s="188"/>
      <c r="TQ56" s="188"/>
      <c r="TR56" s="188"/>
      <c r="TS56" s="188"/>
      <c r="TT56" s="188"/>
      <c r="TU56" s="188"/>
      <c r="TV56" s="188"/>
      <c r="TW56" s="188"/>
      <c r="TX56" s="188"/>
      <c r="TY56" s="188"/>
      <c r="TZ56" s="188"/>
      <c r="UA56" s="188"/>
      <c r="UB56" s="188"/>
      <c r="UC56" s="188"/>
      <c r="UD56" s="188"/>
      <c r="UE56" s="188"/>
      <c r="UF56" s="188"/>
      <c r="UG56" s="188"/>
      <c r="UH56" s="188"/>
      <c r="UI56" s="188"/>
      <c r="UJ56" s="188"/>
      <c r="UK56" s="188"/>
      <c r="UL56" s="188"/>
      <c r="UM56" s="188"/>
      <c r="UN56" s="188"/>
      <c r="UO56" s="188"/>
      <c r="UP56" s="188"/>
      <c r="UQ56" s="188"/>
      <c r="UR56" s="188"/>
      <c r="US56" s="188"/>
      <c r="UT56" s="188"/>
      <c r="UU56" s="188"/>
      <c r="UV56" s="188"/>
      <c r="UW56" s="188"/>
      <c r="UX56" s="188"/>
      <c r="UY56" s="188"/>
      <c r="UZ56" s="188"/>
      <c r="VA56" s="188"/>
      <c r="VB56" s="188"/>
      <c r="VC56" s="188"/>
      <c r="VD56" s="188"/>
      <c r="VE56" s="188"/>
      <c r="VF56" s="188"/>
      <c r="VG56" s="188"/>
      <c r="VH56" s="188"/>
      <c r="VI56" s="188"/>
      <c r="VJ56" s="188"/>
      <c r="VK56" s="188"/>
      <c r="VL56" s="188"/>
      <c r="VM56" s="188"/>
      <c r="VN56" s="188"/>
      <c r="VO56" s="188"/>
      <c r="VP56" s="188"/>
      <c r="VQ56" s="188"/>
      <c r="VR56" s="188"/>
      <c r="VS56" s="188"/>
      <c r="VT56" s="188"/>
      <c r="VU56" s="188"/>
      <c r="VV56" s="188"/>
      <c r="VW56" s="188"/>
      <c r="VX56" s="188"/>
      <c r="VY56" s="188"/>
      <c r="VZ56" s="188"/>
      <c r="WA56" s="188"/>
      <c r="WB56" s="188"/>
      <c r="WC56" s="188"/>
      <c r="WD56" s="188"/>
      <c r="WE56" s="188"/>
      <c r="WF56" s="188"/>
      <c r="WG56" s="188"/>
      <c r="WH56" s="188"/>
      <c r="WI56" s="188"/>
      <c r="WJ56" s="188"/>
      <c r="WK56" s="188"/>
      <c r="WL56" s="188"/>
      <c r="WM56" s="188"/>
      <c r="WN56" s="188"/>
      <c r="WO56" s="188"/>
      <c r="WP56" s="188"/>
      <c r="WQ56" s="188"/>
      <c r="WR56" s="188"/>
      <c r="WS56" s="188"/>
      <c r="WT56" s="188"/>
      <c r="WU56" s="188"/>
      <c r="WV56" s="188"/>
      <c r="WW56" s="188"/>
      <c r="WX56" s="188"/>
      <c r="WY56" s="188"/>
      <c r="WZ56" s="188"/>
      <c r="XA56" s="188"/>
      <c r="XB56" s="188"/>
      <c r="XC56" s="188"/>
      <c r="XD56" s="188"/>
      <c r="XE56" s="188"/>
      <c r="XF56" s="188"/>
      <c r="XG56" s="188"/>
      <c r="XH56" s="188"/>
      <c r="XI56" s="188"/>
      <c r="XJ56" s="188"/>
      <c r="XK56" s="188"/>
      <c r="XL56" s="188"/>
      <c r="XM56" s="188"/>
      <c r="XN56" s="188"/>
      <c r="XO56" s="188"/>
      <c r="XP56" s="188"/>
      <c r="XQ56" s="188"/>
      <c r="XR56" s="188"/>
      <c r="XS56" s="188"/>
      <c r="XT56" s="188"/>
      <c r="XU56" s="188"/>
      <c r="XV56" s="188"/>
      <c r="XW56" s="188"/>
      <c r="XX56" s="188"/>
      <c r="XY56" s="188"/>
      <c r="XZ56" s="188"/>
      <c r="YA56" s="188"/>
      <c r="YB56" s="188"/>
      <c r="YC56" s="188"/>
      <c r="YD56" s="188"/>
      <c r="YE56" s="188"/>
      <c r="YF56" s="188"/>
      <c r="YG56" s="188"/>
      <c r="YH56" s="188"/>
      <c r="YI56" s="188"/>
      <c r="YJ56" s="188"/>
      <c r="YK56" s="188"/>
      <c r="YL56" s="188"/>
      <c r="YM56" s="188"/>
      <c r="YN56" s="188"/>
      <c r="YO56" s="188"/>
      <c r="YP56" s="188"/>
      <c r="YQ56" s="188"/>
      <c r="YR56" s="188"/>
      <c r="YS56" s="188"/>
      <c r="YT56" s="188"/>
      <c r="YU56" s="188"/>
      <c r="YV56" s="188"/>
      <c r="YW56" s="188"/>
      <c r="YX56" s="188"/>
      <c r="YY56" s="188"/>
      <c r="YZ56" s="188"/>
      <c r="ZA56" s="188"/>
      <c r="ZB56" s="188"/>
      <c r="ZC56" s="188"/>
      <c r="ZD56" s="188"/>
      <c r="ZE56" s="188"/>
      <c r="ZF56" s="188"/>
      <c r="ZG56" s="188"/>
      <c r="ZH56" s="188"/>
      <c r="ZI56" s="188"/>
      <c r="ZJ56" s="188"/>
      <c r="ZK56" s="188"/>
      <c r="ZL56" s="188"/>
      <c r="ZM56" s="188"/>
      <c r="ZN56" s="188"/>
      <c r="ZO56" s="188"/>
      <c r="ZP56" s="188"/>
      <c r="ZQ56" s="188"/>
      <c r="ZR56" s="188"/>
      <c r="ZS56" s="188"/>
      <c r="ZT56" s="188"/>
      <c r="ZU56" s="188"/>
      <c r="ZV56" s="188"/>
      <c r="ZW56" s="188"/>
      <c r="ZX56" s="188"/>
      <c r="ZY56" s="188"/>
      <c r="ZZ56" s="188"/>
      <c r="AAA56" s="188"/>
      <c r="AAB56" s="188"/>
      <c r="AAC56" s="188"/>
      <c r="AAD56" s="188"/>
      <c r="AAE56" s="188"/>
      <c r="AAF56" s="188"/>
      <c r="AAG56" s="188"/>
      <c r="AAH56" s="188"/>
      <c r="AAI56" s="188"/>
      <c r="AAJ56" s="188"/>
      <c r="AAK56" s="188"/>
      <c r="AAL56" s="188"/>
      <c r="AAM56" s="188"/>
      <c r="AAN56" s="188"/>
      <c r="AAO56" s="188"/>
      <c r="AAP56" s="188"/>
      <c r="AAQ56" s="188"/>
      <c r="AAR56" s="188"/>
      <c r="AAS56" s="188"/>
      <c r="AAT56" s="188"/>
      <c r="AAU56" s="188"/>
      <c r="AAV56" s="188"/>
      <c r="AAW56" s="188"/>
      <c r="AAX56" s="188"/>
      <c r="AAY56" s="188"/>
      <c r="AAZ56" s="188"/>
      <c r="ABA56" s="188"/>
      <c r="ABB56" s="188"/>
      <c r="ABC56" s="188"/>
      <c r="ABD56" s="188"/>
      <c r="ABE56" s="188"/>
      <c r="ABF56" s="188"/>
      <c r="ABG56" s="188"/>
      <c r="ABH56" s="188"/>
      <c r="ABI56" s="188"/>
      <c r="ABJ56" s="188"/>
      <c r="ABK56" s="188"/>
      <c r="ABL56" s="188"/>
      <c r="ABM56" s="188"/>
      <c r="ABN56" s="188"/>
      <c r="ABO56" s="188"/>
      <c r="ABP56" s="188"/>
      <c r="ABQ56" s="188"/>
      <c r="ABR56" s="188"/>
      <c r="ABS56" s="188"/>
      <c r="ABT56" s="188"/>
      <c r="ABU56" s="188"/>
      <c r="ABV56" s="188"/>
      <c r="ABW56" s="188"/>
      <c r="ABX56" s="188"/>
      <c r="ABY56" s="188"/>
      <c r="ABZ56" s="188"/>
      <c r="ACA56" s="188"/>
      <c r="ACB56" s="188"/>
      <c r="ACC56" s="188"/>
      <c r="ACD56" s="188"/>
      <c r="ACE56" s="188"/>
      <c r="ACF56" s="188"/>
      <c r="ACG56" s="188"/>
      <c r="ACH56" s="188"/>
      <c r="ACI56" s="188"/>
      <c r="ACJ56" s="188"/>
      <c r="ACK56" s="188"/>
      <c r="ACL56" s="188"/>
      <c r="ACM56" s="188"/>
      <c r="ACN56" s="188"/>
      <c r="ACO56" s="188"/>
      <c r="ACP56" s="188"/>
      <c r="ACQ56" s="188"/>
      <c r="ACR56" s="188"/>
      <c r="ACS56" s="188"/>
      <c r="ACT56" s="188"/>
      <c r="ACU56" s="188"/>
      <c r="ACV56" s="188"/>
      <c r="ACW56" s="188"/>
      <c r="ACX56" s="188"/>
      <c r="ACY56" s="188"/>
      <c r="ACZ56" s="188"/>
      <c r="ADA56" s="188"/>
      <c r="ADB56" s="188"/>
      <c r="ADC56" s="188"/>
      <c r="ADD56" s="188"/>
      <c r="ADE56" s="188"/>
      <c r="ADF56" s="188"/>
      <c r="ADG56" s="188"/>
      <c r="ADH56" s="188"/>
      <c r="ADI56" s="188"/>
      <c r="ADJ56" s="188"/>
      <c r="ADK56" s="188"/>
      <c r="ADL56" s="188"/>
      <c r="ADM56" s="188"/>
      <c r="ADN56" s="188"/>
      <c r="ADO56" s="188"/>
      <c r="ADP56" s="188"/>
      <c r="ADQ56" s="188"/>
      <c r="ADR56" s="188"/>
      <c r="ADS56" s="188"/>
      <c r="ADT56" s="188"/>
      <c r="ADU56" s="188"/>
      <c r="ADV56" s="188"/>
      <c r="ADW56" s="188"/>
      <c r="ADX56" s="188"/>
      <c r="ADY56" s="188"/>
      <c r="ADZ56" s="188"/>
      <c r="AEA56" s="188"/>
      <c r="AEB56" s="188"/>
      <c r="AEC56" s="188"/>
      <c r="AED56" s="188"/>
      <c r="AEE56" s="188"/>
      <c r="AEF56" s="188"/>
      <c r="AEG56" s="188"/>
      <c r="AEH56" s="188"/>
      <c r="AEI56" s="188"/>
      <c r="AEJ56" s="188"/>
      <c r="AEK56" s="188"/>
      <c r="AEL56" s="188"/>
      <c r="AEM56" s="188"/>
      <c r="AEN56" s="188"/>
      <c r="AEO56" s="188"/>
      <c r="AEP56" s="188"/>
      <c r="AEQ56" s="188"/>
      <c r="AER56" s="188"/>
      <c r="AES56" s="188"/>
      <c r="AET56" s="188"/>
      <c r="AEU56" s="188"/>
      <c r="AEV56" s="188"/>
      <c r="AEW56" s="188"/>
      <c r="AEX56" s="188"/>
      <c r="AEY56" s="188"/>
      <c r="AEZ56" s="188"/>
      <c r="AFA56" s="188"/>
      <c r="AFB56" s="188"/>
      <c r="AFC56" s="188"/>
      <c r="AFD56" s="188"/>
      <c r="AFE56" s="188"/>
      <c r="AFF56" s="188"/>
      <c r="AFG56" s="188"/>
      <c r="AFH56" s="188"/>
      <c r="AFI56" s="188"/>
      <c r="AFJ56" s="188"/>
      <c r="AFK56" s="188"/>
      <c r="AFL56" s="188"/>
      <c r="AFM56" s="188"/>
      <c r="AFN56" s="188"/>
      <c r="AFO56" s="188"/>
      <c r="AFP56" s="188"/>
      <c r="AFQ56" s="188"/>
      <c r="AFR56" s="188"/>
      <c r="AFS56" s="188"/>
      <c r="AFT56" s="188"/>
      <c r="AFU56" s="188"/>
      <c r="AFV56" s="188"/>
      <c r="AFW56" s="188"/>
      <c r="AFX56" s="188"/>
      <c r="AFY56" s="188"/>
      <c r="AFZ56" s="188"/>
      <c r="AGA56" s="188"/>
      <c r="AGB56" s="188"/>
      <c r="AGC56" s="188"/>
      <c r="AGD56" s="188"/>
      <c r="AGE56" s="188"/>
      <c r="AGF56" s="188"/>
      <c r="AGG56" s="188"/>
      <c r="AGH56" s="188"/>
      <c r="AGI56" s="188"/>
      <c r="AGJ56" s="188"/>
      <c r="AGK56" s="188"/>
      <c r="AGL56" s="188"/>
      <c r="AGM56" s="188"/>
      <c r="AGN56" s="188"/>
      <c r="AGO56" s="188"/>
      <c r="AGP56" s="188"/>
      <c r="AGQ56" s="188"/>
      <c r="AGR56" s="188"/>
      <c r="AGS56" s="188"/>
      <c r="AGT56" s="188"/>
      <c r="AGU56" s="188"/>
      <c r="AGV56" s="188"/>
      <c r="AGW56" s="188"/>
      <c r="AGX56" s="188"/>
      <c r="AGY56" s="188"/>
      <c r="AGZ56" s="188"/>
      <c r="AHA56" s="188"/>
      <c r="AHB56" s="188"/>
      <c r="AHC56" s="188"/>
      <c r="AHD56" s="188"/>
      <c r="AHE56" s="188"/>
      <c r="AHF56" s="188"/>
      <c r="AHG56" s="188"/>
      <c r="AHH56" s="188"/>
      <c r="AHI56" s="188"/>
      <c r="AHJ56" s="188"/>
      <c r="AHK56" s="188"/>
      <c r="AHL56" s="188"/>
      <c r="AHM56" s="188"/>
      <c r="AHN56" s="188"/>
      <c r="AHO56" s="188"/>
      <c r="AHP56" s="188"/>
      <c r="AHQ56" s="188"/>
      <c r="AHR56" s="188"/>
      <c r="AHS56" s="188"/>
      <c r="AHT56" s="188"/>
      <c r="AHU56" s="188"/>
      <c r="AHV56" s="188"/>
      <c r="AHW56" s="188"/>
      <c r="AHX56" s="188"/>
      <c r="AHY56" s="188"/>
      <c r="AHZ56" s="188"/>
      <c r="AIA56" s="188"/>
      <c r="AIB56" s="188"/>
      <c r="AIC56" s="188"/>
      <c r="AID56" s="188"/>
      <c r="AIE56" s="188"/>
      <c r="AIF56" s="188"/>
      <c r="AIG56" s="188"/>
      <c r="AIH56" s="188"/>
      <c r="AII56" s="188"/>
      <c r="AIJ56" s="188"/>
      <c r="AIK56" s="188"/>
      <c r="AIL56" s="188"/>
      <c r="AIM56" s="188"/>
      <c r="AIN56" s="188"/>
      <c r="AIO56" s="188"/>
      <c r="AIP56" s="188"/>
      <c r="AIQ56" s="188"/>
      <c r="AIR56" s="188"/>
      <c r="AIS56" s="188"/>
      <c r="AIT56" s="188"/>
      <c r="AIU56" s="188"/>
      <c r="AIV56" s="188"/>
      <c r="AIW56" s="188"/>
      <c r="AIX56" s="188"/>
      <c r="AIY56" s="188"/>
      <c r="AIZ56" s="188"/>
      <c r="AJA56" s="188"/>
      <c r="AJB56" s="188"/>
      <c r="AJC56" s="188"/>
      <c r="AJD56" s="188"/>
      <c r="AJE56" s="188"/>
      <c r="AJF56" s="188"/>
      <c r="AJG56" s="188"/>
      <c r="AJH56" s="188"/>
      <c r="AJI56" s="188"/>
      <c r="AJJ56" s="188"/>
      <c r="AJK56" s="188"/>
      <c r="AJL56" s="188"/>
      <c r="AJM56" s="188"/>
      <c r="AJN56" s="188"/>
      <c r="AJO56" s="188"/>
      <c r="AJP56" s="188"/>
      <c r="AJQ56" s="188"/>
      <c r="AJR56" s="188"/>
      <c r="AJS56" s="188"/>
      <c r="AJT56" s="188"/>
      <c r="AJU56" s="188"/>
      <c r="AJV56" s="188"/>
      <c r="AJW56" s="188"/>
      <c r="AJX56" s="188"/>
      <c r="AJY56" s="188"/>
      <c r="AJZ56" s="188"/>
      <c r="AKA56" s="188"/>
      <c r="AKB56" s="188"/>
      <c r="AKC56" s="188"/>
      <c r="AKD56" s="188"/>
      <c r="AKE56" s="188"/>
      <c r="AKF56" s="188"/>
      <c r="AKG56" s="188"/>
      <c r="AKH56" s="188"/>
      <c r="AKI56" s="188"/>
      <c r="AKJ56" s="188"/>
      <c r="AKK56" s="188"/>
      <c r="AKL56" s="188"/>
      <c r="AKM56" s="188"/>
      <c r="AKN56" s="188"/>
      <c r="AKO56" s="188"/>
      <c r="AKP56" s="188"/>
      <c r="AKQ56" s="188"/>
      <c r="AKR56" s="188"/>
      <c r="AKS56" s="188"/>
      <c r="AKT56" s="188"/>
      <c r="AKU56" s="188"/>
      <c r="AKV56" s="188"/>
      <c r="AKW56" s="188"/>
      <c r="AKX56" s="188"/>
      <c r="AKY56" s="188"/>
      <c r="AKZ56" s="188"/>
      <c r="ALA56" s="188"/>
      <c r="ALB56" s="188"/>
      <c r="ALC56" s="188"/>
      <c r="ALD56" s="188"/>
      <c r="ALE56" s="188"/>
      <c r="ALF56" s="188"/>
      <c r="ALG56" s="188"/>
      <c r="ALH56" s="188"/>
      <c r="ALI56" s="188"/>
      <c r="ALJ56" s="188"/>
      <c r="ALK56" s="188"/>
      <c r="ALL56" s="188"/>
      <c r="ALM56" s="188"/>
      <c r="ALN56" s="188"/>
      <c r="ALO56" s="188"/>
      <c r="ALP56" s="188"/>
      <c r="ALQ56" s="188"/>
      <c r="ALR56" s="188"/>
      <c r="ALS56" s="188"/>
      <c r="ALT56" s="188"/>
      <c r="ALU56" s="188"/>
      <c r="ALV56" s="188"/>
      <c r="ALW56" s="188"/>
      <c r="ALX56" s="188"/>
      <c r="ALY56" s="188"/>
      <c r="ALZ56" s="188"/>
      <c r="AMA56" s="188"/>
      <c r="AMB56" s="188"/>
      <c r="AMC56" s="188"/>
      <c r="AMD56" s="188"/>
      <c r="AME56" s="188"/>
      <c r="AMF56" s="188"/>
      <c r="AMG56" s="188"/>
      <c r="AMH56" s="188"/>
      <c r="AMI56" s="188"/>
      <c r="AMJ56" s="188"/>
      <c r="AMK56" s="188"/>
      <c r="AML56" s="188"/>
      <c r="AMM56" s="188"/>
      <c r="AMN56" s="188"/>
      <c r="AMO56" s="188"/>
      <c r="AMP56" s="188"/>
      <c r="AMQ56" s="188"/>
      <c r="AMR56" s="188"/>
      <c r="AMS56" s="188"/>
      <c r="AMT56" s="188"/>
      <c r="AMU56" s="188"/>
      <c r="AMV56" s="188"/>
      <c r="AMW56" s="188"/>
      <c r="AMX56" s="188"/>
      <c r="AMY56" s="188"/>
      <c r="AMZ56" s="188"/>
      <c r="ANA56" s="188"/>
      <c r="ANB56" s="188"/>
      <c r="ANC56" s="188"/>
      <c r="AND56" s="188"/>
      <c r="ANE56" s="188"/>
      <c r="ANF56" s="188"/>
      <c r="ANG56" s="188"/>
      <c r="ANH56" s="188"/>
      <c r="ANI56" s="188"/>
      <c r="ANJ56" s="188"/>
      <c r="ANK56" s="188"/>
      <c r="ANL56" s="188"/>
      <c r="ANM56" s="188"/>
      <c r="ANN56" s="188"/>
      <c r="ANO56" s="188"/>
      <c r="ANP56" s="188"/>
      <c r="ANQ56" s="188"/>
      <c r="ANR56" s="188"/>
      <c r="ANS56" s="188"/>
      <c r="ANT56" s="188"/>
      <c r="ANU56" s="188"/>
      <c r="ANV56" s="188"/>
      <c r="ANW56" s="188"/>
      <c r="ANX56" s="188"/>
      <c r="ANY56" s="188"/>
      <c r="ANZ56" s="188"/>
      <c r="AOA56" s="188"/>
      <c r="AOB56" s="188"/>
      <c r="AOC56" s="188"/>
      <c r="AOD56" s="188"/>
      <c r="AOE56" s="188"/>
      <c r="AOF56" s="188"/>
      <c r="AOG56" s="188"/>
      <c r="AOH56" s="188"/>
      <c r="AOI56" s="188"/>
      <c r="AOJ56" s="188"/>
      <c r="AOK56" s="188"/>
      <c r="AOL56" s="188"/>
      <c r="AOM56" s="188"/>
      <c r="AON56" s="188"/>
      <c r="AOO56" s="188"/>
      <c r="AOP56" s="188"/>
      <c r="AOQ56" s="188"/>
      <c r="AOR56" s="188"/>
      <c r="AOS56" s="188"/>
      <c r="AOT56" s="188"/>
      <c r="AOU56" s="188"/>
      <c r="AOV56" s="188"/>
      <c r="AOW56" s="188"/>
      <c r="AOX56" s="188"/>
      <c r="AOY56" s="188"/>
      <c r="AOZ56" s="188"/>
      <c r="APA56" s="188"/>
      <c r="APB56" s="188"/>
      <c r="APC56" s="188"/>
      <c r="APD56" s="188"/>
      <c r="APE56" s="188"/>
      <c r="APF56" s="188"/>
      <c r="APG56" s="188"/>
      <c r="APH56" s="188"/>
      <c r="API56" s="188"/>
      <c r="APJ56" s="188"/>
      <c r="APK56" s="188"/>
      <c r="APL56" s="188"/>
      <c r="APM56" s="188"/>
      <c r="APN56" s="188"/>
      <c r="APO56" s="188"/>
      <c r="APP56" s="188"/>
      <c r="APQ56" s="188"/>
      <c r="APR56" s="188"/>
      <c r="APS56" s="188"/>
      <c r="APT56" s="188"/>
      <c r="APU56" s="188"/>
      <c r="APV56" s="188"/>
      <c r="APW56" s="188"/>
      <c r="APX56" s="188"/>
      <c r="APY56" s="188"/>
      <c r="APZ56" s="188"/>
      <c r="AQA56" s="188"/>
      <c r="AQB56" s="188"/>
      <c r="AQC56" s="188"/>
      <c r="AQD56" s="188"/>
      <c r="AQE56" s="188"/>
      <c r="AQF56" s="188"/>
      <c r="AQG56" s="188"/>
      <c r="AQH56" s="188"/>
      <c r="AQI56" s="188"/>
      <c r="AQJ56" s="188"/>
      <c r="AQK56" s="188"/>
      <c r="AQL56" s="188"/>
      <c r="AQM56" s="188"/>
      <c r="AQN56" s="188"/>
      <c r="AQO56" s="188"/>
      <c r="AQP56" s="188"/>
      <c r="AQQ56" s="188"/>
      <c r="AQR56" s="188"/>
      <c r="AQS56" s="188"/>
      <c r="AQT56" s="188"/>
      <c r="AQU56" s="188"/>
      <c r="AQV56" s="188"/>
      <c r="AQW56" s="188"/>
      <c r="AQX56" s="188"/>
      <c r="AQY56" s="188"/>
      <c r="AQZ56" s="188"/>
      <c r="ARA56" s="188"/>
      <c r="ARB56" s="188"/>
      <c r="ARC56" s="188"/>
      <c r="ARD56" s="188"/>
      <c r="ARE56" s="188"/>
      <c r="ARF56" s="188"/>
      <c r="ARG56" s="188"/>
      <c r="ARH56" s="188"/>
      <c r="ARI56" s="188"/>
      <c r="ARJ56" s="188"/>
      <c r="ARK56" s="188"/>
      <c r="ARL56" s="188"/>
      <c r="ARM56" s="188"/>
      <c r="ARN56" s="188"/>
      <c r="ARO56" s="188"/>
      <c r="ARP56" s="188"/>
      <c r="ARQ56" s="188"/>
      <c r="ARR56" s="188"/>
      <c r="ARS56" s="188"/>
      <c r="ART56" s="188"/>
      <c r="ARU56" s="188"/>
      <c r="ARV56" s="188"/>
      <c r="ARW56" s="188"/>
      <c r="ARX56" s="188"/>
      <c r="ARY56" s="188"/>
      <c r="ARZ56" s="188"/>
      <c r="ASA56" s="188"/>
      <c r="ASB56" s="188"/>
      <c r="ASC56" s="188"/>
      <c r="ASD56" s="188"/>
      <c r="ASE56" s="188"/>
      <c r="ASF56" s="188"/>
      <c r="ASG56" s="188"/>
      <c r="ASH56" s="188"/>
      <c r="ASI56" s="188"/>
      <c r="ASJ56" s="188"/>
      <c r="ASK56" s="188"/>
      <c r="ASL56" s="188"/>
      <c r="ASM56" s="188"/>
      <c r="ASN56" s="188"/>
      <c r="ASO56" s="188"/>
      <c r="ASP56" s="188"/>
      <c r="ASQ56" s="188"/>
      <c r="ASR56" s="188"/>
      <c r="ASS56" s="188"/>
      <c r="AST56" s="188"/>
      <c r="ASU56" s="188"/>
      <c r="ASV56" s="188"/>
      <c r="ASW56" s="188"/>
      <c r="ASX56" s="188"/>
      <c r="ASY56" s="188"/>
      <c r="ASZ56" s="188"/>
      <c r="ATA56" s="188"/>
      <c r="ATB56" s="188"/>
      <c r="ATC56" s="188"/>
      <c r="ATD56" s="188"/>
      <c r="ATE56" s="188"/>
      <c r="ATF56" s="188"/>
      <c r="ATG56" s="188"/>
      <c r="ATH56" s="188"/>
      <c r="ATI56" s="188"/>
      <c r="ATJ56" s="188"/>
      <c r="ATK56" s="188"/>
      <c r="ATL56" s="188"/>
      <c r="ATM56" s="188"/>
      <c r="ATN56" s="188"/>
      <c r="ATO56" s="188"/>
      <c r="ATP56" s="188"/>
      <c r="ATQ56" s="188"/>
      <c r="ATR56" s="188"/>
      <c r="ATS56" s="188"/>
      <c r="ATT56" s="188"/>
      <c r="ATU56" s="188"/>
      <c r="ATV56" s="188"/>
      <c r="ATW56" s="188"/>
      <c r="ATX56" s="188"/>
      <c r="ATY56" s="188"/>
      <c r="ATZ56" s="188"/>
      <c r="AUA56" s="188"/>
      <c r="AUB56" s="188"/>
      <c r="AUC56" s="188"/>
      <c r="AUD56" s="188"/>
      <c r="AUE56" s="188"/>
      <c r="AUF56" s="188"/>
      <c r="AUG56" s="188"/>
      <c r="AUH56" s="188"/>
      <c r="AUI56" s="188"/>
      <c r="AUJ56" s="188"/>
      <c r="AUK56" s="188"/>
      <c r="AUL56" s="188"/>
      <c r="AUM56" s="188"/>
      <c r="AUN56" s="188"/>
      <c r="AUO56" s="188"/>
      <c r="AUP56" s="188"/>
      <c r="AUQ56" s="188"/>
      <c r="AUR56" s="188"/>
      <c r="AUS56" s="188"/>
      <c r="AUT56" s="188"/>
      <c r="AUU56" s="188"/>
      <c r="AUV56" s="188"/>
      <c r="AUW56" s="188"/>
      <c r="AUX56" s="188"/>
      <c r="AUY56" s="188"/>
      <c r="AUZ56" s="188"/>
      <c r="AVA56" s="188"/>
      <c r="AVB56" s="188"/>
      <c r="AVC56" s="188"/>
      <c r="AVD56" s="188"/>
      <c r="AVE56" s="188"/>
      <c r="AVF56" s="188"/>
      <c r="AVG56" s="188"/>
      <c r="AVH56" s="188"/>
      <c r="AVI56" s="188"/>
      <c r="AVJ56" s="188"/>
      <c r="AVK56" s="188"/>
      <c r="AVL56" s="188"/>
      <c r="AVM56" s="188"/>
      <c r="AVN56" s="188"/>
      <c r="AVO56" s="188"/>
      <c r="AVP56" s="188"/>
      <c r="AVQ56" s="188"/>
      <c r="AVR56" s="188"/>
      <c r="AVS56" s="188"/>
      <c r="AVT56" s="188"/>
      <c r="AVU56" s="188"/>
      <c r="AVV56" s="188"/>
      <c r="AVW56" s="188"/>
      <c r="AVX56" s="188"/>
      <c r="AVY56" s="188"/>
      <c r="AVZ56" s="188"/>
      <c r="AWA56" s="188"/>
      <c r="AWB56" s="188"/>
      <c r="AWC56" s="188"/>
      <c r="AWD56" s="188"/>
      <c r="AWE56" s="188"/>
      <c r="AWF56" s="188"/>
      <c r="AWG56" s="188"/>
      <c r="AWH56" s="188"/>
      <c r="AWI56" s="188"/>
      <c r="AWJ56" s="188"/>
      <c r="AWK56" s="188"/>
      <c r="AWL56" s="188"/>
      <c r="AWM56" s="188"/>
      <c r="AWN56" s="188"/>
      <c r="AWO56" s="188"/>
      <c r="AWP56" s="188"/>
      <c r="AWQ56" s="188"/>
      <c r="AWR56" s="188"/>
      <c r="AWS56" s="188"/>
      <c r="AWT56" s="188"/>
      <c r="AWU56" s="188"/>
      <c r="AWV56" s="188"/>
      <c r="AWW56" s="188"/>
      <c r="AWX56" s="188"/>
      <c r="AWY56" s="188"/>
      <c r="AWZ56" s="188"/>
      <c r="AXA56" s="188"/>
      <c r="AXB56" s="188"/>
      <c r="AXC56" s="188"/>
      <c r="AXD56" s="188"/>
      <c r="AXE56" s="188"/>
      <c r="AXF56" s="188"/>
      <c r="AXG56" s="188"/>
      <c r="AXH56" s="188"/>
      <c r="AXI56" s="188"/>
      <c r="AXJ56" s="188"/>
      <c r="AXK56" s="188"/>
      <c r="AXL56" s="188"/>
      <c r="AXM56" s="188"/>
      <c r="AXN56" s="188"/>
      <c r="AXO56" s="188"/>
      <c r="AXP56" s="188"/>
      <c r="AXQ56" s="188"/>
      <c r="AXR56" s="188"/>
      <c r="AXS56" s="188"/>
      <c r="AXT56" s="188"/>
      <c r="AXU56" s="188"/>
      <c r="AXV56" s="188"/>
      <c r="AXW56" s="188"/>
      <c r="AXX56" s="188"/>
      <c r="AXY56" s="188"/>
      <c r="AXZ56" s="188"/>
      <c r="AYA56" s="188"/>
      <c r="AYB56" s="188"/>
      <c r="AYC56" s="188"/>
      <c r="AYD56" s="188"/>
      <c r="AYE56" s="188"/>
      <c r="AYF56" s="188"/>
      <c r="AYG56" s="188"/>
      <c r="AYH56" s="188"/>
      <c r="AYI56" s="188"/>
      <c r="AYJ56" s="188"/>
      <c r="AYK56" s="188"/>
      <c r="AYL56" s="188"/>
      <c r="AYM56" s="188"/>
      <c r="AYN56" s="188"/>
      <c r="AYO56" s="188"/>
      <c r="AYP56" s="188"/>
      <c r="AYQ56" s="188"/>
      <c r="AYR56" s="188"/>
      <c r="AYS56" s="188"/>
      <c r="AYT56" s="188"/>
      <c r="AYU56" s="188"/>
      <c r="AYV56" s="188"/>
      <c r="AYW56" s="188"/>
      <c r="AYX56" s="188"/>
      <c r="AYY56" s="188"/>
      <c r="AYZ56" s="188"/>
      <c r="AZA56" s="188"/>
      <c r="AZB56" s="188"/>
      <c r="AZC56" s="188"/>
      <c r="AZD56" s="188"/>
      <c r="AZE56" s="188"/>
      <c r="AZF56" s="188"/>
      <c r="AZG56" s="188"/>
      <c r="AZH56" s="188"/>
      <c r="AZI56" s="188"/>
      <c r="AZJ56" s="188"/>
      <c r="AZK56" s="188"/>
      <c r="AZL56" s="188"/>
      <c r="AZM56" s="188"/>
      <c r="AZN56" s="188"/>
      <c r="AZO56" s="188"/>
      <c r="AZP56" s="188"/>
      <c r="AZQ56" s="188"/>
      <c r="AZR56" s="188"/>
      <c r="AZS56" s="188"/>
      <c r="AZT56" s="188"/>
      <c r="AZU56" s="188"/>
      <c r="AZV56" s="188"/>
      <c r="AZW56" s="188"/>
      <c r="AZX56" s="188"/>
      <c r="AZY56" s="188"/>
      <c r="AZZ56" s="188"/>
      <c r="BAA56" s="188"/>
      <c r="BAB56" s="188"/>
      <c r="BAC56" s="188"/>
      <c r="BAD56" s="188"/>
      <c r="BAE56" s="188"/>
      <c r="BAF56" s="188"/>
      <c r="BAG56" s="188"/>
      <c r="BAH56" s="188"/>
      <c r="BAI56" s="188"/>
      <c r="BAJ56" s="188"/>
      <c r="BAK56" s="188"/>
      <c r="BAL56" s="188"/>
      <c r="BAM56" s="188"/>
      <c r="BAN56" s="188"/>
      <c r="BAO56" s="188"/>
      <c r="BAP56" s="188"/>
      <c r="BAQ56" s="188"/>
      <c r="BAR56" s="188"/>
      <c r="BAS56" s="188"/>
      <c r="BAT56" s="188"/>
      <c r="BAU56" s="188"/>
      <c r="BAV56" s="188"/>
      <c r="BAW56" s="188"/>
      <c r="BAX56" s="188"/>
      <c r="BAY56" s="188"/>
      <c r="BAZ56" s="188"/>
      <c r="BBA56" s="188"/>
      <c r="BBB56" s="188"/>
      <c r="BBC56" s="188"/>
      <c r="BBD56" s="188"/>
      <c r="BBE56" s="188"/>
      <c r="BBF56" s="188"/>
      <c r="BBG56" s="188"/>
      <c r="BBH56" s="188"/>
      <c r="BBI56" s="188"/>
      <c r="BBJ56" s="188"/>
      <c r="BBK56" s="188"/>
      <c r="BBL56" s="188"/>
      <c r="BBM56" s="188"/>
      <c r="BBN56" s="188"/>
      <c r="BBO56" s="188"/>
      <c r="BBP56" s="188"/>
      <c r="BBQ56" s="188"/>
      <c r="BBR56" s="188"/>
      <c r="BBS56" s="188"/>
      <c r="BBT56" s="188"/>
      <c r="BBU56" s="188"/>
      <c r="BBV56" s="188"/>
      <c r="BBW56" s="188"/>
      <c r="BBX56" s="188"/>
      <c r="BBY56" s="188"/>
      <c r="BBZ56" s="188"/>
      <c r="BCA56" s="188"/>
      <c r="BCB56" s="188"/>
      <c r="BCC56" s="188"/>
      <c r="BCD56" s="188"/>
      <c r="BCE56" s="188"/>
      <c r="BCF56" s="188"/>
      <c r="BCG56" s="188"/>
      <c r="BCH56" s="188"/>
      <c r="BCI56" s="188"/>
      <c r="BCJ56" s="188"/>
      <c r="BCK56" s="188"/>
      <c r="BCL56" s="188"/>
      <c r="BCM56" s="188"/>
      <c r="BCN56" s="188"/>
      <c r="BCO56" s="188"/>
      <c r="BCP56" s="188"/>
      <c r="BCQ56" s="188"/>
      <c r="BCR56" s="188"/>
      <c r="BCS56" s="188"/>
      <c r="BCT56" s="188"/>
      <c r="BCU56" s="188"/>
      <c r="BCV56" s="188"/>
      <c r="BCW56" s="188"/>
      <c r="BCX56" s="188"/>
      <c r="BCY56" s="188"/>
      <c r="BCZ56" s="188"/>
      <c r="BDA56" s="188"/>
      <c r="BDB56" s="188"/>
      <c r="BDC56" s="188"/>
      <c r="BDD56" s="188"/>
      <c r="BDE56" s="188"/>
      <c r="BDF56" s="188"/>
      <c r="BDG56" s="188"/>
      <c r="BDH56" s="188"/>
      <c r="BDI56" s="188"/>
      <c r="BDJ56" s="188"/>
      <c r="BDK56" s="188"/>
      <c r="BDL56" s="188"/>
      <c r="BDM56" s="188"/>
      <c r="BDN56" s="188"/>
      <c r="BDO56" s="188"/>
      <c r="BDP56" s="188"/>
      <c r="BDQ56" s="188"/>
      <c r="BDR56" s="188"/>
      <c r="BDS56" s="188"/>
      <c r="BDT56" s="188"/>
      <c r="BDU56" s="188"/>
      <c r="BDV56" s="188"/>
      <c r="BDW56" s="188"/>
      <c r="BDX56" s="188"/>
      <c r="BDY56" s="188"/>
      <c r="BDZ56" s="188"/>
      <c r="BEA56" s="188"/>
      <c r="BEB56" s="188"/>
      <c r="BEC56" s="188"/>
      <c r="BED56" s="188"/>
      <c r="BEE56" s="188"/>
      <c r="BEF56" s="188"/>
      <c r="BEG56" s="188"/>
      <c r="BEH56" s="188"/>
      <c r="BEI56" s="188"/>
      <c r="BEJ56" s="188"/>
      <c r="BEK56" s="188"/>
      <c r="BEL56" s="188"/>
      <c r="BEM56" s="188"/>
      <c r="BEN56" s="188"/>
      <c r="BEO56" s="188"/>
      <c r="BEP56" s="188"/>
      <c r="BEQ56" s="188"/>
      <c r="BER56" s="188"/>
      <c r="BES56" s="188"/>
      <c r="BET56" s="188"/>
      <c r="BEU56" s="188"/>
      <c r="BEV56" s="188"/>
      <c r="BEW56" s="188"/>
      <c r="BEX56" s="188"/>
      <c r="BEY56" s="188"/>
      <c r="BEZ56" s="188"/>
      <c r="BFA56" s="188"/>
      <c r="BFB56" s="188"/>
      <c r="BFC56" s="188"/>
      <c r="BFD56" s="188"/>
      <c r="BFE56" s="188"/>
      <c r="BFF56" s="188"/>
      <c r="BFG56" s="188"/>
      <c r="BFH56" s="188"/>
      <c r="BFI56" s="188"/>
      <c r="BFJ56" s="188"/>
      <c r="BFK56" s="188"/>
      <c r="BFL56" s="188"/>
      <c r="BFM56" s="188"/>
      <c r="BFN56" s="188"/>
      <c r="BFO56" s="188"/>
      <c r="BFP56" s="188"/>
      <c r="BFQ56" s="188"/>
      <c r="BFR56" s="188"/>
      <c r="BFS56" s="188"/>
      <c r="BFT56" s="188"/>
      <c r="BFU56" s="188"/>
      <c r="BFV56" s="188"/>
      <c r="BFW56" s="188"/>
      <c r="BFX56" s="188"/>
      <c r="BFY56" s="188"/>
      <c r="BFZ56" s="188"/>
      <c r="BGA56" s="188"/>
      <c r="BGB56" s="188"/>
      <c r="BGC56" s="188"/>
      <c r="BGD56" s="188"/>
      <c r="BGE56" s="188"/>
      <c r="BGF56" s="188"/>
      <c r="BGG56" s="188"/>
      <c r="BGH56" s="188"/>
      <c r="BGI56" s="188"/>
      <c r="BGJ56" s="188"/>
      <c r="BGK56" s="188"/>
      <c r="BGL56" s="188"/>
      <c r="BGM56" s="188"/>
      <c r="BGN56" s="188"/>
      <c r="BGO56" s="188"/>
      <c r="BGP56" s="188"/>
      <c r="BGQ56" s="188"/>
      <c r="BGR56" s="188"/>
      <c r="BGS56" s="188"/>
      <c r="BGT56" s="188"/>
      <c r="BGU56" s="188"/>
      <c r="BGV56" s="188"/>
      <c r="BGW56" s="188"/>
      <c r="BGX56" s="188"/>
      <c r="BGY56" s="188"/>
      <c r="BGZ56" s="188"/>
      <c r="BHA56" s="188"/>
      <c r="BHB56" s="188"/>
      <c r="BHC56" s="188"/>
      <c r="BHD56" s="188"/>
      <c r="BHE56" s="188"/>
      <c r="BHF56" s="188"/>
      <c r="BHG56" s="188"/>
      <c r="BHH56" s="188"/>
      <c r="BHI56" s="188"/>
      <c r="BHJ56" s="188"/>
      <c r="BHK56" s="188"/>
      <c r="BHL56" s="188"/>
      <c r="BHM56" s="188"/>
      <c r="BHN56" s="188"/>
      <c r="BHO56" s="188"/>
      <c r="BHP56" s="188"/>
      <c r="BHQ56" s="188"/>
      <c r="BHR56" s="188"/>
      <c r="BHS56" s="188"/>
      <c r="BHT56" s="188"/>
      <c r="BHU56" s="188"/>
      <c r="BHV56" s="188"/>
      <c r="BHW56" s="188"/>
      <c r="BHX56" s="188"/>
      <c r="BHY56" s="188"/>
      <c r="BHZ56" s="188"/>
      <c r="BIA56" s="188"/>
      <c r="BIB56" s="188"/>
      <c r="BIC56" s="188"/>
      <c r="BID56" s="188"/>
      <c r="BIE56" s="188"/>
      <c r="BIF56" s="188"/>
      <c r="BIG56" s="188"/>
      <c r="BIH56" s="188"/>
      <c r="BII56" s="188"/>
      <c r="BIJ56" s="188"/>
      <c r="BIK56" s="188"/>
      <c r="BIL56" s="188"/>
      <c r="BIM56" s="188"/>
      <c r="BIN56" s="188"/>
      <c r="BIO56" s="188"/>
      <c r="BIP56" s="188"/>
      <c r="BIQ56" s="188"/>
      <c r="BIR56" s="188"/>
      <c r="BIS56" s="188"/>
      <c r="BIT56" s="188"/>
      <c r="BIU56" s="188"/>
      <c r="BIV56" s="188"/>
      <c r="BIW56" s="188"/>
      <c r="BIX56" s="188"/>
      <c r="BIY56" s="188"/>
      <c r="BIZ56" s="188"/>
      <c r="BJA56" s="188"/>
      <c r="BJB56" s="188"/>
      <c r="BJC56" s="188"/>
      <c r="BJD56" s="188"/>
      <c r="BJE56" s="188"/>
      <c r="BJF56" s="188"/>
      <c r="BJG56" s="188"/>
      <c r="BJH56" s="188"/>
      <c r="BJI56" s="188"/>
      <c r="BJJ56" s="188"/>
      <c r="BJK56" s="188"/>
      <c r="BJL56" s="188"/>
      <c r="BJM56" s="188"/>
      <c r="BJN56" s="188"/>
      <c r="BJO56" s="188"/>
      <c r="BJP56" s="188"/>
      <c r="BJQ56" s="188"/>
      <c r="BJR56" s="188"/>
      <c r="BJS56" s="188"/>
      <c r="BJT56" s="188"/>
      <c r="BJU56" s="188"/>
      <c r="BJV56" s="188"/>
      <c r="BJW56" s="188"/>
      <c r="BJX56" s="188"/>
      <c r="BJY56" s="188"/>
      <c r="BJZ56" s="188"/>
      <c r="BKA56" s="188"/>
      <c r="BKB56" s="188"/>
      <c r="BKC56" s="188"/>
      <c r="BKD56" s="188"/>
      <c r="BKE56" s="188"/>
      <c r="BKF56" s="188"/>
      <c r="BKG56" s="188"/>
      <c r="BKH56" s="188"/>
      <c r="BKI56" s="188"/>
      <c r="BKJ56" s="188"/>
      <c r="BKK56" s="188"/>
      <c r="BKL56" s="188"/>
      <c r="BKM56" s="188"/>
      <c r="BKN56" s="188"/>
    </row>
    <row r="57" spans="1:1652" s="21" customFormat="1" x14ac:dyDescent="0.3">
      <c r="A57" s="171"/>
      <c r="B57" s="189"/>
      <c r="C57" s="189"/>
      <c r="D57" s="189"/>
      <c r="E57" s="189"/>
      <c r="F57" s="189"/>
      <c r="G57" s="189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8"/>
      <c r="AE57" s="188"/>
      <c r="AF57" s="188"/>
      <c r="AG57" s="188"/>
      <c r="AH57" s="188"/>
      <c r="AI57" s="188"/>
      <c r="AJ57" s="188"/>
      <c r="AK57" s="188"/>
      <c r="AL57" s="188"/>
      <c r="AM57" s="188"/>
      <c r="AN57" s="188"/>
      <c r="AO57" s="188"/>
      <c r="AP57" s="188"/>
      <c r="AQ57" s="188"/>
      <c r="AR57" s="188"/>
      <c r="AS57" s="188"/>
      <c r="AT57" s="189"/>
      <c r="AU57" s="189"/>
      <c r="AV57" s="189"/>
      <c r="AW57" s="189"/>
      <c r="AX57" s="189"/>
      <c r="AY57" s="189"/>
      <c r="AZ57" s="189"/>
      <c r="BA57" s="189"/>
      <c r="BB57" s="189"/>
      <c r="BC57" s="189"/>
      <c r="BD57" s="189"/>
      <c r="BE57" s="188"/>
      <c r="BF57" s="188"/>
      <c r="BG57" s="188"/>
      <c r="BH57" s="188"/>
      <c r="BI57" s="188"/>
      <c r="BJ57" s="188"/>
      <c r="BK57" s="188"/>
      <c r="BL57" s="188"/>
      <c r="BM57" s="188"/>
      <c r="BN57" s="188"/>
      <c r="BO57" s="188"/>
      <c r="BP57" s="188"/>
      <c r="BQ57" s="188"/>
      <c r="BR57" s="188"/>
      <c r="BS57" s="188"/>
      <c r="BT57" s="188"/>
      <c r="BU57" s="188"/>
      <c r="BV57" s="188"/>
      <c r="BW57" s="188"/>
      <c r="BX57" s="188"/>
      <c r="BY57" s="188"/>
      <c r="BZ57" s="188"/>
      <c r="CA57" s="188"/>
      <c r="CB57" s="188"/>
      <c r="CC57" s="188"/>
      <c r="CD57" s="188"/>
      <c r="CE57" s="188"/>
      <c r="CF57" s="188"/>
      <c r="CG57" s="188"/>
      <c r="CH57" s="188"/>
      <c r="CI57" s="188"/>
      <c r="CJ57" s="188"/>
      <c r="CK57" s="188"/>
      <c r="CL57" s="188"/>
      <c r="CM57" s="188"/>
      <c r="CN57" s="188"/>
      <c r="CO57" s="188"/>
      <c r="CP57" s="188"/>
      <c r="CQ57" s="188"/>
      <c r="CR57" s="188"/>
      <c r="CS57" s="188"/>
      <c r="CT57" s="188"/>
      <c r="CU57" s="188"/>
      <c r="CV57" s="188"/>
      <c r="CW57" s="188"/>
      <c r="CX57" s="188"/>
      <c r="CY57" s="188"/>
      <c r="CZ57" s="188"/>
      <c r="DA57" s="188"/>
      <c r="DB57" s="188"/>
      <c r="DC57" s="188"/>
      <c r="DD57" s="188"/>
      <c r="DE57" s="188"/>
      <c r="DF57" s="188"/>
      <c r="DG57" s="188"/>
      <c r="DH57" s="188"/>
      <c r="DI57" s="188"/>
      <c r="DJ57" s="188"/>
      <c r="DK57" s="188"/>
      <c r="DL57" s="188"/>
      <c r="DM57" s="188"/>
      <c r="DN57" s="188"/>
      <c r="DO57" s="188"/>
      <c r="DP57" s="188"/>
      <c r="DQ57" s="188"/>
      <c r="DR57" s="188"/>
      <c r="DS57" s="188"/>
      <c r="DT57" s="188"/>
      <c r="DU57" s="188"/>
      <c r="DV57" s="188"/>
      <c r="DW57" s="188"/>
      <c r="DX57" s="188"/>
      <c r="DY57" s="188"/>
      <c r="DZ57" s="188"/>
      <c r="EA57" s="188"/>
      <c r="EB57" s="188"/>
      <c r="EC57" s="188"/>
      <c r="ED57" s="188"/>
      <c r="EE57" s="188"/>
      <c r="EF57" s="188"/>
      <c r="EG57" s="188"/>
      <c r="EH57" s="188"/>
      <c r="EI57" s="188"/>
      <c r="EJ57" s="188"/>
      <c r="EK57" s="188"/>
      <c r="EL57" s="188"/>
      <c r="EM57" s="188"/>
      <c r="EN57" s="188"/>
      <c r="EO57" s="188"/>
      <c r="EP57" s="188"/>
      <c r="EQ57" s="188"/>
      <c r="ER57" s="188"/>
      <c r="ES57" s="188"/>
      <c r="ET57" s="188"/>
      <c r="EU57" s="188"/>
      <c r="EV57" s="188"/>
      <c r="EW57" s="188"/>
      <c r="EX57" s="188"/>
      <c r="EY57" s="188"/>
      <c r="EZ57" s="188"/>
      <c r="FA57" s="188"/>
      <c r="FB57" s="188"/>
      <c r="FC57" s="188"/>
      <c r="FD57" s="188"/>
      <c r="FE57" s="188"/>
      <c r="FF57" s="188"/>
      <c r="FG57" s="188"/>
      <c r="FH57" s="188"/>
      <c r="FI57" s="188"/>
      <c r="FJ57" s="188"/>
      <c r="FK57" s="188"/>
      <c r="FL57" s="188"/>
      <c r="FM57" s="188"/>
      <c r="FN57" s="188"/>
      <c r="FO57" s="188"/>
      <c r="FP57" s="188"/>
      <c r="FQ57" s="188"/>
      <c r="FR57" s="188"/>
      <c r="FS57" s="188"/>
      <c r="FT57" s="188"/>
      <c r="FU57" s="188"/>
      <c r="FV57" s="188"/>
      <c r="FW57" s="188"/>
      <c r="FX57" s="188"/>
      <c r="FY57" s="188"/>
      <c r="FZ57" s="188"/>
      <c r="GA57" s="188"/>
      <c r="GB57" s="188"/>
      <c r="GC57" s="188"/>
      <c r="GD57" s="188"/>
      <c r="GE57" s="188"/>
      <c r="GF57" s="188"/>
      <c r="GG57" s="188"/>
      <c r="GH57" s="188"/>
      <c r="GI57" s="188"/>
      <c r="GJ57" s="188"/>
      <c r="GK57" s="188"/>
      <c r="GL57" s="188"/>
      <c r="GM57" s="188"/>
      <c r="GN57" s="188"/>
      <c r="GO57" s="188"/>
      <c r="GP57" s="188"/>
      <c r="GQ57" s="188"/>
      <c r="GR57" s="188"/>
      <c r="GS57" s="188"/>
      <c r="GT57" s="188"/>
      <c r="GU57" s="188"/>
      <c r="GV57" s="188"/>
      <c r="GW57" s="188"/>
      <c r="GX57" s="188"/>
      <c r="GY57" s="188"/>
      <c r="GZ57" s="188"/>
      <c r="HA57" s="188"/>
      <c r="HB57" s="188"/>
      <c r="HC57" s="188"/>
      <c r="HD57" s="188"/>
      <c r="HE57" s="188"/>
      <c r="HF57" s="188"/>
      <c r="HG57" s="188"/>
      <c r="HH57" s="188"/>
      <c r="HI57" s="188"/>
      <c r="HJ57" s="188"/>
      <c r="HK57" s="188"/>
      <c r="HL57" s="188"/>
      <c r="HM57" s="188"/>
      <c r="HN57" s="188"/>
      <c r="HO57" s="188"/>
      <c r="HP57" s="188"/>
      <c r="HQ57" s="188"/>
      <c r="HR57" s="188"/>
      <c r="HS57" s="188"/>
      <c r="HT57" s="188"/>
      <c r="HU57" s="188"/>
      <c r="HV57" s="188"/>
      <c r="HW57" s="188"/>
      <c r="HX57" s="188"/>
      <c r="HY57" s="188"/>
      <c r="HZ57" s="188"/>
      <c r="IA57" s="188"/>
      <c r="IB57" s="188"/>
      <c r="IC57" s="188"/>
      <c r="ID57" s="188"/>
      <c r="IE57" s="188"/>
      <c r="IF57" s="188"/>
      <c r="IG57" s="188"/>
      <c r="IH57" s="188"/>
      <c r="II57" s="188"/>
      <c r="IJ57" s="188"/>
      <c r="IK57" s="188"/>
      <c r="IL57" s="188"/>
      <c r="IM57" s="188"/>
      <c r="IN57" s="188"/>
      <c r="IO57" s="188"/>
      <c r="IP57" s="188"/>
      <c r="IQ57" s="188"/>
      <c r="IR57" s="188"/>
      <c r="IS57" s="188"/>
      <c r="IT57" s="188"/>
      <c r="IU57" s="188"/>
      <c r="IV57" s="188"/>
      <c r="IW57" s="188"/>
      <c r="IX57" s="188"/>
      <c r="IY57" s="188"/>
      <c r="IZ57" s="188"/>
      <c r="JA57" s="188"/>
      <c r="JB57" s="188"/>
      <c r="JC57" s="188"/>
      <c r="JD57" s="188"/>
      <c r="JE57" s="188"/>
      <c r="JF57" s="188"/>
      <c r="JG57" s="188"/>
      <c r="JH57" s="188"/>
      <c r="JI57" s="188"/>
      <c r="JJ57" s="188"/>
      <c r="JK57" s="188"/>
      <c r="JL57" s="188"/>
      <c r="JM57" s="188"/>
      <c r="JN57" s="188"/>
      <c r="JO57" s="188"/>
      <c r="JP57" s="188"/>
      <c r="JQ57" s="188"/>
      <c r="JR57" s="188"/>
      <c r="JS57" s="188"/>
      <c r="JT57" s="188"/>
      <c r="JU57" s="188"/>
      <c r="JV57" s="188"/>
      <c r="JW57" s="188"/>
      <c r="JX57" s="188"/>
      <c r="JY57" s="188"/>
      <c r="JZ57" s="188"/>
      <c r="KA57" s="188"/>
      <c r="KB57" s="188"/>
      <c r="KC57" s="188"/>
      <c r="KD57" s="188"/>
      <c r="KE57" s="188"/>
      <c r="KF57" s="188"/>
      <c r="KG57" s="188"/>
      <c r="KH57" s="188"/>
      <c r="KI57" s="188"/>
      <c r="KJ57" s="188"/>
      <c r="KK57" s="188"/>
      <c r="KL57" s="188"/>
      <c r="KM57" s="188"/>
      <c r="KN57" s="188"/>
      <c r="KO57" s="188"/>
      <c r="KP57" s="188"/>
      <c r="KQ57" s="188"/>
      <c r="KR57" s="188"/>
      <c r="KS57" s="188"/>
      <c r="KT57" s="188"/>
      <c r="KU57" s="188"/>
      <c r="KV57" s="188"/>
      <c r="KW57" s="188"/>
      <c r="KX57" s="188"/>
      <c r="KY57" s="188"/>
      <c r="KZ57" s="188"/>
      <c r="LA57" s="188"/>
      <c r="LB57" s="188"/>
      <c r="LC57" s="188"/>
      <c r="LD57" s="188"/>
      <c r="LE57" s="188"/>
      <c r="LF57" s="188"/>
      <c r="LG57" s="188"/>
      <c r="LH57" s="188"/>
      <c r="LI57" s="188"/>
      <c r="LJ57" s="188"/>
      <c r="LK57" s="188"/>
      <c r="LL57" s="188"/>
      <c r="LM57" s="188"/>
      <c r="LN57" s="188"/>
      <c r="LO57" s="188"/>
      <c r="LP57" s="188"/>
      <c r="LQ57" s="188"/>
      <c r="LR57" s="188"/>
      <c r="LS57" s="188"/>
      <c r="LT57" s="188"/>
      <c r="LU57" s="188"/>
      <c r="LV57" s="188"/>
      <c r="LW57" s="188"/>
      <c r="LX57" s="188"/>
      <c r="LY57" s="188"/>
      <c r="LZ57" s="188"/>
      <c r="MA57" s="188"/>
      <c r="MB57" s="188"/>
      <c r="MC57" s="188"/>
      <c r="MD57" s="188"/>
      <c r="ME57" s="188"/>
      <c r="MF57" s="188"/>
      <c r="MG57" s="188"/>
      <c r="MH57" s="188"/>
      <c r="MI57" s="188"/>
      <c r="MJ57" s="188"/>
      <c r="MK57" s="188"/>
      <c r="ML57" s="188"/>
      <c r="MM57" s="188"/>
      <c r="MN57" s="188"/>
      <c r="MO57" s="188"/>
      <c r="MP57" s="188"/>
      <c r="MQ57" s="188"/>
      <c r="MR57" s="188"/>
      <c r="MS57" s="188"/>
      <c r="MT57" s="188"/>
      <c r="MU57" s="188"/>
      <c r="MV57" s="188"/>
      <c r="MW57" s="188"/>
      <c r="MX57" s="188"/>
      <c r="MY57" s="188"/>
      <c r="MZ57" s="188"/>
      <c r="NA57" s="188"/>
      <c r="NB57" s="188"/>
      <c r="NC57" s="188"/>
      <c r="ND57" s="188"/>
      <c r="NE57" s="188"/>
      <c r="NF57" s="188"/>
      <c r="NG57" s="188"/>
      <c r="NH57" s="188"/>
      <c r="NI57" s="188"/>
      <c r="NJ57" s="188"/>
      <c r="NK57" s="188"/>
      <c r="NL57" s="188"/>
      <c r="NM57" s="188"/>
      <c r="NN57" s="188"/>
      <c r="NO57" s="188"/>
      <c r="NP57" s="188"/>
      <c r="NQ57" s="188"/>
      <c r="NR57" s="188"/>
      <c r="NS57" s="188"/>
      <c r="NT57" s="188"/>
      <c r="NU57" s="188"/>
      <c r="NV57" s="188"/>
      <c r="NW57" s="188"/>
      <c r="NX57" s="188"/>
      <c r="NY57" s="188"/>
      <c r="NZ57" s="188"/>
      <c r="OA57" s="188"/>
      <c r="OB57" s="188"/>
      <c r="OC57" s="188"/>
      <c r="OD57" s="188"/>
      <c r="OE57" s="188"/>
      <c r="OF57" s="188"/>
      <c r="OG57" s="188"/>
      <c r="OH57" s="188"/>
      <c r="OI57" s="188"/>
      <c r="OJ57" s="188"/>
      <c r="OK57" s="188"/>
      <c r="OL57" s="188"/>
      <c r="OM57" s="188"/>
      <c r="ON57" s="188"/>
      <c r="OO57" s="188"/>
      <c r="OP57" s="188"/>
      <c r="OQ57" s="188"/>
      <c r="OR57" s="188"/>
      <c r="OS57" s="188"/>
      <c r="OT57" s="188"/>
      <c r="OU57" s="188"/>
      <c r="OV57" s="188"/>
      <c r="OW57" s="188"/>
      <c r="OX57" s="188"/>
      <c r="OY57" s="188"/>
      <c r="OZ57" s="188"/>
      <c r="PA57" s="188"/>
      <c r="PB57" s="188"/>
      <c r="PC57" s="188"/>
      <c r="PD57" s="188"/>
      <c r="PE57" s="188"/>
      <c r="PF57" s="188"/>
      <c r="PG57" s="188"/>
      <c r="PH57" s="188"/>
      <c r="PI57" s="188"/>
      <c r="PJ57" s="188"/>
      <c r="PK57" s="188"/>
      <c r="PL57" s="188"/>
      <c r="PM57" s="188"/>
      <c r="PN57" s="188"/>
      <c r="PO57" s="188"/>
      <c r="PP57" s="188"/>
      <c r="PQ57" s="188"/>
      <c r="PR57" s="188"/>
      <c r="PS57" s="188"/>
      <c r="PT57" s="188"/>
      <c r="PU57" s="188"/>
      <c r="PV57" s="188"/>
      <c r="PW57" s="188"/>
      <c r="PX57" s="188"/>
      <c r="PY57" s="188"/>
      <c r="PZ57" s="188"/>
      <c r="QA57" s="188"/>
      <c r="QB57" s="188"/>
      <c r="QC57" s="188"/>
      <c r="QD57" s="188"/>
      <c r="QE57" s="188"/>
      <c r="QF57" s="188"/>
      <c r="QG57" s="188"/>
      <c r="QH57" s="188"/>
      <c r="QI57" s="188"/>
      <c r="QJ57" s="188"/>
      <c r="QK57" s="188"/>
      <c r="QL57" s="188"/>
      <c r="QM57" s="188"/>
      <c r="QN57" s="188"/>
      <c r="QO57" s="188"/>
      <c r="QP57" s="188"/>
      <c r="QQ57" s="188"/>
      <c r="QR57" s="188"/>
      <c r="QS57" s="188"/>
      <c r="QT57" s="188"/>
      <c r="QU57" s="188"/>
      <c r="QV57" s="188"/>
      <c r="QW57" s="188"/>
      <c r="QX57" s="188"/>
      <c r="QY57" s="188"/>
      <c r="QZ57" s="188"/>
      <c r="RA57" s="188"/>
      <c r="RB57" s="188"/>
      <c r="RC57" s="188"/>
      <c r="RD57" s="188"/>
      <c r="RE57" s="188"/>
      <c r="RF57" s="188"/>
      <c r="RG57" s="188"/>
      <c r="RH57" s="188"/>
      <c r="RI57" s="188"/>
      <c r="RJ57" s="188"/>
      <c r="RK57" s="188"/>
      <c r="RL57" s="188"/>
      <c r="RM57" s="188"/>
      <c r="RN57" s="188"/>
      <c r="RO57" s="188"/>
      <c r="RP57" s="188"/>
      <c r="RQ57" s="188"/>
      <c r="RR57" s="188"/>
      <c r="RS57" s="188"/>
      <c r="RT57" s="188"/>
      <c r="RU57" s="188"/>
      <c r="RV57" s="188"/>
      <c r="RW57" s="188"/>
      <c r="RX57" s="188"/>
      <c r="RY57" s="188"/>
      <c r="RZ57" s="188"/>
      <c r="SA57" s="188"/>
      <c r="SB57" s="188"/>
      <c r="SC57" s="188"/>
      <c r="SD57" s="188"/>
      <c r="SE57" s="188"/>
      <c r="SF57" s="188"/>
      <c r="SG57" s="188"/>
      <c r="SH57" s="188"/>
      <c r="SI57" s="188"/>
      <c r="SJ57" s="188"/>
      <c r="SK57" s="188"/>
      <c r="SL57" s="188"/>
      <c r="SM57" s="188"/>
      <c r="SN57" s="188"/>
      <c r="SO57" s="188"/>
      <c r="SP57" s="188"/>
      <c r="SQ57" s="188"/>
      <c r="SR57" s="188"/>
      <c r="SS57" s="188"/>
      <c r="ST57" s="188"/>
      <c r="SU57" s="188"/>
      <c r="SV57" s="188"/>
      <c r="SW57" s="188"/>
      <c r="SX57" s="188"/>
      <c r="SY57" s="188"/>
      <c r="SZ57" s="188"/>
      <c r="TA57" s="188"/>
      <c r="TB57" s="188"/>
      <c r="TC57" s="188"/>
      <c r="TD57" s="188"/>
      <c r="TE57" s="188"/>
      <c r="TF57" s="188"/>
      <c r="TG57" s="188"/>
      <c r="TH57" s="188"/>
      <c r="TI57" s="188"/>
      <c r="TJ57" s="188"/>
      <c r="TK57" s="188"/>
      <c r="TL57" s="188"/>
      <c r="TM57" s="188"/>
      <c r="TN57" s="188"/>
      <c r="TO57" s="188"/>
      <c r="TP57" s="188"/>
      <c r="TQ57" s="188"/>
      <c r="TR57" s="188"/>
      <c r="TS57" s="188"/>
      <c r="TT57" s="188"/>
      <c r="TU57" s="188"/>
      <c r="TV57" s="188"/>
      <c r="TW57" s="188"/>
      <c r="TX57" s="188"/>
      <c r="TY57" s="188"/>
      <c r="TZ57" s="188"/>
      <c r="UA57" s="188"/>
      <c r="UB57" s="188"/>
      <c r="UC57" s="188"/>
      <c r="UD57" s="188"/>
      <c r="UE57" s="188"/>
      <c r="UF57" s="188"/>
      <c r="UG57" s="188"/>
      <c r="UH57" s="188"/>
      <c r="UI57" s="188"/>
      <c r="UJ57" s="188"/>
      <c r="UK57" s="188"/>
      <c r="UL57" s="188"/>
      <c r="UM57" s="188"/>
      <c r="UN57" s="188"/>
      <c r="UO57" s="188"/>
      <c r="UP57" s="188"/>
      <c r="UQ57" s="188"/>
      <c r="UR57" s="188"/>
      <c r="US57" s="188"/>
      <c r="UT57" s="188"/>
      <c r="UU57" s="188"/>
      <c r="UV57" s="188"/>
      <c r="UW57" s="188"/>
      <c r="UX57" s="188"/>
      <c r="UY57" s="188"/>
      <c r="UZ57" s="188"/>
      <c r="VA57" s="188"/>
      <c r="VB57" s="188"/>
      <c r="VC57" s="188"/>
      <c r="VD57" s="188"/>
      <c r="VE57" s="188"/>
      <c r="VF57" s="188"/>
      <c r="VG57" s="188"/>
      <c r="VH57" s="188"/>
      <c r="VI57" s="188"/>
      <c r="VJ57" s="188"/>
      <c r="VK57" s="188"/>
      <c r="VL57" s="188"/>
      <c r="VM57" s="188"/>
      <c r="VN57" s="188"/>
      <c r="VO57" s="188"/>
      <c r="VP57" s="188"/>
      <c r="VQ57" s="188"/>
      <c r="VR57" s="188"/>
      <c r="VS57" s="188"/>
      <c r="VT57" s="188"/>
      <c r="VU57" s="188"/>
      <c r="VV57" s="188"/>
      <c r="VW57" s="188"/>
      <c r="VX57" s="188"/>
      <c r="VY57" s="188"/>
      <c r="VZ57" s="188"/>
      <c r="WA57" s="188"/>
      <c r="WB57" s="188"/>
      <c r="WC57" s="188"/>
      <c r="WD57" s="188"/>
      <c r="WE57" s="188"/>
      <c r="WF57" s="188"/>
      <c r="WG57" s="188"/>
      <c r="WH57" s="188"/>
      <c r="WI57" s="188"/>
      <c r="WJ57" s="188"/>
      <c r="WK57" s="188"/>
      <c r="WL57" s="188"/>
      <c r="WM57" s="188"/>
      <c r="WN57" s="188"/>
      <c r="WO57" s="188"/>
      <c r="WP57" s="188"/>
      <c r="WQ57" s="188"/>
      <c r="WR57" s="188"/>
      <c r="WS57" s="188"/>
      <c r="WT57" s="188"/>
      <c r="WU57" s="188"/>
      <c r="WV57" s="188"/>
      <c r="WW57" s="188"/>
      <c r="WX57" s="188"/>
      <c r="WY57" s="188"/>
      <c r="WZ57" s="188"/>
      <c r="XA57" s="188"/>
      <c r="XB57" s="188"/>
      <c r="XC57" s="188"/>
      <c r="XD57" s="188"/>
      <c r="XE57" s="188"/>
      <c r="XF57" s="188"/>
      <c r="XG57" s="188"/>
      <c r="XH57" s="188"/>
      <c r="XI57" s="188"/>
      <c r="XJ57" s="188"/>
      <c r="XK57" s="188"/>
      <c r="XL57" s="188"/>
      <c r="XM57" s="188"/>
      <c r="XN57" s="188"/>
      <c r="XO57" s="188"/>
      <c r="XP57" s="188"/>
      <c r="XQ57" s="188"/>
      <c r="XR57" s="188"/>
      <c r="XS57" s="188"/>
      <c r="XT57" s="188"/>
      <c r="XU57" s="188"/>
      <c r="XV57" s="188"/>
      <c r="XW57" s="188"/>
      <c r="XX57" s="188"/>
      <c r="XY57" s="188"/>
      <c r="XZ57" s="188"/>
      <c r="YA57" s="188"/>
      <c r="YB57" s="188"/>
      <c r="YC57" s="188"/>
      <c r="YD57" s="188"/>
      <c r="YE57" s="188"/>
      <c r="YF57" s="188"/>
      <c r="YG57" s="188"/>
      <c r="YH57" s="188"/>
      <c r="YI57" s="188"/>
      <c r="YJ57" s="188"/>
      <c r="YK57" s="188"/>
      <c r="YL57" s="188"/>
      <c r="YM57" s="188"/>
      <c r="YN57" s="188"/>
      <c r="YO57" s="188"/>
      <c r="YP57" s="188"/>
      <c r="YQ57" s="188"/>
      <c r="YR57" s="188"/>
      <c r="YS57" s="188"/>
      <c r="YT57" s="188"/>
      <c r="YU57" s="188"/>
      <c r="YV57" s="188"/>
      <c r="YW57" s="188"/>
      <c r="YX57" s="188"/>
      <c r="YY57" s="188"/>
      <c r="YZ57" s="188"/>
      <c r="ZA57" s="188"/>
      <c r="ZB57" s="188"/>
      <c r="ZC57" s="188"/>
      <c r="ZD57" s="188"/>
      <c r="ZE57" s="188"/>
      <c r="ZF57" s="188"/>
      <c r="ZG57" s="188"/>
      <c r="ZH57" s="188"/>
      <c r="ZI57" s="188"/>
      <c r="ZJ57" s="188"/>
      <c r="ZK57" s="188"/>
      <c r="ZL57" s="188"/>
      <c r="ZM57" s="188"/>
      <c r="ZN57" s="188"/>
      <c r="ZO57" s="188"/>
      <c r="ZP57" s="188"/>
      <c r="ZQ57" s="188"/>
      <c r="ZR57" s="188"/>
      <c r="ZS57" s="188"/>
      <c r="ZT57" s="188"/>
      <c r="ZU57" s="188"/>
      <c r="ZV57" s="188"/>
      <c r="ZW57" s="188"/>
      <c r="ZX57" s="188"/>
      <c r="ZY57" s="188"/>
      <c r="ZZ57" s="188"/>
      <c r="AAA57" s="188"/>
      <c r="AAB57" s="188"/>
      <c r="AAC57" s="188"/>
      <c r="AAD57" s="188"/>
      <c r="AAE57" s="188"/>
      <c r="AAF57" s="188"/>
      <c r="AAG57" s="188"/>
      <c r="AAH57" s="188"/>
      <c r="AAI57" s="188"/>
      <c r="AAJ57" s="188"/>
      <c r="AAK57" s="188"/>
      <c r="AAL57" s="188"/>
      <c r="AAM57" s="188"/>
      <c r="AAN57" s="188"/>
      <c r="AAO57" s="188"/>
      <c r="AAP57" s="188"/>
      <c r="AAQ57" s="188"/>
      <c r="AAR57" s="188"/>
      <c r="AAS57" s="188"/>
      <c r="AAT57" s="188"/>
      <c r="AAU57" s="188"/>
      <c r="AAV57" s="188"/>
      <c r="AAW57" s="188"/>
      <c r="AAX57" s="188"/>
      <c r="AAY57" s="188"/>
      <c r="AAZ57" s="188"/>
      <c r="ABA57" s="188"/>
      <c r="ABB57" s="188"/>
      <c r="ABC57" s="188"/>
      <c r="ABD57" s="188"/>
      <c r="ABE57" s="188"/>
      <c r="ABF57" s="188"/>
      <c r="ABG57" s="188"/>
      <c r="ABH57" s="188"/>
      <c r="ABI57" s="188"/>
      <c r="ABJ57" s="188"/>
      <c r="ABK57" s="188"/>
      <c r="ABL57" s="188"/>
      <c r="ABM57" s="188"/>
      <c r="ABN57" s="188"/>
      <c r="ABO57" s="188"/>
      <c r="ABP57" s="188"/>
      <c r="ABQ57" s="188"/>
      <c r="ABR57" s="188"/>
      <c r="ABS57" s="188"/>
      <c r="ABT57" s="188"/>
      <c r="ABU57" s="188"/>
      <c r="ABV57" s="188"/>
      <c r="ABW57" s="188"/>
      <c r="ABX57" s="188"/>
      <c r="ABY57" s="188"/>
      <c r="ABZ57" s="188"/>
      <c r="ACA57" s="188"/>
      <c r="ACB57" s="188"/>
      <c r="ACC57" s="188"/>
      <c r="ACD57" s="188"/>
      <c r="ACE57" s="188"/>
      <c r="ACF57" s="188"/>
      <c r="ACG57" s="188"/>
      <c r="ACH57" s="188"/>
      <c r="ACI57" s="188"/>
      <c r="ACJ57" s="188"/>
      <c r="ACK57" s="188"/>
      <c r="ACL57" s="188"/>
      <c r="ACM57" s="188"/>
      <c r="ACN57" s="188"/>
      <c r="ACO57" s="188"/>
      <c r="ACP57" s="188"/>
      <c r="ACQ57" s="188"/>
      <c r="ACR57" s="188"/>
      <c r="ACS57" s="188"/>
      <c r="ACT57" s="188"/>
      <c r="ACU57" s="188"/>
      <c r="ACV57" s="188"/>
      <c r="ACW57" s="188"/>
      <c r="ACX57" s="188"/>
      <c r="ACY57" s="188"/>
      <c r="ACZ57" s="188"/>
      <c r="ADA57" s="188"/>
      <c r="ADB57" s="188"/>
      <c r="ADC57" s="188"/>
      <c r="ADD57" s="188"/>
      <c r="ADE57" s="188"/>
      <c r="ADF57" s="188"/>
      <c r="ADG57" s="188"/>
      <c r="ADH57" s="188"/>
      <c r="ADI57" s="188"/>
      <c r="ADJ57" s="188"/>
      <c r="ADK57" s="188"/>
      <c r="ADL57" s="188"/>
      <c r="ADM57" s="188"/>
      <c r="ADN57" s="188"/>
      <c r="ADO57" s="188"/>
      <c r="ADP57" s="188"/>
      <c r="ADQ57" s="188"/>
      <c r="ADR57" s="188"/>
      <c r="ADS57" s="188"/>
      <c r="ADT57" s="188"/>
      <c r="ADU57" s="188"/>
      <c r="ADV57" s="188"/>
      <c r="ADW57" s="188"/>
      <c r="ADX57" s="188"/>
      <c r="ADY57" s="188"/>
      <c r="ADZ57" s="188"/>
      <c r="AEA57" s="188"/>
      <c r="AEB57" s="188"/>
      <c r="AEC57" s="188"/>
      <c r="AED57" s="188"/>
      <c r="AEE57" s="188"/>
      <c r="AEF57" s="188"/>
      <c r="AEG57" s="188"/>
      <c r="AEH57" s="188"/>
      <c r="AEI57" s="188"/>
      <c r="AEJ57" s="188"/>
      <c r="AEK57" s="188"/>
      <c r="AEL57" s="188"/>
      <c r="AEM57" s="188"/>
      <c r="AEN57" s="188"/>
      <c r="AEO57" s="188"/>
      <c r="AEP57" s="188"/>
      <c r="AEQ57" s="188"/>
      <c r="AER57" s="188"/>
      <c r="AES57" s="188"/>
      <c r="AET57" s="188"/>
      <c r="AEU57" s="188"/>
      <c r="AEV57" s="188"/>
      <c r="AEW57" s="188"/>
      <c r="AEX57" s="188"/>
      <c r="AEY57" s="188"/>
      <c r="AEZ57" s="188"/>
      <c r="AFA57" s="188"/>
      <c r="AFB57" s="188"/>
      <c r="AFC57" s="188"/>
      <c r="AFD57" s="188"/>
      <c r="AFE57" s="188"/>
      <c r="AFF57" s="188"/>
      <c r="AFG57" s="188"/>
      <c r="AFH57" s="188"/>
      <c r="AFI57" s="188"/>
      <c r="AFJ57" s="188"/>
      <c r="AFK57" s="188"/>
      <c r="AFL57" s="188"/>
      <c r="AFM57" s="188"/>
      <c r="AFN57" s="188"/>
      <c r="AFO57" s="188"/>
      <c r="AFP57" s="188"/>
      <c r="AFQ57" s="188"/>
      <c r="AFR57" s="188"/>
      <c r="AFS57" s="188"/>
      <c r="AFT57" s="188"/>
      <c r="AFU57" s="188"/>
      <c r="AFV57" s="188"/>
      <c r="AFW57" s="188"/>
      <c r="AFX57" s="188"/>
      <c r="AFY57" s="188"/>
      <c r="AFZ57" s="188"/>
      <c r="AGA57" s="188"/>
      <c r="AGB57" s="188"/>
      <c r="AGC57" s="188"/>
      <c r="AGD57" s="188"/>
      <c r="AGE57" s="188"/>
      <c r="AGF57" s="188"/>
      <c r="AGG57" s="188"/>
      <c r="AGH57" s="188"/>
      <c r="AGI57" s="188"/>
      <c r="AGJ57" s="188"/>
      <c r="AGK57" s="188"/>
      <c r="AGL57" s="188"/>
      <c r="AGM57" s="188"/>
      <c r="AGN57" s="188"/>
      <c r="AGO57" s="188"/>
      <c r="AGP57" s="188"/>
      <c r="AGQ57" s="188"/>
      <c r="AGR57" s="188"/>
      <c r="AGS57" s="188"/>
      <c r="AGT57" s="188"/>
      <c r="AGU57" s="188"/>
      <c r="AGV57" s="188"/>
      <c r="AGW57" s="188"/>
      <c r="AGX57" s="188"/>
      <c r="AGY57" s="188"/>
      <c r="AGZ57" s="188"/>
      <c r="AHA57" s="188"/>
      <c r="AHB57" s="188"/>
      <c r="AHC57" s="188"/>
      <c r="AHD57" s="188"/>
      <c r="AHE57" s="188"/>
      <c r="AHF57" s="188"/>
      <c r="AHG57" s="188"/>
      <c r="AHH57" s="188"/>
      <c r="AHI57" s="188"/>
      <c r="AHJ57" s="188"/>
      <c r="AHK57" s="188"/>
      <c r="AHL57" s="188"/>
      <c r="AHM57" s="188"/>
      <c r="AHN57" s="188"/>
      <c r="AHO57" s="188"/>
      <c r="AHP57" s="188"/>
      <c r="AHQ57" s="188"/>
      <c r="AHR57" s="188"/>
      <c r="AHS57" s="188"/>
      <c r="AHT57" s="188"/>
      <c r="AHU57" s="188"/>
      <c r="AHV57" s="188"/>
      <c r="AHW57" s="188"/>
      <c r="AHX57" s="188"/>
      <c r="AHY57" s="188"/>
      <c r="AHZ57" s="188"/>
      <c r="AIA57" s="188"/>
      <c r="AIB57" s="188"/>
      <c r="AIC57" s="188"/>
      <c r="AID57" s="188"/>
      <c r="AIE57" s="188"/>
      <c r="AIF57" s="188"/>
      <c r="AIG57" s="188"/>
      <c r="AIH57" s="188"/>
      <c r="AII57" s="188"/>
      <c r="AIJ57" s="188"/>
      <c r="AIK57" s="188"/>
      <c r="AIL57" s="188"/>
      <c r="AIM57" s="188"/>
      <c r="AIN57" s="188"/>
      <c r="AIO57" s="188"/>
      <c r="AIP57" s="188"/>
      <c r="AIQ57" s="188"/>
      <c r="AIR57" s="188"/>
      <c r="AIS57" s="188"/>
      <c r="AIT57" s="188"/>
      <c r="AIU57" s="188"/>
      <c r="AIV57" s="188"/>
      <c r="AIW57" s="188"/>
      <c r="AIX57" s="188"/>
      <c r="AIY57" s="188"/>
      <c r="AIZ57" s="188"/>
      <c r="AJA57" s="188"/>
      <c r="AJB57" s="188"/>
      <c r="AJC57" s="188"/>
      <c r="AJD57" s="188"/>
      <c r="AJE57" s="188"/>
      <c r="AJF57" s="188"/>
      <c r="AJG57" s="188"/>
      <c r="AJH57" s="188"/>
      <c r="AJI57" s="188"/>
      <c r="AJJ57" s="188"/>
      <c r="AJK57" s="188"/>
      <c r="AJL57" s="188"/>
      <c r="AJM57" s="188"/>
      <c r="AJN57" s="188"/>
      <c r="AJO57" s="188"/>
      <c r="AJP57" s="188"/>
      <c r="AJQ57" s="188"/>
      <c r="AJR57" s="188"/>
      <c r="AJS57" s="188"/>
      <c r="AJT57" s="188"/>
      <c r="AJU57" s="188"/>
      <c r="AJV57" s="188"/>
      <c r="AJW57" s="188"/>
      <c r="AJX57" s="188"/>
      <c r="AJY57" s="188"/>
      <c r="AJZ57" s="188"/>
      <c r="AKA57" s="188"/>
      <c r="AKB57" s="188"/>
      <c r="AKC57" s="188"/>
      <c r="AKD57" s="188"/>
      <c r="AKE57" s="188"/>
      <c r="AKF57" s="188"/>
      <c r="AKG57" s="188"/>
      <c r="AKH57" s="188"/>
      <c r="AKI57" s="188"/>
      <c r="AKJ57" s="188"/>
      <c r="AKK57" s="188"/>
      <c r="AKL57" s="188"/>
      <c r="AKM57" s="188"/>
      <c r="AKN57" s="188"/>
      <c r="AKO57" s="188"/>
      <c r="AKP57" s="188"/>
      <c r="AKQ57" s="188"/>
      <c r="AKR57" s="188"/>
      <c r="AKS57" s="188"/>
      <c r="AKT57" s="188"/>
      <c r="AKU57" s="188"/>
      <c r="AKV57" s="188"/>
      <c r="AKW57" s="188"/>
      <c r="AKX57" s="188"/>
      <c r="AKY57" s="188"/>
      <c r="AKZ57" s="188"/>
      <c r="ALA57" s="188"/>
      <c r="ALB57" s="188"/>
      <c r="ALC57" s="188"/>
      <c r="ALD57" s="188"/>
      <c r="ALE57" s="188"/>
      <c r="ALF57" s="188"/>
      <c r="ALG57" s="188"/>
      <c r="ALH57" s="188"/>
      <c r="ALI57" s="188"/>
      <c r="ALJ57" s="188"/>
      <c r="ALK57" s="188"/>
      <c r="ALL57" s="188"/>
      <c r="ALM57" s="188"/>
      <c r="ALN57" s="188"/>
      <c r="ALO57" s="188"/>
      <c r="ALP57" s="188"/>
      <c r="ALQ57" s="188"/>
      <c r="ALR57" s="188"/>
      <c r="ALS57" s="188"/>
      <c r="ALT57" s="188"/>
      <c r="ALU57" s="188"/>
      <c r="ALV57" s="188"/>
      <c r="ALW57" s="188"/>
      <c r="ALX57" s="188"/>
      <c r="ALY57" s="188"/>
      <c r="ALZ57" s="188"/>
      <c r="AMA57" s="188"/>
      <c r="AMB57" s="188"/>
      <c r="AMC57" s="188"/>
      <c r="AMD57" s="188"/>
      <c r="AME57" s="188"/>
      <c r="AMF57" s="188"/>
      <c r="AMG57" s="188"/>
      <c r="AMH57" s="188"/>
      <c r="AMI57" s="188"/>
      <c r="AMJ57" s="188"/>
      <c r="AMK57" s="188"/>
      <c r="AML57" s="188"/>
      <c r="AMM57" s="188"/>
      <c r="AMN57" s="188"/>
      <c r="AMO57" s="188"/>
      <c r="AMP57" s="188"/>
      <c r="AMQ57" s="188"/>
      <c r="AMR57" s="188"/>
      <c r="AMS57" s="188"/>
      <c r="AMT57" s="188"/>
      <c r="AMU57" s="188"/>
      <c r="AMV57" s="188"/>
      <c r="AMW57" s="188"/>
      <c r="AMX57" s="188"/>
      <c r="AMY57" s="188"/>
      <c r="AMZ57" s="188"/>
      <c r="ANA57" s="188"/>
      <c r="ANB57" s="188"/>
      <c r="ANC57" s="188"/>
      <c r="AND57" s="188"/>
      <c r="ANE57" s="188"/>
      <c r="ANF57" s="188"/>
      <c r="ANG57" s="188"/>
      <c r="ANH57" s="188"/>
      <c r="ANI57" s="188"/>
      <c r="ANJ57" s="188"/>
      <c r="ANK57" s="188"/>
      <c r="ANL57" s="188"/>
      <c r="ANM57" s="188"/>
      <c r="ANN57" s="188"/>
      <c r="ANO57" s="188"/>
      <c r="ANP57" s="188"/>
      <c r="ANQ57" s="188"/>
      <c r="ANR57" s="188"/>
      <c r="ANS57" s="188"/>
      <c r="ANT57" s="188"/>
      <c r="ANU57" s="188"/>
      <c r="ANV57" s="188"/>
      <c r="ANW57" s="188"/>
      <c r="ANX57" s="188"/>
      <c r="ANY57" s="188"/>
      <c r="ANZ57" s="188"/>
      <c r="AOA57" s="188"/>
      <c r="AOB57" s="188"/>
      <c r="AOC57" s="188"/>
      <c r="AOD57" s="188"/>
      <c r="AOE57" s="188"/>
      <c r="AOF57" s="188"/>
      <c r="AOG57" s="188"/>
      <c r="AOH57" s="188"/>
      <c r="AOI57" s="188"/>
      <c r="AOJ57" s="188"/>
      <c r="AOK57" s="188"/>
      <c r="AOL57" s="188"/>
      <c r="AOM57" s="188"/>
      <c r="AON57" s="188"/>
      <c r="AOO57" s="188"/>
      <c r="AOP57" s="188"/>
      <c r="AOQ57" s="188"/>
      <c r="AOR57" s="188"/>
      <c r="AOS57" s="188"/>
      <c r="AOT57" s="188"/>
      <c r="AOU57" s="188"/>
      <c r="AOV57" s="188"/>
      <c r="AOW57" s="188"/>
      <c r="AOX57" s="188"/>
      <c r="AOY57" s="188"/>
      <c r="AOZ57" s="188"/>
      <c r="APA57" s="188"/>
      <c r="APB57" s="188"/>
      <c r="APC57" s="188"/>
      <c r="APD57" s="188"/>
      <c r="APE57" s="188"/>
      <c r="APF57" s="188"/>
      <c r="APG57" s="188"/>
      <c r="APH57" s="188"/>
      <c r="API57" s="188"/>
      <c r="APJ57" s="188"/>
      <c r="APK57" s="188"/>
      <c r="APL57" s="188"/>
      <c r="APM57" s="188"/>
      <c r="APN57" s="188"/>
      <c r="APO57" s="188"/>
      <c r="APP57" s="188"/>
      <c r="APQ57" s="188"/>
      <c r="APR57" s="188"/>
      <c r="APS57" s="188"/>
      <c r="APT57" s="188"/>
      <c r="APU57" s="188"/>
      <c r="APV57" s="188"/>
      <c r="APW57" s="188"/>
      <c r="APX57" s="188"/>
      <c r="APY57" s="188"/>
      <c r="APZ57" s="188"/>
      <c r="AQA57" s="188"/>
      <c r="AQB57" s="188"/>
      <c r="AQC57" s="188"/>
      <c r="AQD57" s="188"/>
      <c r="AQE57" s="188"/>
      <c r="AQF57" s="188"/>
      <c r="AQG57" s="188"/>
      <c r="AQH57" s="188"/>
      <c r="AQI57" s="188"/>
      <c r="AQJ57" s="188"/>
      <c r="AQK57" s="188"/>
      <c r="AQL57" s="188"/>
      <c r="AQM57" s="188"/>
      <c r="AQN57" s="188"/>
      <c r="AQO57" s="188"/>
      <c r="AQP57" s="188"/>
      <c r="AQQ57" s="188"/>
      <c r="AQR57" s="188"/>
      <c r="AQS57" s="188"/>
      <c r="AQT57" s="188"/>
      <c r="AQU57" s="188"/>
      <c r="AQV57" s="188"/>
      <c r="AQW57" s="188"/>
      <c r="AQX57" s="188"/>
      <c r="AQY57" s="188"/>
      <c r="AQZ57" s="188"/>
      <c r="ARA57" s="188"/>
      <c r="ARB57" s="188"/>
      <c r="ARC57" s="188"/>
      <c r="ARD57" s="188"/>
      <c r="ARE57" s="188"/>
      <c r="ARF57" s="188"/>
      <c r="ARG57" s="188"/>
      <c r="ARH57" s="188"/>
      <c r="ARI57" s="188"/>
      <c r="ARJ57" s="188"/>
      <c r="ARK57" s="188"/>
      <c r="ARL57" s="188"/>
      <c r="ARM57" s="188"/>
      <c r="ARN57" s="188"/>
      <c r="ARO57" s="188"/>
      <c r="ARP57" s="188"/>
      <c r="ARQ57" s="188"/>
      <c r="ARR57" s="188"/>
      <c r="ARS57" s="188"/>
      <c r="ART57" s="188"/>
      <c r="ARU57" s="188"/>
      <c r="ARV57" s="188"/>
      <c r="ARW57" s="188"/>
      <c r="ARX57" s="188"/>
      <c r="ARY57" s="188"/>
      <c r="ARZ57" s="188"/>
      <c r="ASA57" s="188"/>
      <c r="ASB57" s="188"/>
      <c r="ASC57" s="188"/>
      <c r="ASD57" s="188"/>
      <c r="ASE57" s="188"/>
      <c r="ASF57" s="188"/>
      <c r="ASG57" s="188"/>
      <c r="ASH57" s="188"/>
      <c r="ASI57" s="188"/>
      <c r="ASJ57" s="188"/>
      <c r="ASK57" s="188"/>
      <c r="ASL57" s="188"/>
      <c r="ASM57" s="188"/>
      <c r="ASN57" s="188"/>
      <c r="ASO57" s="188"/>
      <c r="ASP57" s="188"/>
      <c r="ASQ57" s="188"/>
      <c r="ASR57" s="188"/>
      <c r="ASS57" s="188"/>
      <c r="AST57" s="188"/>
      <c r="ASU57" s="188"/>
      <c r="ASV57" s="188"/>
      <c r="ASW57" s="188"/>
      <c r="ASX57" s="188"/>
      <c r="ASY57" s="188"/>
      <c r="ASZ57" s="188"/>
      <c r="ATA57" s="188"/>
      <c r="ATB57" s="188"/>
      <c r="ATC57" s="188"/>
      <c r="ATD57" s="188"/>
      <c r="ATE57" s="188"/>
      <c r="ATF57" s="188"/>
      <c r="ATG57" s="188"/>
      <c r="ATH57" s="188"/>
      <c r="ATI57" s="188"/>
      <c r="ATJ57" s="188"/>
      <c r="ATK57" s="188"/>
      <c r="ATL57" s="188"/>
      <c r="ATM57" s="188"/>
      <c r="ATN57" s="188"/>
      <c r="ATO57" s="188"/>
      <c r="ATP57" s="188"/>
      <c r="ATQ57" s="188"/>
      <c r="ATR57" s="188"/>
      <c r="ATS57" s="188"/>
      <c r="ATT57" s="188"/>
      <c r="ATU57" s="188"/>
      <c r="ATV57" s="188"/>
      <c r="ATW57" s="188"/>
      <c r="ATX57" s="188"/>
      <c r="ATY57" s="188"/>
      <c r="ATZ57" s="188"/>
      <c r="AUA57" s="188"/>
      <c r="AUB57" s="188"/>
      <c r="AUC57" s="188"/>
      <c r="AUD57" s="188"/>
      <c r="AUE57" s="188"/>
      <c r="AUF57" s="188"/>
      <c r="AUG57" s="188"/>
      <c r="AUH57" s="188"/>
      <c r="AUI57" s="188"/>
      <c r="AUJ57" s="188"/>
      <c r="AUK57" s="188"/>
      <c r="AUL57" s="188"/>
      <c r="AUM57" s="188"/>
      <c r="AUN57" s="188"/>
      <c r="AUO57" s="188"/>
      <c r="AUP57" s="188"/>
      <c r="AUQ57" s="188"/>
      <c r="AUR57" s="188"/>
      <c r="AUS57" s="188"/>
      <c r="AUT57" s="188"/>
      <c r="AUU57" s="188"/>
      <c r="AUV57" s="188"/>
      <c r="AUW57" s="188"/>
      <c r="AUX57" s="188"/>
      <c r="AUY57" s="188"/>
      <c r="AUZ57" s="188"/>
      <c r="AVA57" s="188"/>
      <c r="AVB57" s="188"/>
      <c r="AVC57" s="188"/>
      <c r="AVD57" s="188"/>
      <c r="AVE57" s="188"/>
      <c r="AVF57" s="188"/>
      <c r="AVG57" s="188"/>
      <c r="AVH57" s="188"/>
      <c r="AVI57" s="188"/>
      <c r="AVJ57" s="188"/>
      <c r="AVK57" s="188"/>
      <c r="AVL57" s="188"/>
      <c r="AVM57" s="188"/>
      <c r="AVN57" s="188"/>
      <c r="AVO57" s="188"/>
      <c r="AVP57" s="188"/>
      <c r="AVQ57" s="188"/>
      <c r="AVR57" s="188"/>
      <c r="AVS57" s="188"/>
      <c r="AVT57" s="188"/>
      <c r="AVU57" s="188"/>
      <c r="AVV57" s="188"/>
      <c r="AVW57" s="188"/>
      <c r="AVX57" s="188"/>
      <c r="AVY57" s="188"/>
      <c r="AVZ57" s="188"/>
      <c r="AWA57" s="188"/>
      <c r="AWB57" s="188"/>
      <c r="AWC57" s="188"/>
      <c r="AWD57" s="188"/>
      <c r="AWE57" s="188"/>
      <c r="AWF57" s="188"/>
      <c r="AWG57" s="188"/>
      <c r="AWH57" s="188"/>
      <c r="AWI57" s="188"/>
      <c r="AWJ57" s="188"/>
      <c r="AWK57" s="188"/>
      <c r="AWL57" s="188"/>
      <c r="AWM57" s="188"/>
      <c r="AWN57" s="188"/>
      <c r="AWO57" s="188"/>
      <c r="AWP57" s="188"/>
      <c r="AWQ57" s="188"/>
      <c r="AWR57" s="188"/>
      <c r="AWS57" s="188"/>
      <c r="AWT57" s="188"/>
      <c r="AWU57" s="188"/>
      <c r="AWV57" s="188"/>
      <c r="AWW57" s="188"/>
      <c r="AWX57" s="188"/>
      <c r="AWY57" s="188"/>
      <c r="AWZ57" s="188"/>
      <c r="AXA57" s="188"/>
      <c r="AXB57" s="188"/>
      <c r="AXC57" s="188"/>
      <c r="AXD57" s="188"/>
      <c r="AXE57" s="188"/>
      <c r="AXF57" s="188"/>
      <c r="AXG57" s="188"/>
      <c r="AXH57" s="188"/>
      <c r="AXI57" s="188"/>
      <c r="AXJ57" s="188"/>
      <c r="AXK57" s="188"/>
      <c r="AXL57" s="188"/>
      <c r="AXM57" s="188"/>
      <c r="AXN57" s="188"/>
      <c r="AXO57" s="188"/>
      <c r="AXP57" s="188"/>
      <c r="AXQ57" s="188"/>
      <c r="AXR57" s="188"/>
      <c r="AXS57" s="188"/>
      <c r="AXT57" s="188"/>
      <c r="AXU57" s="188"/>
      <c r="AXV57" s="188"/>
      <c r="AXW57" s="188"/>
      <c r="AXX57" s="188"/>
      <c r="AXY57" s="188"/>
      <c r="AXZ57" s="188"/>
      <c r="AYA57" s="188"/>
      <c r="AYB57" s="188"/>
      <c r="AYC57" s="188"/>
      <c r="AYD57" s="188"/>
      <c r="AYE57" s="188"/>
      <c r="AYF57" s="188"/>
      <c r="AYG57" s="188"/>
      <c r="AYH57" s="188"/>
      <c r="AYI57" s="188"/>
      <c r="AYJ57" s="188"/>
      <c r="AYK57" s="188"/>
      <c r="AYL57" s="188"/>
      <c r="AYM57" s="188"/>
      <c r="AYN57" s="188"/>
      <c r="AYO57" s="188"/>
      <c r="AYP57" s="188"/>
      <c r="AYQ57" s="188"/>
      <c r="AYR57" s="188"/>
      <c r="AYS57" s="188"/>
      <c r="AYT57" s="188"/>
      <c r="AYU57" s="188"/>
      <c r="AYV57" s="188"/>
      <c r="AYW57" s="188"/>
      <c r="AYX57" s="188"/>
      <c r="AYY57" s="188"/>
      <c r="AYZ57" s="188"/>
      <c r="AZA57" s="188"/>
      <c r="AZB57" s="188"/>
      <c r="AZC57" s="188"/>
      <c r="AZD57" s="188"/>
      <c r="AZE57" s="188"/>
      <c r="AZF57" s="188"/>
      <c r="AZG57" s="188"/>
      <c r="AZH57" s="188"/>
      <c r="AZI57" s="188"/>
      <c r="AZJ57" s="188"/>
      <c r="AZK57" s="188"/>
      <c r="AZL57" s="188"/>
      <c r="AZM57" s="188"/>
      <c r="AZN57" s="188"/>
      <c r="AZO57" s="188"/>
      <c r="AZP57" s="188"/>
      <c r="AZQ57" s="188"/>
      <c r="AZR57" s="188"/>
      <c r="AZS57" s="188"/>
      <c r="AZT57" s="188"/>
      <c r="AZU57" s="188"/>
      <c r="AZV57" s="188"/>
      <c r="AZW57" s="188"/>
      <c r="AZX57" s="188"/>
      <c r="AZY57" s="188"/>
      <c r="AZZ57" s="188"/>
      <c r="BAA57" s="188"/>
      <c r="BAB57" s="188"/>
      <c r="BAC57" s="188"/>
      <c r="BAD57" s="188"/>
      <c r="BAE57" s="188"/>
      <c r="BAF57" s="188"/>
      <c r="BAG57" s="188"/>
      <c r="BAH57" s="188"/>
      <c r="BAI57" s="188"/>
      <c r="BAJ57" s="188"/>
      <c r="BAK57" s="188"/>
      <c r="BAL57" s="188"/>
      <c r="BAM57" s="188"/>
      <c r="BAN57" s="188"/>
      <c r="BAO57" s="188"/>
      <c r="BAP57" s="188"/>
      <c r="BAQ57" s="188"/>
      <c r="BAR57" s="188"/>
      <c r="BAS57" s="188"/>
      <c r="BAT57" s="188"/>
      <c r="BAU57" s="188"/>
      <c r="BAV57" s="188"/>
      <c r="BAW57" s="188"/>
      <c r="BAX57" s="188"/>
      <c r="BAY57" s="188"/>
      <c r="BAZ57" s="188"/>
      <c r="BBA57" s="188"/>
      <c r="BBB57" s="188"/>
      <c r="BBC57" s="188"/>
      <c r="BBD57" s="188"/>
      <c r="BBE57" s="188"/>
      <c r="BBF57" s="188"/>
      <c r="BBG57" s="188"/>
      <c r="BBH57" s="188"/>
      <c r="BBI57" s="188"/>
      <c r="BBJ57" s="188"/>
      <c r="BBK57" s="188"/>
      <c r="BBL57" s="188"/>
      <c r="BBM57" s="188"/>
      <c r="BBN57" s="188"/>
      <c r="BBO57" s="188"/>
      <c r="BBP57" s="188"/>
      <c r="BBQ57" s="188"/>
      <c r="BBR57" s="188"/>
      <c r="BBS57" s="188"/>
      <c r="BBT57" s="188"/>
      <c r="BBU57" s="188"/>
      <c r="BBV57" s="188"/>
      <c r="BBW57" s="188"/>
      <c r="BBX57" s="188"/>
      <c r="BBY57" s="188"/>
      <c r="BBZ57" s="188"/>
      <c r="BCA57" s="188"/>
      <c r="BCB57" s="188"/>
      <c r="BCC57" s="188"/>
      <c r="BCD57" s="188"/>
      <c r="BCE57" s="188"/>
      <c r="BCF57" s="188"/>
      <c r="BCG57" s="188"/>
      <c r="BCH57" s="188"/>
      <c r="BCI57" s="188"/>
      <c r="BCJ57" s="188"/>
      <c r="BCK57" s="188"/>
      <c r="BCL57" s="188"/>
      <c r="BCM57" s="188"/>
      <c r="BCN57" s="188"/>
      <c r="BCO57" s="188"/>
      <c r="BCP57" s="188"/>
      <c r="BCQ57" s="188"/>
      <c r="BCR57" s="188"/>
      <c r="BCS57" s="188"/>
      <c r="BCT57" s="188"/>
      <c r="BCU57" s="188"/>
      <c r="BCV57" s="188"/>
      <c r="BCW57" s="188"/>
      <c r="BCX57" s="188"/>
      <c r="BCY57" s="188"/>
      <c r="BCZ57" s="188"/>
      <c r="BDA57" s="188"/>
      <c r="BDB57" s="188"/>
      <c r="BDC57" s="188"/>
      <c r="BDD57" s="188"/>
      <c r="BDE57" s="188"/>
      <c r="BDF57" s="188"/>
      <c r="BDG57" s="188"/>
      <c r="BDH57" s="188"/>
      <c r="BDI57" s="188"/>
      <c r="BDJ57" s="188"/>
      <c r="BDK57" s="188"/>
      <c r="BDL57" s="188"/>
      <c r="BDM57" s="188"/>
      <c r="BDN57" s="188"/>
      <c r="BDO57" s="188"/>
      <c r="BDP57" s="188"/>
      <c r="BDQ57" s="188"/>
      <c r="BDR57" s="188"/>
      <c r="BDS57" s="188"/>
      <c r="BDT57" s="188"/>
      <c r="BDU57" s="188"/>
      <c r="BDV57" s="188"/>
      <c r="BDW57" s="188"/>
      <c r="BDX57" s="188"/>
      <c r="BDY57" s="188"/>
      <c r="BDZ57" s="188"/>
      <c r="BEA57" s="188"/>
      <c r="BEB57" s="188"/>
      <c r="BEC57" s="188"/>
      <c r="BED57" s="188"/>
      <c r="BEE57" s="188"/>
      <c r="BEF57" s="188"/>
      <c r="BEG57" s="188"/>
      <c r="BEH57" s="188"/>
      <c r="BEI57" s="188"/>
      <c r="BEJ57" s="188"/>
      <c r="BEK57" s="188"/>
      <c r="BEL57" s="188"/>
      <c r="BEM57" s="188"/>
      <c r="BEN57" s="188"/>
      <c r="BEO57" s="188"/>
      <c r="BEP57" s="188"/>
      <c r="BEQ57" s="188"/>
      <c r="BER57" s="188"/>
      <c r="BES57" s="188"/>
      <c r="BET57" s="188"/>
      <c r="BEU57" s="188"/>
      <c r="BEV57" s="188"/>
      <c r="BEW57" s="188"/>
      <c r="BEX57" s="188"/>
      <c r="BEY57" s="188"/>
      <c r="BEZ57" s="188"/>
      <c r="BFA57" s="188"/>
      <c r="BFB57" s="188"/>
      <c r="BFC57" s="188"/>
      <c r="BFD57" s="188"/>
      <c r="BFE57" s="188"/>
      <c r="BFF57" s="188"/>
      <c r="BFG57" s="188"/>
      <c r="BFH57" s="188"/>
      <c r="BFI57" s="188"/>
      <c r="BFJ57" s="188"/>
      <c r="BFK57" s="188"/>
      <c r="BFL57" s="188"/>
      <c r="BFM57" s="188"/>
      <c r="BFN57" s="188"/>
      <c r="BFO57" s="188"/>
      <c r="BFP57" s="188"/>
      <c r="BFQ57" s="188"/>
      <c r="BFR57" s="188"/>
      <c r="BFS57" s="188"/>
      <c r="BFT57" s="188"/>
      <c r="BFU57" s="188"/>
      <c r="BFV57" s="188"/>
      <c r="BFW57" s="188"/>
      <c r="BFX57" s="188"/>
      <c r="BFY57" s="188"/>
      <c r="BFZ57" s="188"/>
      <c r="BGA57" s="188"/>
      <c r="BGB57" s="188"/>
      <c r="BGC57" s="188"/>
      <c r="BGD57" s="188"/>
      <c r="BGE57" s="188"/>
      <c r="BGF57" s="188"/>
      <c r="BGG57" s="188"/>
      <c r="BGH57" s="188"/>
      <c r="BGI57" s="188"/>
      <c r="BGJ57" s="188"/>
      <c r="BGK57" s="188"/>
      <c r="BGL57" s="188"/>
      <c r="BGM57" s="188"/>
      <c r="BGN57" s="188"/>
      <c r="BGO57" s="188"/>
      <c r="BGP57" s="188"/>
      <c r="BGQ57" s="188"/>
      <c r="BGR57" s="188"/>
      <c r="BGS57" s="188"/>
      <c r="BGT57" s="188"/>
      <c r="BGU57" s="188"/>
      <c r="BGV57" s="188"/>
      <c r="BGW57" s="188"/>
      <c r="BGX57" s="188"/>
      <c r="BGY57" s="188"/>
      <c r="BGZ57" s="188"/>
      <c r="BHA57" s="188"/>
      <c r="BHB57" s="188"/>
      <c r="BHC57" s="188"/>
      <c r="BHD57" s="188"/>
      <c r="BHE57" s="188"/>
      <c r="BHF57" s="188"/>
      <c r="BHG57" s="188"/>
      <c r="BHH57" s="188"/>
      <c r="BHI57" s="188"/>
      <c r="BHJ57" s="188"/>
      <c r="BHK57" s="188"/>
      <c r="BHL57" s="188"/>
      <c r="BHM57" s="188"/>
      <c r="BHN57" s="188"/>
      <c r="BHO57" s="188"/>
      <c r="BHP57" s="188"/>
      <c r="BHQ57" s="188"/>
      <c r="BHR57" s="188"/>
      <c r="BHS57" s="188"/>
      <c r="BHT57" s="188"/>
      <c r="BHU57" s="188"/>
      <c r="BHV57" s="188"/>
      <c r="BHW57" s="188"/>
      <c r="BHX57" s="188"/>
      <c r="BHY57" s="188"/>
      <c r="BHZ57" s="188"/>
      <c r="BIA57" s="188"/>
      <c r="BIB57" s="188"/>
      <c r="BIC57" s="188"/>
      <c r="BID57" s="188"/>
      <c r="BIE57" s="188"/>
      <c r="BIF57" s="188"/>
      <c r="BIG57" s="188"/>
      <c r="BIH57" s="188"/>
      <c r="BII57" s="188"/>
      <c r="BIJ57" s="188"/>
      <c r="BIK57" s="188"/>
      <c r="BIL57" s="188"/>
      <c r="BIM57" s="188"/>
      <c r="BIN57" s="188"/>
      <c r="BIO57" s="188"/>
      <c r="BIP57" s="188"/>
      <c r="BIQ57" s="188"/>
      <c r="BIR57" s="188"/>
      <c r="BIS57" s="188"/>
      <c r="BIT57" s="188"/>
      <c r="BIU57" s="188"/>
      <c r="BIV57" s="188"/>
      <c r="BIW57" s="188"/>
      <c r="BIX57" s="188"/>
      <c r="BIY57" s="188"/>
      <c r="BIZ57" s="188"/>
      <c r="BJA57" s="188"/>
      <c r="BJB57" s="188"/>
      <c r="BJC57" s="188"/>
      <c r="BJD57" s="188"/>
      <c r="BJE57" s="188"/>
      <c r="BJF57" s="188"/>
      <c r="BJG57" s="188"/>
      <c r="BJH57" s="188"/>
      <c r="BJI57" s="188"/>
      <c r="BJJ57" s="188"/>
      <c r="BJK57" s="188"/>
      <c r="BJL57" s="188"/>
      <c r="BJM57" s="188"/>
      <c r="BJN57" s="188"/>
      <c r="BJO57" s="188"/>
      <c r="BJP57" s="188"/>
      <c r="BJQ57" s="188"/>
      <c r="BJR57" s="188"/>
      <c r="BJS57" s="188"/>
      <c r="BJT57" s="188"/>
      <c r="BJU57" s="188"/>
      <c r="BJV57" s="188"/>
      <c r="BJW57" s="188"/>
      <c r="BJX57" s="188"/>
      <c r="BJY57" s="188"/>
      <c r="BJZ57" s="188"/>
      <c r="BKA57" s="188"/>
      <c r="BKB57" s="188"/>
      <c r="BKC57" s="188"/>
      <c r="BKD57" s="188"/>
      <c r="BKE57" s="188"/>
      <c r="BKF57" s="188"/>
      <c r="BKG57" s="188"/>
      <c r="BKH57" s="188"/>
      <c r="BKI57" s="188"/>
      <c r="BKJ57" s="188"/>
      <c r="BKK57" s="188"/>
      <c r="BKL57" s="188"/>
      <c r="BKM57" s="188"/>
      <c r="BKN57" s="188"/>
    </row>
    <row r="58" spans="1:1652" s="21" customFormat="1" x14ac:dyDescent="0.3">
      <c r="A58" s="171"/>
      <c r="B58" s="189"/>
      <c r="C58" s="189"/>
      <c r="D58" s="189"/>
      <c r="E58" s="189"/>
      <c r="F58" s="189"/>
      <c r="G58" s="189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8"/>
      <c r="AE58" s="188"/>
      <c r="AF58" s="188"/>
      <c r="AG58" s="188"/>
      <c r="AH58" s="188"/>
      <c r="AI58" s="188"/>
      <c r="AJ58" s="188"/>
      <c r="AK58" s="188"/>
      <c r="AL58" s="188"/>
      <c r="AM58" s="188"/>
      <c r="AN58" s="188"/>
      <c r="AO58" s="188"/>
      <c r="AP58" s="188"/>
      <c r="AQ58" s="188"/>
      <c r="AR58" s="188"/>
      <c r="AS58" s="188"/>
      <c r="AT58" s="189"/>
      <c r="AU58" s="189"/>
      <c r="AV58" s="189"/>
      <c r="AW58" s="189"/>
      <c r="AX58" s="189"/>
      <c r="AY58" s="189"/>
      <c r="AZ58" s="189"/>
      <c r="BA58" s="189"/>
      <c r="BB58" s="189"/>
      <c r="BC58" s="189"/>
      <c r="BD58" s="189"/>
      <c r="BE58" s="188"/>
      <c r="BF58" s="188"/>
      <c r="BG58" s="188"/>
      <c r="BH58" s="188"/>
      <c r="BI58" s="188"/>
      <c r="BJ58" s="188"/>
      <c r="BK58" s="188"/>
      <c r="BL58" s="188"/>
      <c r="BM58" s="188"/>
      <c r="BN58" s="188"/>
      <c r="BO58" s="188"/>
      <c r="BP58" s="188"/>
      <c r="BQ58" s="188"/>
      <c r="BR58" s="188"/>
      <c r="BS58" s="188"/>
      <c r="BT58" s="188"/>
      <c r="BU58" s="188"/>
      <c r="BV58" s="188"/>
      <c r="BW58" s="188"/>
      <c r="BX58" s="188"/>
      <c r="BY58" s="188"/>
      <c r="BZ58" s="188"/>
      <c r="CA58" s="188"/>
      <c r="CB58" s="188"/>
      <c r="CC58" s="188"/>
      <c r="CD58" s="188"/>
      <c r="CE58" s="188"/>
      <c r="CF58" s="188"/>
      <c r="CG58" s="188"/>
      <c r="CH58" s="188"/>
      <c r="CI58" s="188"/>
      <c r="CJ58" s="188"/>
      <c r="CK58" s="188"/>
      <c r="CL58" s="188"/>
      <c r="CM58" s="188"/>
      <c r="CN58" s="188"/>
      <c r="CO58" s="188"/>
      <c r="CP58" s="188"/>
      <c r="CQ58" s="188"/>
      <c r="CR58" s="188"/>
      <c r="CS58" s="188"/>
      <c r="CT58" s="188"/>
      <c r="CU58" s="188"/>
      <c r="CV58" s="188"/>
      <c r="CW58" s="188"/>
      <c r="CX58" s="188"/>
      <c r="CY58" s="188"/>
      <c r="CZ58" s="188"/>
      <c r="DA58" s="188"/>
      <c r="DB58" s="188"/>
      <c r="DC58" s="188"/>
      <c r="DD58" s="188"/>
      <c r="DE58" s="188"/>
      <c r="DF58" s="188"/>
      <c r="DG58" s="188"/>
      <c r="DH58" s="188"/>
      <c r="DI58" s="188"/>
      <c r="DJ58" s="188"/>
      <c r="DK58" s="188"/>
      <c r="DL58" s="188"/>
      <c r="DM58" s="188"/>
      <c r="DN58" s="188"/>
      <c r="DO58" s="188"/>
      <c r="DP58" s="188"/>
      <c r="DQ58" s="188"/>
      <c r="DR58" s="188"/>
      <c r="DS58" s="188"/>
      <c r="DT58" s="188"/>
      <c r="DU58" s="188"/>
      <c r="DV58" s="188"/>
      <c r="DW58" s="188"/>
      <c r="DX58" s="188"/>
      <c r="DY58" s="188"/>
      <c r="DZ58" s="188"/>
      <c r="EA58" s="188"/>
      <c r="EB58" s="188"/>
      <c r="EC58" s="188"/>
      <c r="ED58" s="188"/>
      <c r="EE58" s="188"/>
      <c r="EF58" s="188"/>
      <c r="EG58" s="188"/>
      <c r="EH58" s="188"/>
      <c r="EI58" s="188"/>
      <c r="EJ58" s="188"/>
      <c r="EK58" s="188"/>
      <c r="EL58" s="188"/>
      <c r="EM58" s="188"/>
      <c r="EN58" s="188"/>
      <c r="EO58" s="188"/>
      <c r="EP58" s="188"/>
      <c r="EQ58" s="188"/>
      <c r="ER58" s="188"/>
      <c r="ES58" s="188"/>
      <c r="ET58" s="188"/>
      <c r="EU58" s="188"/>
      <c r="EV58" s="188"/>
      <c r="EW58" s="188"/>
      <c r="EX58" s="188"/>
      <c r="EY58" s="188"/>
      <c r="EZ58" s="188"/>
      <c r="FA58" s="188"/>
      <c r="FB58" s="188"/>
      <c r="FC58" s="188"/>
      <c r="FD58" s="188"/>
      <c r="FE58" s="188"/>
      <c r="FF58" s="188"/>
      <c r="FG58" s="188"/>
      <c r="FH58" s="188"/>
      <c r="FI58" s="188"/>
      <c r="FJ58" s="188"/>
      <c r="FK58" s="188"/>
      <c r="FL58" s="188"/>
      <c r="FM58" s="188"/>
      <c r="FN58" s="188"/>
      <c r="FO58" s="188"/>
      <c r="FP58" s="188"/>
      <c r="FQ58" s="188"/>
      <c r="FR58" s="188"/>
      <c r="FS58" s="188"/>
      <c r="FT58" s="188"/>
      <c r="FU58" s="188"/>
      <c r="FV58" s="188"/>
      <c r="FW58" s="188"/>
      <c r="FX58" s="188"/>
      <c r="FY58" s="188"/>
      <c r="FZ58" s="188"/>
      <c r="GA58" s="188"/>
      <c r="GB58" s="188"/>
      <c r="GC58" s="188"/>
      <c r="GD58" s="188"/>
      <c r="GE58" s="188"/>
      <c r="GF58" s="188"/>
      <c r="GG58" s="188"/>
      <c r="GH58" s="188"/>
      <c r="GI58" s="188"/>
      <c r="GJ58" s="188"/>
      <c r="GK58" s="188"/>
      <c r="GL58" s="188"/>
      <c r="GM58" s="188"/>
      <c r="GN58" s="188"/>
      <c r="GO58" s="188"/>
      <c r="GP58" s="188"/>
      <c r="GQ58" s="188"/>
      <c r="GR58" s="188"/>
      <c r="GS58" s="188"/>
      <c r="GT58" s="188"/>
      <c r="GU58" s="188"/>
      <c r="GV58" s="188"/>
      <c r="GW58" s="188"/>
      <c r="GX58" s="188"/>
      <c r="GY58" s="188"/>
      <c r="GZ58" s="188"/>
      <c r="HA58" s="188"/>
      <c r="HB58" s="188"/>
      <c r="HC58" s="188"/>
      <c r="HD58" s="188"/>
      <c r="HE58" s="188"/>
      <c r="HF58" s="188"/>
      <c r="HG58" s="188"/>
      <c r="HH58" s="188"/>
      <c r="HI58" s="188"/>
      <c r="HJ58" s="188"/>
      <c r="HK58" s="188"/>
      <c r="HL58" s="188"/>
      <c r="HM58" s="188"/>
      <c r="HN58" s="188"/>
      <c r="HO58" s="188"/>
      <c r="HP58" s="188"/>
      <c r="HQ58" s="188"/>
      <c r="HR58" s="188"/>
      <c r="HS58" s="188"/>
      <c r="HT58" s="188"/>
      <c r="HU58" s="188"/>
      <c r="HV58" s="188"/>
      <c r="HW58" s="188"/>
      <c r="HX58" s="188"/>
      <c r="HY58" s="188"/>
      <c r="HZ58" s="188"/>
      <c r="IA58" s="188"/>
      <c r="IB58" s="188"/>
      <c r="IC58" s="188"/>
      <c r="ID58" s="188"/>
      <c r="IE58" s="188"/>
      <c r="IF58" s="188"/>
      <c r="IG58" s="188"/>
      <c r="IH58" s="188"/>
      <c r="II58" s="188"/>
      <c r="IJ58" s="188"/>
      <c r="IK58" s="188"/>
      <c r="IL58" s="188"/>
      <c r="IM58" s="188"/>
      <c r="IN58" s="188"/>
      <c r="IO58" s="188"/>
      <c r="IP58" s="188"/>
      <c r="IQ58" s="188"/>
      <c r="IR58" s="188"/>
      <c r="IS58" s="188"/>
      <c r="IT58" s="188"/>
      <c r="IU58" s="188"/>
      <c r="IV58" s="188"/>
      <c r="IW58" s="188"/>
      <c r="IX58" s="188"/>
      <c r="IY58" s="188"/>
      <c r="IZ58" s="188"/>
      <c r="JA58" s="188"/>
      <c r="JB58" s="188"/>
      <c r="JC58" s="188"/>
      <c r="JD58" s="188"/>
      <c r="JE58" s="188"/>
      <c r="JF58" s="188"/>
      <c r="JG58" s="188"/>
      <c r="JH58" s="188"/>
      <c r="JI58" s="188"/>
      <c r="JJ58" s="188"/>
      <c r="JK58" s="188"/>
      <c r="JL58" s="188"/>
      <c r="JM58" s="188"/>
      <c r="JN58" s="188"/>
      <c r="JO58" s="188"/>
      <c r="JP58" s="188"/>
      <c r="JQ58" s="188"/>
      <c r="JR58" s="188"/>
      <c r="JS58" s="188"/>
      <c r="JT58" s="188"/>
      <c r="JU58" s="188"/>
      <c r="JV58" s="188"/>
      <c r="JW58" s="188"/>
      <c r="JX58" s="188"/>
      <c r="JY58" s="188"/>
      <c r="JZ58" s="188"/>
      <c r="KA58" s="188"/>
      <c r="KB58" s="188"/>
      <c r="KC58" s="188"/>
      <c r="KD58" s="188"/>
      <c r="KE58" s="188"/>
      <c r="KF58" s="188"/>
      <c r="KG58" s="188"/>
      <c r="KH58" s="188"/>
      <c r="KI58" s="188"/>
      <c r="KJ58" s="188"/>
      <c r="KK58" s="188"/>
      <c r="KL58" s="188"/>
      <c r="KM58" s="188"/>
      <c r="KN58" s="188"/>
      <c r="KO58" s="188"/>
      <c r="KP58" s="188"/>
      <c r="KQ58" s="188"/>
      <c r="KR58" s="188"/>
      <c r="KS58" s="188"/>
      <c r="KT58" s="188"/>
      <c r="KU58" s="188"/>
      <c r="KV58" s="188"/>
      <c r="KW58" s="188"/>
      <c r="KX58" s="188"/>
      <c r="KY58" s="188"/>
      <c r="KZ58" s="188"/>
      <c r="LA58" s="188"/>
      <c r="LB58" s="188"/>
      <c r="LC58" s="188"/>
      <c r="LD58" s="188"/>
      <c r="LE58" s="188"/>
      <c r="LF58" s="188"/>
      <c r="LG58" s="188"/>
      <c r="LH58" s="188"/>
      <c r="LI58" s="188"/>
      <c r="LJ58" s="188"/>
      <c r="LK58" s="188"/>
      <c r="LL58" s="188"/>
      <c r="LM58" s="188"/>
      <c r="LN58" s="188"/>
      <c r="LO58" s="188"/>
      <c r="LP58" s="188"/>
      <c r="LQ58" s="188"/>
      <c r="LR58" s="188"/>
      <c r="LS58" s="188"/>
      <c r="LT58" s="188"/>
      <c r="LU58" s="188"/>
      <c r="LV58" s="188"/>
      <c r="LW58" s="188"/>
      <c r="LX58" s="188"/>
      <c r="LY58" s="188"/>
      <c r="LZ58" s="188"/>
      <c r="MA58" s="188"/>
      <c r="MB58" s="188"/>
      <c r="MC58" s="188"/>
      <c r="MD58" s="188"/>
      <c r="ME58" s="188"/>
      <c r="MF58" s="188"/>
      <c r="MG58" s="188"/>
      <c r="MH58" s="188"/>
      <c r="MI58" s="188"/>
      <c r="MJ58" s="188"/>
      <c r="MK58" s="188"/>
      <c r="ML58" s="188"/>
      <c r="MM58" s="188"/>
      <c r="MN58" s="188"/>
      <c r="MO58" s="188"/>
      <c r="MP58" s="188"/>
      <c r="MQ58" s="188"/>
      <c r="MR58" s="188"/>
      <c r="MS58" s="188"/>
      <c r="MT58" s="188"/>
      <c r="MU58" s="188"/>
      <c r="MV58" s="188"/>
      <c r="MW58" s="188"/>
      <c r="MX58" s="188"/>
      <c r="MY58" s="188"/>
      <c r="MZ58" s="188"/>
      <c r="NA58" s="188"/>
      <c r="NB58" s="188"/>
      <c r="NC58" s="188"/>
      <c r="ND58" s="188"/>
      <c r="NE58" s="188"/>
      <c r="NF58" s="188"/>
      <c r="NG58" s="188"/>
      <c r="NH58" s="188"/>
      <c r="NI58" s="188"/>
      <c r="NJ58" s="188"/>
      <c r="NK58" s="188"/>
      <c r="NL58" s="188"/>
      <c r="NM58" s="188"/>
      <c r="NN58" s="188"/>
      <c r="NO58" s="188"/>
      <c r="NP58" s="188"/>
      <c r="NQ58" s="188"/>
      <c r="NR58" s="188"/>
      <c r="NS58" s="188"/>
      <c r="NT58" s="188"/>
      <c r="NU58" s="188"/>
      <c r="NV58" s="188"/>
      <c r="NW58" s="188"/>
      <c r="NX58" s="188"/>
      <c r="NY58" s="188"/>
      <c r="NZ58" s="188"/>
      <c r="OA58" s="188"/>
      <c r="OB58" s="188"/>
      <c r="OC58" s="188"/>
      <c r="OD58" s="188"/>
      <c r="OE58" s="188"/>
      <c r="OF58" s="188"/>
      <c r="OG58" s="188"/>
      <c r="OH58" s="188"/>
      <c r="OI58" s="188"/>
      <c r="OJ58" s="188"/>
      <c r="OK58" s="188"/>
      <c r="OL58" s="188"/>
      <c r="OM58" s="188"/>
      <c r="ON58" s="188"/>
      <c r="OO58" s="188"/>
      <c r="OP58" s="188"/>
      <c r="OQ58" s="188"/>
      <c r="OR58" s="188"/>
      <c r="OS58" s="188"/>
      <c r="OT58" s="188"/>
      <c r="OU58" s="188"/>
      <c r="OV58" s="188"/>
      <c r="OW58" s="188"/>
      <c r="OX58" s="188"/>
      <c r="OY58" s="188"/>
      <c r="OZ58" s="188"/>
      <c r="PA58" s="188"/>
      <c r="PB58" s="188"/>
      <c r="PC58" s="188"/>
      <c r="PD58" s="188"/>
      <c r="PE58" s="188"/>
      <c r="PF58" s="188"/>
      <c r="PG58" s="188"/>
      <c r="PH58" s="188"/>
      <c r="PI58" s="188"/>
      <c r="PJ58" s="188"/>
      <c r="PK58" s="188"/>
      <c r="PL58" s="188"/>
      <c r="PM58" s="188"/>
      <c r="PN58" s="188"/>
      <c r="PO58" s="188"/>
      <c r="PP58" s="188"/>
      <c r="PQ58" s="188"/>
      <c r="PR58" s="188"/>
      <c r="PS58" s="188"/>
      <c r="PT58" s="188"/>
      <c r="PU58" s="188"/>
      <c r="PV58" s="188"/>
      <c r="PW58" s="188"/>
      <c r="PX58" s="188"/>
      <c r="PY58" s="188"/>
      <c r="PZ58" s="188"/>
      <c r="QA58" s="188"/>
      <c r="QB58" s="188"/>
      <c r="QC58" s="188"/>
      <c r="QD58" s="188"/>
      <c r="QE58" s="188"/>
      <c r="QF58" s="188"/>
      <c r="QG58" s="188"/>
      <c r="QH58" s="188"/>
      <c r="QI58" s="188"/>
      <c r="QJ58" s="188"/>
      <c r="QK58" s="188"/>
      <c r="QL58" s="188"/>
      <c r="QM58" s="188"/>
      <c r="QN58" s="188"/>
      <c r="QO58" s="188"/>
      <c r="QP58" s="188"/>
      <c r="QQ58" s="188"/>
      <c r="QR58" s="188"/>
      <c r="QS58" s="188"/>
      <c r="QT58" s="188"/>
      <c r="QU58" s="188"/>
      <c r="QV58" s="188"/>
      <c r="QW58" s="188"/>
      <c r="QX58" s="188"/>
      <c r="QY58" s="188"/>
      <c r="QZ58" s="188"/>
      <c r="RA58" s="188"/>
      <c r="RB58" s="188"/>
      <c r="RC58" s="188"/>
      <c r="RD58" s="188"/>
      <c r="RE58" s="188"/>
      <c r="RF58" s="188"/>
      <c r="RG58" s="188"/>
      <c r="RH58" s="188"/>
      <c r="RI58" s="188"/>
      <c r="RJ58" s="188"/>
      <c r="RK58" s="188"/>
      <c r="RL58" s="188"/>
      <c r="RM58" s="188"/>
      <c r="RN58" s="188"/>
      <c r="RO58" s="188"/>
      <c r="RP58" s="188"/>
      <c r="RQ58" s="188"/>
      <c r="RR58" s="188"/>
      <c r="RS58" s="188"/>
      <c r="RT58" s="188"/>
      <c r="RU58" s="188"/>
      <c r="RV58" s="188"/>
      <c r="RW58" s="188"/>
      <c r="RX58" s="188"/>
      <c r="RY58" s="188"/>
      <c r="RZ58" s="188"/>
      <c r="SA58" s="188"/>
      <c r="SB58" s="188"/>
      <c r="SC58" s="188"/>
      <c r="SD58" s="188"/>
      <c r="SE58" s="188"/>
      <c r="SF58" s="188"/>
      <c r="SG58" s="188"/>
      <c r="SH58" s="188"/>
      <c r="SI58" s="188"/>
      <c r="SJ58" s="188"/>
      <c r="SK58" s="188"/>
      <c r="SL58" s="188"/>
      <c r="SM58" s="188"/>
      <c r="SN58" s="188"/>
      <c r="SO58" s="188"/>
      <c r="SP58" s="188"/>
      <c r="SQ58" s="188"/>
      <c r="SR58" s="188"/>
      <c r="SS58" s="188"/>
      <c r="ST58" s="188"/>
      <c r="SU58" s="188"/>
      <c r="SV58" s="188"/>
      <c r="SW58" s="188"/>
      <c r="SX58" s="188"/>
      <c r="SY58" s="188"/>
      <c r="SZ58" s="188"/>
      <c r="TA58" s="188"/>
      <c r="TB58" s="188"/>
      <c r="TC58" s="188"/>
      <c r="TD58" s="188"/>
      <c r="TE58" s="188"/>
      <c r="TF58" s="188"/>
      <c r="TG58" s="188"/>
      <c r="TH58" s="188"/>
      <c r="TI58" s="188"/>
      <c r="TJ58" s="188"/>
      <c r="TK58" s="188"/>
      <c r="TL58" s="188"/>
      <c r="TM58" s="188"/>
      <c r="TN58" s="188"/>
      <c r="TO58" s="188"/>
      <c r="TP58" s="188"/>
      <c r="TQ58" s="188"/>
      <c r="TR58" s="188"/>
      <c r="TS58" s="188"/>
      <c r="TT58" s="188"/>
      <c r="TU58" s="188"/>
      <c r="TV58" s="188"/>
      <c r="TW58" s="188"/>
      <c r="TX58" s="188"/>
      <c r="TY58" s="188"/>
      <c r="TZ58" s="188"/>
      <c r="UA58" s="188"/>
      <c r="UB58" s="188"/>
      <c r="UC58" s="188"/>
      <c r="UD58" s="188"/>
      <c r="UE58" s="188"/>
      <c r="UF58" s="188"/>
      <c r="UG58" s="188"/>
      <c r="UH58" s="188"/>
      <c r="UI58" s="188"/>
      <c r="UJ58" s="188"/>
      <c r="UK58" s="188"/>
      <c r="UL58" s="188"/>
      <c r="UM58" s="188"/>
      <c r="UN58" s="188"/>
      <c r="UO58" s="188"/>
      <c r="UP58" s="188"/>
      <c r="UQ58" s="188"/>
      <c r="UR58" s="188"/>
      <c r="US58" s="188"/>
      <c r="UT58" s="188"/>
      <c r="UU58" s="188"/>
      <c r="UV58" s="188"/>
      <c r="UW58" s="188"/>
      <c r="UX58" s="188"/>
      <c r="UY58" s="188"/>
      <c r="UZ58" s="188"/>
      <c r="VA58" s="188"/>
      <c r="VB58" s="188"/>
      <c r="VC58" s="188"/>
      <c r="VD58" s="188"/>
      <c r="VE58" s="188"/>
      <c r="VF58" s="188"/>
      <c r="VG58" s="188"/>
      <c r="VH58" s="188"/>
      <c r="VI58" s="188"/>
      <c r="VJ58" s="188"/>
      <c r="VK58" s="188"/>
      <c r="VL58" s="188"/>
      <c r="VM58" s="188"/>
      <c r="VN58" s="188"/>
      <c r="VO58" s="188"/>
      <c r="VP58" s="188"/>
      <c r="VQ58" s="188"/>
      <c r="VR58" s="188"/>
      <c r="VS58" s="188"/>
      <c r="VT58" s="188"/>
      <c r="VU58" s="188"/>
      <c r="VV58" s="188"/>
      <c r="VW58" s="188"/>
      <c r="VX58" s="188"/>
      <c r="VY58" s="188"/>
      <c r="VZ58" s="188"/>
      <c r="WA58" s="188"/>
      <c r="WB58" s="188"/>
      <c r="WC58" s="188"/>
      <c r="WD58" s="188"/>
      <c r="WE58" s="188"/>
      <c r="WF58" s="188"/>
      <c r="WG58" s="188"/>
      <c r="WH58" s="188"/>
      <c r="WI58" s="188"/>
      <c r="WJ58" s="188"/>
      <c r="WK58" s="188"/>
      <c r="WL58" s="188"/>
      <c r="WM58" s="188"/>
      <c r="WN58" s="188"/>
      <c r="WO58" s="188"/>
      <c r="WP58" s="188"/>
      <c r="WQ58" s="188"/>
      <c r="WR58" s="188"/>
      <c r="WS58" s="188"/>
      <c r="WT58" s="188"/>
      <c r="WU58" s="188"/>
      <c r="WV58" s="188"/>
      <c r="WW58" s="188"/>
      <c r="WX58" s="188"/>
      <c r="WY58" s="188"/>
      <c r="WZ58" s="188"/>
      <c r="XA58" s="188"/>
      <c r="XB58" s="188"/>
      <c r="XC58" s="188"/>
      <c r="XD58" s="188"/>
      <c r="XE58" s="188"/>
      <c r="XF58" s="188"/>
      <c r="XG58" s="188"/>
      <c r="XH58" s="188"/>
      <c r="XI58" s="188"/>
      <c r="XJ58" s="188"/>
      <c r="XK58" s="188"/>
      <c r="XL58" s="188"/>
      <c r="XM58" s="188"/>
      <c r="XN58" s="188"/>
      <c r="XO58" s="188"/>
      <c r="XP58" s="188"/>
      <c r="XQ58" s="188"/>
      <c r="XR58" s="188"/>
      <c r="XS58" s="188"/>
      <c r="XT58" s="188"/>
      <c r="XU58" s="188"/>
      <c r="XV58" s="188"/>
      <c r="XW58" s="188"/>
      <c r="XX58" s="188"/>
      <c r="XY58" s="188"/>
      <c r="XZ58" s="188"/>
      <c r="YA58" s="188"/>
      <c r="YB58" s="188"/>
      <c r="YC58" s="188"/>
      <c r="YD58" s="188"/>
      <c r="YE58" s="188"/>
      <c r="YF58" s="188"/>
      <c r="YG58" s="188"/>
      <c r="YH58" s="188"/>
      <c r="YI58" s="188"/>
      <c r="YJ58" s="188"/>
      <c r="YK58" s="188"/>
      <c r="YL58" s="188"/>
      <c r="YM58" s="188"/>
      <c r="YN58" s="188"/>
      <c r="YO58" s="188"/>
      <c r="YP58" s="188"/>
      <c r="YQ58" s="188"/>
      <c r="YR58" s="188"/>
      <c r="YS58" s="188"/>
      <c r="YT58" s="188"/>
      <c r="YU58" s="188"/>
      <c r="YV58" s="188"/>
      <c r="YW58" s="188"/>
      <c r="YX58" s="188"/>
      <c r="YY58" s="188"/>
      <c r="YZ58" s="188"/>
      <c r="ZA58" s="188"/>
      <c r="ZB58" s="188"/>
      <c r="ZC58" s="188"/>
      <c r="ZD58" s="188"/>
      <c r="ZE58" s="188"/>
      <c r="ZF58" s="188"/>
      <c r="ZG58" s="188"/>
      <c r="ZH58" s="188"/>
      <c r="ZI58" s="188"/>
      <c r="ZJ58" s="188"/>
      <c r="ZK58" s="188"/>
      <c r="ZL58" s="188"/>
      <c r="ZM58" s="188"/>
      <c r="ZN58" s="188"/>
      <c r="ZO58" s="188"/>
      <c r="ZP58" s="188"/>
      <c r="ZQ58" s="188"/>
      <c r="ZR58" s="188"/>
      <c r="ZS58" s="188"/>
      <c r="ZT58" s="188"/>
      <c r="ZU58" s="188"/>
      <c r="ZV58" s="188"/>
      <c r="ZW58" s="188"/>
      <c r="ZX58" s="188"/>
      <c r="ZY58" s="188"/>
      <c r="ZZ58" s="188"/>
      <c r="AAA58" s="188"/>
      <c r="AAB58" s="188"/>
      <c r="AAC58" s="188"/>
      <c r="AAD58" s="188"/>
      <c r="AAE58" s="188"/>
      <c r="AAF58" s="188"/>
      <c r="AAG58" s="188"/>
      <c r="AAH58" s="188"/>
      <c r="AAI58" s="188"/>
      <c r="AAJ58" s="188"/>
      <c r="AAK58" s="188"/>
      <c r="AAL58" s="188"/>
      <c r="AAM58" s="188"/>
      <c r="AAN58" s="188"/>
      <c r="AAO58" s="188"/>
      <c r="AAP58" s="188"/>
      <c r="AAQ58" s="188"/>
      <c r="AAR58" s="188"/>
      <c r="AAS58" s="188"/>
      <c r="AAT58" s="188"/>
      <c r="AAU58" s="188"/>
      <c r="AAV58" s="188"/>
      <c r="AAW58" s="188"/>
      <c r="AAX58" s="188"/>
      <c r="AAY58" s="188"/>
      <c r="AAZ58" s="188"/>
      <c r="ABA58" s="188"/>
      <c r="ABB58" s="188"/>
      <c r="ABC58" s="188"/>
      <c r="ABD58" s="188"/>
      <c r="ABE58" s="188"/>
      <c r="ABF58" s="188"/>
      <c r="ABG58" s="188"/>
      <c r="ABH58" s="188"/>
      <c r="ABI58" s="188"/>
      <c r="ABJ58" s="188"/>
      <c r="ABK58" s="188"/>
      <c r="ABL58" s="188"/>
      <c r="ABM58" s="188"/>
      <c r="ABN58" s="188"/>
      <c r="ABO58" s="188"/>
      <c r="ABP58" s="188"/>
      <c r="ABQ58" s="188"/>
      <c r="ABR58" s="188"/>
      <c r="ABS58" s="188"/>
      <c r="ABT58" s="188"/>
      <c r="ABU58" s="188"/>
      <c r="ABV58" s="188"/>
      <c r="ABW58" s="188"/>
      <c r="ABX58" s="188"/>
      <c r="ABY58" s="188"/>
      <c r="ABZ58" s="188"/>
      <c r="ACA58" s="188"/>
      <c r="ACB58" s="188"/>
      <c r="ACC58" s="188"/>
      <c r="ACD58" s="188"/>
      <c r="ACE58" s="188"/>
      <c r="ACF58" s="188"/>
      <c r="ACG58" s="188"/>
      <c r="ACH58" s="188"/>
      <c r="ACI58" s="188"/>
      <c r="ACJ58" s="188"/>
      <c r="ACK58" s="188"/>
      <c r="ACL58" s="188"/>
      <c r="ACM58" s="188"/>
      <c r="ACN58" s="188"/>
      <c r="ACO58" s="188"/>
      <c r="ACP58" s="188"/>
      <c r="ACQ58" s="188"/>
      <c r="ACR58" s="188"/>
      <c r="ACS58" s="188"/>
      <c r="ACT58" s="188"/>
      <c r="ACU58" s="188"/>
      <c r="ACV58" s="188"/>
      <c r="ACW58" s="188"/>
      <c r="ACX58" s="188"/>
      <c r="ACY58" s="188"/>
      <c r="ACZ58" s="188"/>
      <c r="ADA58" s="188"/>
      <c r="ADB58" s="188"/>
      <c r="ADC58" s="188"/>
      <c r="ADD58" s="188"/>
      <c r="ADE58" s="188"/>
      <c r="ADF58" s="188"/>
      <c r="ADG58" s="188"/>
      <c r="ADH58" s="188"/>
      <c r="ADI58" s="188"/>
      <c r="ADJ58" s="188"/>
      <c r="ADK58" s="188"/>
      <c r="ADL58" s="188"/>
      <c r="ADM58" s="188"/>
      <c r="ADN58" s="188"/>
      <c r="ADO58" s="188"/>
      <c r="ADP58" s="188"/>
      <c r="ADQ58" s="188"/>
      <c r="ADR58" s="188"/>
      <c r="ADS58" s="188"/>
      <c r="ADT58" s="188"/>
      <c r="ADU58" s="188"/>
      <c r="ADV58" s="188"/>
      <c r="ADW58" s="188"/>
      <c r="ADX58" s="188"/>
      <c r="ADY58" s="188"/>
      <c r="ADZ58" s="188"/>
      <c r="AEA58" s="188"/>
      <c r="AEB58" s="188"/>
      <c r="AEC58" s="188"/>
      <c r="AED58" s="188"/>
      <c r="AEE58" s="188"/>
      <c r="AEF58" s="188"/>
      <c r="AEG58" s="188"/>
      <c r="AEH58" s="188"/>
      <c r="AEI58" s="188"/>
      <c r="AEJ58" s="188"/>
      <c r="AEK58" s="188"/>
      <c r="AEL58" s="188"/>
      <c r="AEM58" s="188"/>
      <c r="AEN58" s="188"/>
      <c r="AEO58" s="188"/>
      <c r="AEP58" s="188"/>
      <c r="AEQ58" s="188"/>
      <c r="AER58" s="188"/>
      <c r="AES58" s="188"/>
      <c r="AET58" s="188"/>
      <c r="AEU58" s="188"/>
      <c r="AEV58" s="188"/>
      <c r="AEW58" s="188"/>
      <c r="AEX58" s="188"/>
      <c r="AEY58" s="188"/>
      <c r="AEZ58" s="188"/>
      <c r="AFA58" s="188"/>
      <c r="AFB58" s="188"/>
      <c r="AFC58" s="188"/>
      <c r="AFD58" s="188"/>
      <c r="AFE58" s="188"/>
      <c r="AFF58" s="188"/>
      <c r="AFG58" s="188"/>
      <c r="AFH58" s="188"/>
      <c r="AFI58" s="188"/>
      <c r="AFJ58" s="188"/>
      <c r="AFK58" s="188"/>
      <c r="AFL58" s="188"/>
      <c r="AFM58" s="188"/>
      <c r="AFN58" s="188"/>
      <c r="AFO58" s="188"/>
      <c r="AFP58" s="188"/>
      <c r="AFQ58" s="188"/>
      <c r="AFR58" s="188"/>
      <c r="AFS58" s="188"/>
      <c r="AFT58" s="188"/>
      <c r="AFU58" s="188"/>
      <c r="AFV58" s="188"/>
      <c r="AFW58" s="188"/>
      <c r="AFX58" s="188"/>
      <c r="AFY58" s="188"/>
      <c r="AFZ58" s="188"/>
      <c r="AGA58" s="188"/>
      <c r="AGB58" s="188"/>
      <c r="AGC58" s="188"/>
      <c r="AGD58" s="188"/>
      <c r="AGE58" s="188"/>
      <c r="AGF58" s="188"/>
      <c r="AGG58" s="188"/>
      <c r="AGH58" s="188"/>
      <c r="AGI58" s="188"/>
      <c r="AGJ58" s="188"/>
      <c r="AGK58" s="188"/>
      <c r="AGL58" s="188"/>
      <c r="AGM58" s="188"/>
      <c r="AGN58" s="188"/>
      <c r="AGO58" s="188"/>
      <c r="AGP58" s="188"/>
      <c r="AGQ58" s="188"/>
      <c r="AGR58" s="188"/>
      <c r="AGS58" s="188"/>
      <c r="AGT58" s="188"/>
      <c r="AGU58" s="188"/>
      <c r="AGV58" s="188"/>
      <c r="AGW58" s="188"/>
      <c r="AGX58" s="188"/>
      <c r="AGY58" s="188"/>
      <c r="AGZ58" s="188"/>
      <c r="AHA58" s="188"/>
      <c r="AHB58" s="188"/>
      <c r="AHC58" s="188"/>
      <c r="AHD58" s="188"/>
      <c r="AHE58" s="188"/>
      <c r="AHF58" s="188"/>
      <c r="AHG58" s="188"/>
      <c r="AHH58" s="188"/>
      <c r="AHI58" s="188"/>
      <c r="AHJ58" s="188"/>
      <c r="AHK58" s="188"/>
      <c r="AHL58" s="188"/>
      <c r="AHM58" s="188"/>
      <c r="AHN58" s="188"/>
      <c r="AHO58" s="188"/>
      <c r="AHP58" s="188"/>
      <c r="AHQ58" s="188"/>
      <c r="AHR58" s="188"/>
      <c r="AHS58" s="188"/>
      <c r="AHT58" s="188"/>
      <c r="AHU58" s="188"/>
      <c r="AHV58" s="188"/>
      <c r="AHW58" s="188"/>
      <c r="AHX58" s="188"/>
      <c r="AHY58" s="188"/>
      <c r="AHZ58" s="188"/>
      <c r="AIA58" s="188"/>
      <c r="AIB58" s="188"/>
      <c r="AIC58" s="188"/>
      <c r="AID58" s="188"/>
      <c r="AIE58" s="188"/>
      <c r="AIF58" s="188"/>
      <c r="AIG58" s="188"/>
      <c r="AIH58" s="188"/>
      <c r="AII58" s="188"/>
      <c r="AIJ58" s="188"/>
      <c r="AIK58" s="188"/>
      <c r="AIL58" s="188"/>
      <c r="AIM58" s="188"/>
      <c r="AIN58" s="188"/>
      <c r="AIO58" s="188"/>
      <c r="AIP58" s="188"/>
      <c r="AIQ58" s="188"/>
      <c r="AIR58" s="188"/>
      <c r="AIS58" s="188"/>
      <c r="AIT58" s="188"/>
      <c r="AIU58" s="188"/>
      <c r="AIV58" s="188"/>
      <c r="AIW58" s="188"/>
      <c r="AIX58" s="188"/>
      <c r="AIY58" s="188"/>
      <c r="AIZ58" s="188"/>
      <c r="AJA58" s="188"/>
      <c r="AJB58" s="188"/>
      <c r="AJC58" s="188"/>
      <c r="AJD58" s="188"/>
      <c r="AJE58" s="188"/>
      <c r="AJF58" s="188"/>
      <c r="AJG58" s="188"/>
      <c r="AJH58" s="188"/>
      <c r="AJI58" s="188"/>
      <c r="AJJ58" s="188"/>
      <c r="AJK58" s="188"/>
      <c r="AJL58" s="188"/>
      <c r="AJM58" s="188"/>
      <c r="AJN58" s="188"/>
      <c r="AJO58" s="188"/>
      <c r="AJP58" s="188"/>
      <c r="AJQ58" s="188"/>
      <c r="AJR58" s="188"/>
      <c r="AJS58" s="188"/>
      <c r="AJT58" s="188"/>
      <c r="AJU58" s="188"/>
      <c r="AJV58" s="188"/>
      <c r="AJW58" s="188"/>
      <c r="AJX58" s="188"/>
      <c r="AJY58" s="188"/>
      <c r="AJZ58" s="188"/>
      <c r="AKA58" s="188"/>
      <c r="AKB58" s="188"/>
      <c r="AKC58" s="188"/>
      <c r="AKD58" s="188"/>
      <c r="AKE58" s="188"/>
      <c r="AKF58" s="188"/>
      <c r="AKG58" s="188"/>
      <c r="AKH58" s="188"/>
      <c r="AKI58" s="188"/>
      <c r="AKJ58" s="188"/>
      <c r="AKK58" s="188"/>
      <c r="AKL58" s="188"/>
      <c r="AKM58" s="188"/>
      <c r="AKN58" s="188"/>
      <c r="AKO58" s="188"/>
      <c r="AKP58" s="188"/>
      <c r="AKQ58" s="188"/>
      <c r="AKR58" s="188"/>
      <c r="AKS58" s="188"/>
      <c r="AKT58" s="188"/>
      <c r="AKU58" s="188"/>
      <c r="AKV58" s="188"/>
      <c r="AKW58" s="188"/>
      <c r="AKX58" s="188"/>
      <c r="AKY58" s="188"/>
      <c r="AKZ58" s="188"/>
      <c r="ALA58" s="188"/>
      <c r="ALB58" s="188"/>
      <c r="ALC58" s="188"/>
      <c r="ALD58" s="188"/>
      <c r="ALE58" s="188"/>
      <c r="ALF58" s="188"/>
      <c r="ALG58" s="188"/>
      <c r="ALH58" s="188"/>
      <c r="ALI58" s="188"/>
      <c r="ALJ58" s="188"/>
      <c r="ALK58" s="188"/>
      <c r="ALL58" s="188"/>
      <c r="ALM58" s="188"/>
      <c r="ALN58" s="188"/>
      <c r="ALO58" s="188"/>
      <c r="ALP58" s="188"/>
      <c r="ALQ58" s="188"/>
      <c r="ALR58" s="188"/>
      <c r="ALS58" s="188"/>
      <c r="ALT58" s="188"/>
      <c r="ALU58" s="188"/>
      <c r="ALV58" s="188"/>
      <c r="ALW58" s="188"/>
      <c r="ALX58" s="188"/>
      <c r="ALY58" s="188"/>
      <c r="ALZ58" s="188"/>
      <c r="AMA58" s="188"/>
      <c r="AMB58" s="188"/>
      <c r="AMC58" s="188"/>
      <c r="AMD58" s="188"/>
      <c r="AME58" s="188"/>
      <c r="AMF58" s="188"/>
      <c r="AMG58" s="188"/>
      <c r="AMH58" s="188"/>
      <c r="AMI58" s="188"/>
      <c r="AMJ58" s="188"/>
      <c r="AMK58" s="188"/>
      <c r="AML58" s="188"/>
      <c r="AMM58" s="188"/>
      <c r="AMN58" s="188"/>
      <c r="AMO58" s="188"/>
      <c r="AMP58" s="188"/>
      <c r="AMQ58" s="188"/>
      <c r="AMR58" s="188"/>
      <c r="AMS58" s="188"/>
      <c r="AMT58" s="188"/>
      <c r="AMU58" s="188"/>
      <c r="AMV58" s="188"/>
      <c r="AMW58" s="188"/>
      <c r="AMX58" s="188"/>
      <c r="AMY58" s="188"/>
      <c r="AMZ58" s="188"/>
      <c r="ANA58" s="188"/>
      <c r="ANB58" s="188"/>
      <c r="ANC58" s="188"/>
      <c r="AND58" s="188"/>
      <c r="ANE58" s="188"/>
      <c r="ANF58" s="188"/>
      <c r="ANG58" s="188"/>
      <c r="ANH58" s="188"/>
      <c r="ANI58" s="188"/>
      <c r="ANJ58" s="188"/>
      <c r="ANK58" s="188"/>
      <c r="ANL58" s="188"/>
      <c r="ANM58" s="188"/>
      <c r="ANN58" s="188"/>
      <c r="ANO58" s="188"/>
      <c r="ANP58" s="188"/>
      <c r="ANQ58" s="188"/>
      <c r="ANR58" s="188"/>
      <c r="ANS58" s="188"/>
      <c r="ANT58" s="188"/>
      <c r="ANU58" s="188"/>
      <c r="ANV58" s="188"/>
      <c r="ANW58" s="188"/>
      <c r="ANX58" s="188"/>
      <c r="ANY58" s="188"/>
      <c r="ANZ58" s="188"/>
      <c r="AOA58" s="188"/>
      <c r="AOB58" s="188"/>
      <c r="AOC58" s="188"/>
      <c r="AOD58" s="188"/>
      <c r="AOE58" s="188"/>
      <c r="AOF58" s="188"/>
      <c r="AOG58" s="188"/>
      <c r="AOH58" s="188"/>
      <c r="AOI58" s="188"/>
      <c r="AOJ58" s="188"/>
      <c r="AOK58" s="188"/>
      <c r="AOL58" s="188"/>
      <c r="AOM58" s="188"/>
      <c r="AON58" s="188"/>
      <c r="AOO58" s="188"/>
      <c r="AOP58" s="188"/>
      <c r="AOQ58" s="188"/>
      <c r="AOR58" s="188"/>
      <c r="AOS58" s="188"/>
      <c r="AOT58" s="188"/>
      <c r="AOU58" s="188"/>
      <c r="AOV58" s="188"/>
      <c r="AOW58" s="188"/>
      <c r="AOX58" s="188"/>
      <c r="AOY58" s="188"/>
      <c r="AOZ58" s="188"/>
      <c r="APA58" s="188"/>
      <c r="APB58" s="188"/>
      <c r="APC58" s="188"/>
      <c r="APD58" s="188"/>
      <c r="APE58" s="188"/>
      <c r="APF58" s="188"/>
      <c r="APG58" s="188"/>
      <c r="APH58" s="188"/>
      <c r="API58" s="188"/>
      <c r="APJ58" s="188"/>
      <c r="APK58" s="188"/>
      <c r="APL58" s="188"/>
      <c r="APM58" s="188"/>
      <c r="APN58" s="188"/>
      <c r="APO58" s="188"/>
      <c r="APP58" s="188"/>
      <c r="APQ58" s="188"/>
      <c r="APR58" s="188"/>
      <c r="APS58" s="188"/>
      <c r="APT58" s="188"/>
      <c r="APU58" s="188"/>
      <c r="APV58" s="188"/>
      <c r="APW58" s="188"/>
      <c r="APX58" s="188"/>
      <c r="APY58" s="188"/>
      <c r="APZ58" s="188"/>
      <c r="AQA58" s="188"/>
      <c r="AQB58" s="188"/>
      <c r="AQC58" s="188"/>
      <c r="AQD58" s="188"/>
      <c r="AQE58" s="188"/>
      <c r="AQF58" s="188"/>
      <c r="AQG58" s="188"/>
      <c r="AQH58" s="188"/>
      <c r="AQI58" s="188"/>
      <c r="AQJ58" s="188"/>
      <c r="AQK58" s="188"/>
      <c r="AQL58" s="188"/>
      <c r="AQM58" s="188"/>
      <c r="AQN58" s="188"/>
      <c r="AQO58" s="188"/>
      <c r="AQP58" s="188"/>
      <c r="AQQ58" s="188"/>
      <c r="AQR58" s="188"/>
      <c r="AQS58" s="188"/>
      <c r="AQT58" s="188"/>
      <c r="AQU58" s="188"/>
      <c r="AQV58" s="188"/>
      <c r="AQW58" s="188"/>
      <c r="AQX58" s="188"/>
      <c r="AQY58" s="188"/>
      <c r="AQZ58" s="188"/>
      <c r="ARA58" s="188"/>
      <c r="ARB58" s="188"/>
      <c r="ARC58" s="188"/>
      <c r="ARD58" s="188"/>
      <c r="ARE58" s="188"/>
      <c r="ARF58" s="188"/>
      <c r="ARG58" s="188"/>
      <c r="ARH58" s="188"/>
      <c r="ARI58" s="188"/>
      <c r="ARJ58" s="188"/>
      <c r="ARK58" s="188"/>
      <c r="ARL58" s="188"/>
      <c r="ARM58" s="188"/>
      <c r="ARN58" s="188"/>
      <c r="ARO58" s="188"/>
      <c r="ARP58" s="188"/>
      <c r="ARQ58" s="188"/>
      <c r="ARR58" s="188"/>
      <c r="ARS58" s="188"/>
      <c r="ART58" s="188"/>
      <c r="ARU58" s="188"/>
      <c r="ARV58" s="188"/>
      <c r="ARW58" s="188"/>
      <c r="ARX58" s="188"/>
      <c r="ARY58" s="188"/>
      <c r="ARZ58" s="188"/>
      <c r="ASA58" s="188"/>
      <c r="ASB58" s="188"/>
      <c r="ASC58" s="188"/>
      <c r="ASD58" s="188"/>
      <c r="ASE58" s="188"/>
      <c r="ASF58" s="188"/>
      <c r="ASG58" s="188"/>
      <c r="ASH58" s="188"/>
      <c r="ASI58" s="188"/>
      <c r="ASJ58" s="188"/>
      <c r="ASK58" s="188"/>
      <c r="ASL58" s="188"/>
      <c r="ASM58" s="188"/>
      <c r="ASN58" s="188"/>
      <c r="ASO58" s="188"/>
      <c r="ASP58" s="188"/>
      <c r="ASQ58" s="188"/>
      <c r="ASR58" s="188"/>
      <c r="ASS58" s="188"/>
      <c r="AST58" s="188"/>
      <c r="ASU58" s="188"/>
      <c r="ASV58" s="188"/>
      <c r="ASW58" s="188"/>
      <c r="ASX58" s="188"/>
      <c r="ASY58" s="188"/>
      <c r="ASZ58" s="188"/>
      <c r="ATA58" s="188"/>
      <c r="ATB58" s="188"/>
      <c r="ATC58" s="188"/>
      <c r="ATD58" s="188"/>
      <c r="ATE58" s="188"/>
      <c r="ATF58" s="188"/>
      <c r="ATG58" s="188"/>
      <c r="ATH58" s="188"/>
      <c r="ATI58" s="188"/>
      <c r="ATJ58" s="188"/>
      <c r="ATK58" s="188"/>
      <c r="ATL58" s="188"/>
      <c r="ATM58" s="188"/>
      <c r="ATN58" s="188"/>
      <c r="ATO58" s="188"/>
      <c r="ATP58" s="188"/>
      <c r="ATQ58" s="188"/>
      <c r="ATR58" s="188"/>
      <c r="ATS58" s="188"/>
      <c r="ATT58" s="188"/>
      <c r="ATU58" s="188"/>
      <c r="ATV58" s="188"/>
      <c r="ATW58" s="188"/>
      <c r="ATX58" s="188"/>
      <c r="ATY58" s="188"/>
      <c r="ATZ58" s="188"/>
      <c r="AUA58" s="188"/>
      <c r="AUB58" s="188"/>
      <c r="AUC58" s="188"/>
      <c r="AUD58" s="188"/>
      <c r="AUE58" s="188"/>
      <c r="AUF58" s="188"/>
      <c r="AUG58" s="188"/>
      <c r="AUH58" s="188"/>
      <c r="AUI58" s="188"/>
      <c r="AUJ58" s="188"/>
      <c r="AUK58" s="188"/>
      <c r="AUL58" s="188"/>
      <c r="AUM58" s="188"/>
      <c r="AUN58" s="188"/>
      <c r="AUO58" s="188"/>
      <c r="AUP58" s="188"/>
      <c r="AUQ58" s="188"/>
      <c r="AUR58" s="188"/>
      <c r="AUS58" s="188"/>
      <c r="AUT58" s="188"/>
      <c r="AUU58" s="188"/>
      <c r="AUV58" s="188"/>
      <c r="AUW58" s="188"/>
      <c r="AUX58" s="188"/>
      <c r="AUY58" s="188"/>
      <c r="AUZ58" s="188"/>
      <c r="AVA58" s="188"/>
      <c r="AVB58" s="188"/>
      <c r="AVC58" s="188"/>
      <c r="AVD58" s="188"/>
      <c r="AVE58" s="188"/>
      <c r="AVF58" s="188"/>
      <c r="AVG58" s="188"/>
      <c r="AVH58" s="188"/>
      <c r="AVI58" s="188"/>
      <c r="AVJ58" s="188"/>
      <c r="AVK58" s="188"/>
      <c r="AVL58" s="188"/>
      <c r="AVM58" s="188"/>
      <c r="AVN58" s="188"/>
      <c r="AVO58" s="188"/>
      <c r="AVP58" s="188"/>
      <c r="AVQ58" s="188"/>
      <c r="AVR58" s="188"/>
      <c r="AVS58" s="188"/>
      <c r="AVT58" s="188"/>
      <c r="AVU58" s="188"/>
      <c r="AVV58" s="188"/>
      <c r="AVW58" s="188"/>
      <c r="AVX58" s="188"/>
      <c r="AVY58" s="188"/>
      <c r="AVZ58" s="188"/>
      <c r="AWA58" s="188"/>
      <c r="AWB58" s="188"/>
      <c r="AWC58" s="188"/>
      <c r="AWD58" s="188"/>
      <c r="AWE58" s="188"/>
      <c r="AWF58" s="188"/>
      <c r="AWG58" s="188"/>
      <c r="AWH58" s="188"/>
      <c r="AWI58" s="188"/>
      <c r="AWJ58" s="188"/>
      <c r="AWK58" s="188"/>
      <c r="AWL58" s="188"/>
      <c r="AWM58" s="188"/>
      <c r="AWN58" s="188"/>
      <c r="AWO58" s="188"/>
      <c r="AWP58" s="188"/>
      <c r="AWQ58" s="188"/>
      <c r="AWR58" s="188"/>
      <c r="AWS58" s="188"/>
      <c r="AWT58" s="188"/>
      <c r="AWU58" s="188"/>
      <c r="AWV58" s="188"/>
      <c r="AWW58" s="188"/>
      <c r="AWX58" s="188"/>
      <c r="AWY58" s="188"/>
      <c r="AWZ58" s="188"/>
      <c r="AXA58" s="188"/>
      <c r="AXB58" s="188"/>
      <c r="AXC58" s="188"/>
      <c r="AXD58" s="188"/>
      <c r="AXE58" s="188"/>
      <c r="AXF58" s="188"/>
      <c r="AXG58" s="188"/>
      <c r="AXH58" s="188"/>
      <c r="AXI58" s="188"/>
      <c r="AXJ58" s="188"/>
      <c r="AXK58" s="188"/>
      <c r="AXL58" s="188"/>
      <c r="AXM58" s="188"/>
      <c r="AXN58" s="188"/>
      <c r="AXO58" s="188"/>
      <c r="AXP58" s="188"/>
      <c r="AXQ58" s="188"/>
      <c r="AXR58" s="188"/>
      <c r="AXS58" s="188"/>
      <c r="AXT58" s="188"/>
      <c r="AXU58" s="188"/>
      <c r="AXV58" s="188"/>
      <c r="AXW58" s="188"/>
      <c r="AXX58" s="188"/>
      <c r="AXY58" s="188"/>
      <c r="AXZ58" s="188"/>
      <c r="AYA58" s="188"/>
      <c r="AYB58" s="188"/>
      <c r="AYC58" s="188"/>
      <c r="AYD58" s="188"/>
      <c r="AYE58" s="188"/>
      <c r="AYF58" s="188"/>
      <c r="AYG58" s="188"/>
      <c r="AYH58" s="188"/>
      <c r="AYI58" s="188"/>
      <c r="AYJ58" s="188"/>
      <c r="AYK58" s="188"/>
      <c r="AYL58" s="188"/>
      <c r="AYM58" s="188"/>
      <c r="AYN58" s="188"/>
      <c r="AYO58" s="188"/>
      <c r="AYP58" s="188"/>
      <c r="AYQ58" s="188"/>
      <c r="AYR58" s="188"/>
      <c r="AYS58" s="188"/>
      <c r="AYT58" s="188"/>
      <c r="AYU58" s="188"/>
      <c r="AYV58" s="188"/>
      <c r="AYW58" s="188"/>
      <c r="AYX58" s="188"/>
      <c r="AYY58" s="188"/>
      <c r="AYZ58" s="188"/>
      <c r="AZA58" s="188"/>
      <c r="AZB58" s="188"/>
      <c r="AZC58" s="188"/>
      <c r="AZD58" s="188"/>
      <c r="AZE58" s="188"/>
      <c r="AZF58" s="188"/>
      <c r="AZG58" s="188"/>
      <c r="AZH58" s="188"/>
      <c r="AZI58" s="188"/>
      <c r="AZJ58" s="188"/>
      <c r="AZK58" s="188"/>
      <c r="AZL58" s="188"/>
      <c r="AZM58" s="188"/>
      <c r="AZN58" s="188"/>
      <c r="AZO58" s="188"/>
      <c r="AZP58" s="188"/>
      <c r="AZQ58" s="188"/>
      <c r="AZR58" s="188"/>
      <c r="AZS58" s="188"/>
      <c r="AZT58" s="188"/>
      <c r="AZU58" s="188"/>
      <c r="AZV58" s="188"/>
      <c r="AZW58" s="188"/>
      <c r="AZX58" s="188"/>
      <c r="AZY58" s="188"/>
      <c r="AZZ58" s="188"/>
      <c r="BAA58" s="188"/>
      <c r="BAB58" s="188"/>
      <c r="BAC58" s="188"/>
      <c r="BAD58" s="188"/>
      <c r="BAE58" s="188"/>
      <c r="BAF58" s="188"/>
      <c r="BAG58" s="188"/>
      <c r="BAH58" s="188"/>
      <c r="BAI58" s="188"/>
      <c r="BAJ58" s="188"/>
      <c r="BAK58" s="188"/>
      <c r="BAL58" s="188"/>
      <c r="BAM58" s="188"/>
      <c r="BAN58" s="188"/>
      <c r="BAO58" s="188"/>
      <c r="BAP58" s="188"/>
      <c r="BAQ58" s="188"/>
      <c r="BAR58" s="188"/>
      <c r="BAS58" s="188"/>
      <c r="BAT58" s="188"/>
      <c r="BAU58" s="188"/>
      <c r="BAV58" s="188"/>
      <c r="BAW58" s="188"/>
      <c r="BAX58" s="188"/>
      <c r="BAY58" s="188"/>
      <c r="BAZ58" s="188"/>
      <c r="BBA58" s="188"/>
      <c r="BBB58" s="188"/>
      <c r="BBC58" s="188"/>
      <c r="BBD58" s="188"/>
      <c r="BBE58" s="188"/>
      <c r="BBF58" s="188"/>
      <c r="BBG58" s="188"/>
      <c r="BBH58" s="188"/>
      <c r="BBI58" s="188"/>
      <c r="BBJ58" s="188"/>
      <c r="BBK58" s="188"/>
      <c r="BBL58" s="188"/>
      <c r="BBM58" s="188"/>
      <c r="BBN58" s="188"/>
      <c r="BBO58" s="188"/>
      <c r="BBP58" s="188"/>
      <c r="BBQ58" s="188"/>
      <c r="BBR58" s="188"/>
      <c r="BBS58" s="188"/>
      <c r="BBT58" s="188"/>
      <c r="BBU58" s="188"/>
      <c r="BBV58" s="188"/>
      <c r="BBW58" s="188"/>
      <c r="BBX58" s="188"/>
      <c r="BBY58" s="188"/>
      <c r="BBZ58" s="188"/>
      <c r="BCA58" s="188"/>
      <c r="BCB58" s="188"/>
      <c r="BCC58" s="188"/>
      <c r="BCD58" s="188"/>
      <c r="BCE58" s="188"/>
      <c r="BCF58" s="188"/>
      <c r="BCG58" s="188"/>
      <c r="BCH58" s="188"/>
      <c r="BCI58" s="188"/>
      <c r="BCJ58" s="188"/>
      <c r="BCK58" s="188"/>
      <c r="BCL58" s="188"/>
      <c r="BCM58" s="188"/>
      <c r="BCN58" s="188"/>
      <c r="BCO58" s="188"/>
      <c r="BCP58" s="188"/>
      <c r="BCQ58" s="188"/>
      <c r="BCR58" s="188"/>
      <c r="BCS58" s="188"/>
      <c r="BCT58" s="188"/>
      <c r="BCU58" s="188"/>
      <c r="BCV58" s="188"/>
      <c r="BCW58" s="188"/>
      <c r="BCX58" s="188"/>
      <c r="BCY58" s="188"/>
      <c r="BCZ58" s="188"/>
      <c r="BDA58" s="188"/>
      <c r="BDB58" s="188"/>
      <c r="BDC58" s="188"/>
      <c r="BDD58" s="188"/>
      <c r="BDE58" s="188"/>
      <c r="BDF58" s="188"/>
      <c r="BDG58" s="188"/>
      <c r="BDH58" s="188"/>
      <c r="BDI58" s="188"/>
      <c r="BDJ58" s="188"/>
      <c r="BDK58" s="188"/>
      <c r="BDL58" s="188"/>
      <c r="BDM58" s="188"/>
      <c r="BDN58" s="188"/>
      <c r="BDO58" s="188"/>
      <c r="BDP58" s="188"/>
      <c r="BDQ58" s="188"/>
      <c r="BDR58" s="188"/>
      <c r="BDS58" s="188"/>
      <c r="BDT58" s="188"/>
      <c r="BDU58" s="188"/>
      <c r="BDV58" s="188"/>
      <c r="BDW58" s="188"/>
      <c r="BDX58" s="188"/>
      <c r="BDY58" s="188"/>
      <c r="BDZ58" s="188"/>
      <c r="BEA58" s="188"/>
      <c r="BEB58" s="188"/>
      <c r="BEC58" s="188"/>
      <c r="BED58" s="188"/>
      <c r="BEE58" s="188"/>
      <c r="BEF58" s="188"/>
      <c r="BEG58" s="188"/>
      <c r="BEH58" s="188"/>
      <c r="BEI58" s="188"/>
      <c r="BEJ58" s="188"/>
      <c r="BEK58" s="188"/>
      <c r="BEL58" s="188"/>
      <c r="BEM58" s="188"/>
      <c r="BEN58" s="188"/>
      <c r="BEO58" s="188"/>
      <c r="BEP58" s="188"/>
      <c r="BEQ58" s="188"/>
      <c r="BER58" s="188"/>
      <c r="BES58" s="188"/>
      <c r="BET58" s="188"/>
      <c r="BEU58" s="188"/>
      <c r="BEV58" s="188"/>
      <c r="BEW58" s="188"/>
      <c r="BEX58" s="188"/>
      <c r="BEY58" s="188"/>
      <c r="BEZ58" s="188"/>
      <c r="BFA58" s="188"/>
      <c r="BFB58" s="188"/>
      <c r="BFC58" s="188"/>
      <c r="BFD58" s="188"/>
      <c r="BFE58" s="188"/>
      <c r="BFF58" s="188"/>
      <c r="BFG58" s="188"/>
      <c r="BFH58" s="188"/>
      <c r="BFI58" s="188"/>
      <c r="BFJ58" s="188"/>
      <c r="BFK58" s="188"/>
      <c r="BFL58" s="188"/>
      <c r="BFM58" s="188"/>
      <c r="BFN58" s="188"/>
      <c r="BFO58" s="188"/>
      <c r="BFP58" s="188"/>
      <c r="BFQ58" s="188"/>
      <c r="BFR58" s="188"/>
      <c r="BFS58" s="188"/>
      <c r="BFT58" s="188"/>
      <c r="BFU58" s="188"/>
      <c r="BFV58" s="188"/>
      <c r="BFW58" s="188"/>
      <c r="BFX58" s="188"/>
      <c r="BFY58" s="188"/>
      <c r="BFZ58" s="188"/>
      <c r="BGA58" s="188"/>
      <c r="BGB58" s="188"/>
      <c r="BGC58" s="188"/>
      <c r="BGD58" s="188"/>
      <c r="BGE58" s="188"/>
      <c r="BGF58" s="188"/>
      <c r="BGG58" s="188"/>
      <c r="BGH58" s="188"/>
      <c r="BGI58" s="188"/>
      <c r="BGJ58" s="188"/>
      <c r="BGK58" s="188"/>
      <c r="BGL58" s="188"/>
      <c r="BGM58" s="188"/>
      <c r="BGN58" s="188"/>
      <c r="BGO58" s="188"/>
      <c r="BGP58" s="188"/>
      <c r="BGQ58" s="188"/>
      <c r="BGR58" s="188"/>
      <c r="BGS58" s="188"/>
      <c r="BGT58" s="188"/>
      <c r="BGU58" s="188"/>
      <c r="BGV58" s="188"/>
      <c r="BGW58" s="188"/>
      <c r="BGX58" s="188"/>
      <c r="BGY58" s="188"/>
      <c r="BGZ58" s="188"/>
      <c r="BHA58" s="188"/>
      <c r="BHB58" s="188"/>
      <c r="BHC58" s="188"/>
      <c r="BHD58" s="188"/>
      <c r="BHE58" s="188"/>
      <c r="BHF58" s="188"/>
      <c r="BHG58" s="188"/>
      <c r="BHH58" s="188"/>
      <c r="BHI58" s="188"/>
      <c r="BHJ58" s="188"/>
      <c r="BHK58" s="188"/>
      <c r="BHL58" s="188"/>
      <c r="BHM58" s="188"/>
      <c r="BHN58" s="188"/>
      <c r="BHO58" s="188"/>
      <c r="BHP58" s="188"/>
      <c r="BHQ58" s="188"/>
      <c r="BHR58" s="188"/>
      <c r="BHS58" s="188"/>
      <c r="BHT58" s="188"/>
      <c r="BHU58" s="188"/>
      <c r="BHV58" s="188"/>
      <c r="BHW58" s="188"/>
      <c r="BHX58" s="188"/>
      <c r="BHY58" s="188"/>
      <c r="BHZ58" s="188"/>
      <c r="BIA58" s="188"/>
      <c r="BIB58" s="188"/>
      <c r="BIC58" s="188"/>
      <c r="BID58" s="188"/>
      <c r="BIE58" s="188"/>
      <c r="BIF58" s="188"/>
      <c r="BIG58" s="188"/>
      <c r="BIH58" s="188"/>
      <c r="BII58" s="188"/>
      <c r="BIJ58" s="188"/>
      <c r="BIK58" s="188"/>
      <c r="BIL58" s="188"/>
      <c r="BIM58" s="188"/>
      <c r="BIN58" s="188"/>
      <c r="BIO58" s="188"/>
      <c r="BIP58" s="188"/>
      <c r="BIQ58" s="188"/>
      <c r="BIR58" s="188"/>
      <c r="BIS58" s="188"/>
      <c r="BIT58" s="188"/>
      <c r="BIU58" s="188"/>
      <c r="BIV58" s="188"/>
      <c r="BIW58" s="188"/>
      <c r="BIX58" s="188"/>
      <c r="BIY58" s="188"/>
      <c r="BIZ58" s="188"/>
      <c r="BJA58" s="188"/>
      <c r="BJB58" s="188"/>
      <c r="BJC58" s="188"/>
      <c r="BJD58" s="188"/>
      <c r="BJE58" s="188"/>
      <c r="BJF58" s="188"/>
      <c r="BJG58" s="188"/>
      <c r="BJH58" s="188"/>
      <c r="BJI58" s="188"/>
      <c r="BJJ58" s="188"/>
      <c r="BJK58" s="188"/>
      <c r="BJL58" s="188"/>
      <c r="BJM58" s="188"/>
      <c r="BJN58" s="188"/>
      <c r="BJO58" s="188"/>
      <c r="BJP58" s="188"/>
      <c r="BJQ58" s="188"/>
      <c r="BJR58" s="188"/>
      <c r="BJS58" s="188"/>
      <c r="BJT58" s="188"/>
      <c r="BJU58" s="188"/>
      <c r="BJV58" s="188"/>
      <c r="BJW58" s="188"/>
      <c r="BJX58" s="188"/>
      <c r="BJY58" s="188"/>
      <c r="BJZ58" s="188"/>
      <c r="BKA58" s="188"/>
      <c r="BKB58" s="188"/>
      <c r="BKC58" s="188"/>
      <c r="BKD58" s="188"/>
      <c r="BKE58" s="188"/>
      <c r="BKF58" s="188"/>
      <c r="BKG58" s="188"/>
      <c r="BKH58" s="188"/>
      <c r="BKI58" s="188"/>
      <c r="BKJ58" s="188"/>
      <c r="BKK58" s="188"/>
      <c r="BKL58" s="188"/>
      <c r="BKM58" s="188"/>
      <c r="BKN58" s="188"/>
    </row>
    <row r="59" spans="1:1652" s="21" customFormat="1" x14ac:dyDescent="0.3">
      <c r="A59" s="171"/>
      <c r="B59" s="189"/>
      <c r="C59" s="189"/>
      <c r="D59" s="189"/>
      <c r="E59" s="189"/>
      <c r="F59" s="189"/>
      <c r="G59" s="189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8"/>
      <c r="AE59" s="188"/>
      <c r="AF59" s="188"/>
      <c r="AG59" s="188"/>
      <c r="AH59" s="188"/>
      <c r="AI59" s="188"/>
      <c r="AJ59" s="188"/>
      <c r="AK59" s="188"/>
      <c r="AL59" s="188"/>
      <c r="AM59" s="188"/>
      <c r="AN59" s="188"/>
      <c r="AO59" s="188"/>
      <c r="AP59" s="188"/>
      <c r="AQ59" s="188"/>
      <c r="AR59" s="188"/>
      <c r="AS59" s="188"/>
      <c r="AT59" s="189"/>
      <c r="AU59" s="189"/>
      <c r="AV59" s="189"/>
      <c r="AW59" s="189"/>
      <c r="AX59" s="189"/>
      <c r="AY59" s="189"/>
      <c r="AZ59" s="189"/>
      <c r="BA59" s="189"/>
      <c r="BB59" s="189"/>
      <c r="BC59" s="189"/>
      <c r="BD59" s="189"/>
      <c r="BE59" s="188"/>
      <c r="BF59" s="188"/>
      <c r="BG59" s="188"/>
      <c r="BH59" s="188"/>
      <c r="BI59" s="188"/>
      <c r="BJ59" s="188"/>
      <c r="BK59" s="188"/>
      <c r="BL59" s="188"/>
      <c r="BM59" s="188"/>
      <c r="BN59" s="188"/>
      <c r="BO59" s="188"/>
      <c r="BP59" s="188"/>
      <c r="BQ59" s="188"/>
      <c r="BR59" s="188"/>
      <c r="BS59" s="188"/>
      <c r="BT59" s="188"/>
      <c r="BU59" s="188"/>
      <c r="BV59" s="188"/>
      <c r="BW59" s="188"/>
      <c r="BX59" s="188"/>
      <c r="BY59" s="188"/>
      <c r="BZ59" s="188"/>
      <c r="CA59" s="188"/>
      <c r="CB59" s="188"/>
      <c r="CC59" s="188"/>
      <c r="CD59" s="188"/>
      <c r="CE59" s="188"/>
      <c r="CF59" s="188"/>
      <c r="CG59" s="188"/>
      <c r="CH59" s="188"/>
      <c r="CI59" s="188"/>
      <c r="CJ59" s="188"/>
      <c r="CK59" s="188"/>
      <c r="CL59" s="188"/>
      <c r="CM59" s="188"/>
      <c r="CN59" s="188"/>
      <c r="CO59" s="188"/>
      <c r="CP59" s="188"/>
      <c r="CQ59" s="188"/>
      <c r="CR59" s="188"/>
      <c r="CS59" s="188"/>
      <c r="CT59" s="188"/>
      <c r="CU59" s="188"/>
      <c r="CV59" s="188"/>
      <c r="CW59" s="188"/>
      <c r="CX59" s="188"/>
      <c r="CY59" s="188"/>
      <c r="CZ59" s="188"/>
      <c r="DA59" s="188"/>
      <c r="DB59" s="188"/>
      <c r="DC59" s="188"/>
      <c r="DD59" s="188"/>
      <c r="DE59" s="188"/>
      <c r="DF59" s="188"/>
      <c r="DG59" s="188"/>
      <c r="DH59" s="188"/>
      <c r="DI59" s="188"/>
      <c r="DJ59" s="188"/>
      <c r="DK59" s="188"/>
      <c r="DL59" s="188"/>
      <c r="DM59" s="188"/>
      <c r="DN59" s="188"/>
      <c r="DO59" s="188"/>
      <c r="DP59" s="188"/>
      <c r="DQ59" s="188"/>
      <c r="DR59" s="188"/>
      <c r="DS59" s="188"/>
      <c r="DT59" s="188"/>
      <c r="DU59" s="188"/>
      <c r="DV59" s="188"/>
      <c r="DW59" s="188"/>
      <c r="DX59" s="188"/>
      <c r="DY59" s="188"/>
      <c r="DZ59" s="188"/>
      <c r="EA59" s="188"/>
      <c r="EB59" s="188"/>
      <c r="EC59" s="188"/>
      <c r="ED59" s="188"/>
      <c r="EE59" s="188"/>
      <c r="EF59" s="188"/>
      <c r="EG59" s="188"/>
      <c r="EH59" s="188"/>
      <c r="EI59" s="188"/>
      <c r="EJ59" s="188"/>
      <c r="EK59" s="188"/>
      <c r="EL59" s="188"/>
      <c r="EM59" s="188"/>
      <c r="EN59" s="188"/>
      <c r="EO59" s="188"/>
      <c r="EP59" s="188"/>
      <c r="EQ59" s="188"/>
      <c r="ER59" s="188"/>
      <c r="ES59" s="188"/>
      <c r="ET59" s="188"/>
      <c r="EU59" s="188"/>
      <c r="EV59" s="188"/>
      <c r="EW59" s="188"/>
      <c r="EX59" s="188"/>
      <c r="EY59" s="188"/>
      <c r="EZ59" s="188"/>
      <c r="FA59" s="188"/>
      <c r="FB59" s="188"/>
      <c r="FC59" s="188"/>
      <c r="FD59" s="188"/>
      <c r="FE59" s="188"/>
      <c r="FF59" s="188"/>
      <c r="FG59" s="188"/>
      <c r="FH59" s="188"/>
      <c r="FI59" s="188"/>
      <c r="FJ59" s="188"/>
      <c r="FK59" s="188"/>
      <c r="FL59" s="188"/>
      <c r="FM59" s="188"/>
      <c r="FN59" s="188"/>
      <c r="FO59" s="188"/>
      <c r="FP59" s="188"/>
      <c r="FQ59" s="188"/>
      <c r="FR59" s="188"/>
      <c r="FS59" s="188"/>
      <c r="FT59" s="188"/>
      <c r="FU59" s="188"/>
      <c r="FV59" s="188"/>
      <c r="FW59" s="188"/>
      <c r="FX59" s="188"/>
      <c r="FY59" s="188"/>
      <c r="FZ59" s="188"/>
      <c r="GA59" s="188"/>
      <c r="GB59" s="188"/>
      <c r="GC59" s="188"/>
      <c r="GD59" s="188"/>
      <c r="GE59" s="188"/>
      <c r="GF59" s="188"/>
      <c r="GG59" s="188"/>
      <c r="GH59" s="188"/>
      <c r="GI59" s="188"/>
      <c r="GJ59" s="188"/>
      <c r="GK59" s="188"/>
      <c r="GL59" s="188"/>
      <c r="GM59" s="188"/>
      <c r="GN59" s="188"/>
      <c r="GO59" s="188"/>
      <c r="GP59" s="188"/>
      <c r="GQ59" s="188"/>
      <c r="GR59" s="188"/>
      <c r="GS59" s="188"/>
      <c r="GT59" s="188"/>
      <c r="GU59" s="188"/>
      <c r="GV59" s="188"/>
      <c r="GW59" s="188"/>
      <c r="GX59" s="188"/>
      <c r="GY59" s="188"/>
      <c r="GZ59" s="188"/>
      <c r="HA59" s="188"/>
      <c r="HB59" s="188"/>
      <c r="HC59" s="188"/>
      <c r="HD59" s="188"/>
      <c r="HE59" s="188"/>
      <c r="HF59" s="188"/>
      <c r="HG59" s="188"/>
      <c r="HH59" s="188"/>
      <c r="HI59" s="188"/>
      <c r="HJ59" s="188"/>
      <c r="HK59" s="188"/>
      <c r="HL59" s="188"/>
      <c r="HM59" s="188"/>
      <c r="HN59" s="188"/>
      <c r="HO59" s="188"/>
      <c r="HP59" s="188"/>
      <c r="HQ59" s="188"/>
      <c r="HR59" s="188"/>
      <c r="HS59" s="188"/>
      <c r="HT59" s="188"/>
      <c r="HU59" s="188"/>
      <c r="HV59" s="188"/>
      <c r="HW59" s="188"/>
      <c r="HX59" s="188"/>
      <c r="HY59" s="188"/>
      <c r="HZ59" s="188"/>
      <c r="IA59" s="188"/>
      <c r="IB59" s="188"/>
      <c r="IC59" s="188"/>
      <c r="ID59" s="188"/>
      <c r="IE59" s="188"/>
      <c r="IF59" s="188"/>
      <c r="IG59" s="188"/>
      <c r="IH59" s="188"/>
      <c r="II59" s="188"/>
      <c r="IJ59" s="188"/>
      <c r="IK59" s="188"/>
      <c r="IL59" s="188"/>
      <c r="IM59" s="188"/>
      <c r="IN59" s="188"/>
      <c r="IO59" s="188"/>
      <c r="IP59" s="188"/>
      <c r="IQ59" s="188"/>
      <c r="IR59" s="188"/>
      <c r="IS59" s="188"/>
      <c r="IT59" s="188"/>
      <c r="IU59" s="188"/>
      <c r="IV59" s="188"/>
      <c r="IW59" s="188"/>
      <c r="IX59" s="188"/>
      <c r="IY59" s="188"/>
      <c r="IZ59" s="188"/>
      <c r="JA59" s="188"/>
      <c r="JB59" s="188"/>
      <c r="JC59" s="188"/>
      <c r="JD59" s="188"/>
      <c r="JE59" s="188"/>
      <c r="JF59" s="188"/>
      <c r="JG59" s="188"/>
      <c r="JH59" s="188"/>
      <c r="JI59" s="188"/>
      <c r="JJ59" s="188"/>
      <c r="JK59" s="188"/>
      <c r="JL59" s="188"/>
      <c r="JM59" s="188"/>
      <c r="JN59" s="188"/>
      <c r="JO59" s="188"/>
      <c r="JP59" s="188"/>
      <c r="JQ59" s="188"/>
      <c r="JR59" s="188"/>
      <c r="JS59" s="188"/>
      <c r="JT59" s="188"/>
      <c r="JU59" s="188"/>
      <c r="JV59" s="188"/>
      <c r="JW59" s="188"/>
      <c r="JX59" s="188"/>
      <c r="JY59" s="188"/>
      <c r="JZ59" s="188"/>
      <c r="KA59" s="188"/>
      <c r="KB59" s="188"/>
      <c r="KC59" s="188"/>
      <c r="KD59" s="188"/>
      <c r="KE59" s="188"/>
      <c r="KF59" s="188"/>
      <c r="KG59" s="188"/>
      <c r="KH59" s="188"/>
      <c r="KI59" s="188"/>
      <c r="KJ59" s="188"/>
      <c r="KK59" s="188"/>
      <c r="KL59" s="188"/>
      <c r="KM59" s="188"/>
      <c r="KN59" s="188"/>
      <c r="KO59" s="188"/>
      <c r="KP59" s="188"/>
      <c r="KQ59" s="188"/>
      <c r="KR59" s="188"/>
      <c r="KS59" s="188"/>
      <c r="KT59" s="188"/>
      <c r="KU59" s="188"/>
      <c r="KV59" s="188"/>
      <c r="KW59" s="188"/>
      <c r="KX59" s="188"/>
      <c r="KY59" s="188"/>
      <c r="KZ59" s="188"/>
      <c r="LA59" s="188"/>
      <c r="LB59" s="188"/>
      <c r="LC59" s="188"/>
      <c r="LD59" s="188"/>
      <c r="LE59" s="188"/>
      <c r="LF59" s="188"/>
      <c r="LG59" s="188"/>
      <c r="LH59" s="188"/>
      <c r="LI59" s="188"/>
      <c r="LJ59" s="188"/>
      <c r="LK59" s="188"/>
      <c r="LL59" s="188"/>
      <c r="LM59" s="188"/>
      <c r="LN59" s="188"/>
      <c r="LO59" s="188"/>
      <c r="LP59" s="188"/>
      <c r="LQ59" s="188"/>
      <c r="LR59" s="188"/>
      <c r="LS59" s="188"/>
      <c r="LT59" s="188"/>
      <c r="LU59" s="188"/>
      <c r="LV59" s="188"/>
      <c r="LW59" s="188"/>
      <c r="LX59" s="188"/>
      <c r="LY59" s="188"/>
      <c r="LZ59" s="188"/>
      <c r="MA59" s="188"/>
      <c r="MB59" s="188"/>
      <c r="MC59" s="188"/>
      <c r="MD59" s="188"/>
      <c r="ME59" s="188"/>
      <c r="MF59" s="188"/>
      <c r="MG59" s="188"/>
      <c r="MH59" s="188"/>
      <c r="MI59" s="188"/>
      <c r="MJ59" s="188"/>
      <c r="MK59" s="188"/>
      <c r="ML59" s="188"/>
      <c r="MM59" s="188"/>
      <c r="MN59" s="188"/>
      <c r="MO59" s="188"/>
      <c r="MP59" s="188"/>
      <c r="MQ59" s="188"/>
      <c r="MR59" s="188"/>
      <c r="MS59" s="188"/>
      <c r="MT59" s="188"/>
      <c r="MU59" s="188"/>
      <c r="MV59" s="188"/>
      <c r="MW59" s="188"/>
      <c r="MX59" s="188"/>
      <c r="MY59" s="188"/>
      <c r="MZ59" s="188"/>
      <c r="NA59" s="188"/>
      <c r="NB59" s="188"/>
      <c r="NC59" s="188"/>
      <c r="ND59" s="188"/>
      <c r="NE59" s="188"/>
      <c r="NF59" s="188"/>
      <c r="NG59" s="188"/>
      <c r="NH59" s="188"/>
      <c r="NI59" s="188"/>
      <c r="NJ59" s="188"/>
      <c r="NK59" s="188"/>
      <c r="NL59" s="188"/>
      <c r="NM59" s="188"/>
      <c r="NN59" s="188"/>
      <c r="NO59" s="188"/>
      <c r="NP59" s="188"/>
      <c r="NQ59" s="188"/>
      <c r="NR59" s="188"/>
      <c r="NS59" s="188"/>
      <c r="NT59" s="188"/>
      <c r="NU59" s="188"/>
      <c r="NV59" s="188"/>
      <c r="NW59" s="188"/>
      <c r="NX59" s="188"/>
      <c r="NY59" s="188"/>
      <c r="NZ59" s="188"/>
      <c r="OA59" s="188"/>
      <c r="OB59" s="188"/>
      <c r="OC59" s="188"/>
      <c r="OD59" s="188"/>
      <c r="OE59" s="188"/>
      <c r="OF59" s="188"/>
      <c r="OG59" s="188"/>
      <c r="OH59" s="188"/>
      <c r="OI59" s="188"/>
      <c r="OJ59" s="188"/>
      <c r="OK59" s="188"/>
      <c r="OL59" s="188"/>
      <c r="OM59" s="188"/>
      <c r="ON59" s="188"/>
      <c r="OO59" s="188"/>
      <c r="OP59" s="188"/>
      <c r="OQ59" s="188"/>
      <c r="OR59" s="188"/>
      <c r="OS59" s="188"/>
      <c r="OT59" s="188"/>
      <c r="OU59" s="188"/>
      <c r="OV59" s="188"/>
      <c r="OW59" s="188"/>
      <c r="OX59" s="188"/>
      <c r="OY59" s="188"/>
      <c r="OZ59" s="188"/>
      <c r="PA59" s="188"/>
      <c r="PB59" s="188"/>
      <c r="PC59" s="188"/>
      <c r="PD59" s="188"/>
      <c r="PE59" s="188"/>
      <c r="PF59" s="188"/>
      <c r="PG59" s="188"/>
      <c r="PH59" s="188"/>
      <c r="PI59" s="188"/>
      <c r="PJ59" s="188"/>
      <c r="PK59" s="188"/>
      <c r="PL59" s="188"/>
      <c r="PM59" s="188"/>
      <c r="PN59" s="188"/>
      <c r="PO59" s="188"/>
      <c r="PP59" s="188"/>
      <c r="PQ59" s="188"/>
      <c r="PR59" s="188"/>
      <c r="PS59" s="188"/>
      <c r="PT59" s="188"/>
      <c r="PU59" s="188"/>
      <c r="PV59" s="188"/>
      <c r="PW59" s="188"/>
      <c r="PX59" s="188"/>
      <c r="PY59" s="188"/>
      <c r="PZ59" s="188"/>
      <c r="QA59" s="188"/>
      <c r="QB59" s="188"/>
      <c r="QC59" s="188"/>
      <c r="QD59" s="188"/>
      <c r="QE59" s="188"/>
      <c r="QF59" s="188"/>
      <c r="QG59" s="188"/>
      <c r="QH59" s="188"/>
      <c r="QI59" s="188"/>
      <c r="QJ59" s="188"/>
      <c r="QK59" s="188"/>
      <c r="QL59" s="188"/>
      <c r="QM59" s="188"/>
      <c r="QN59" s="188"/>
      <c r="QO59" s="188"/>
      <c r="QP59" s="188"/>
      <c r="QQ59" s="188"/>
      <c r="QR59" s="188"/>
      <c r="QS59" s="188"/>
      <c r="QT59" s="188"/>
      <c r="QU59" s="188"/>
      <c r="QV59" s="188"/>
      <c r="QW59" s="188"/>
      <c r="QX59" s="188"/>
      <c r="QY59" s="188"/>
      <c r="QZ59" s="188"/>
      <c r="RA59" s="188"/>
      <c r="RB59" s="188"/>
      <c r="RC59" s="188"/>
      <c r="RD59" s="188"/>
      <c r="RE59" s="188"/>
      <c r="RF59" s="188"/>
      <c r="RG59" s="188"/>
      <c r="RH59" s="188"/>
      <c r="RI59" s="188"/>
      <c r="RJ59" s="188"/>
      <c r="RK59" s="188"/>
      <c r="RL59" s="188"/>
      <c r="RM59" s="188"/>
      <c r="RN59" s="188"/>
      <c r="RO59" s="188"/>
      <c r="RP59" s="188"/>
      <c r="RQ59" s="188"/>
      <c r="RR59" s="188"/>
      <c r="RS59" s="188"/>
      <c r="RT59" s="188"/>
      <c r="RU59" s="188"/>
      <c r="RV59" s="188"/>
      <c r="RW59" s="188"/>
      <c r="RX59" s="188"/>
      <c r="RY59" s="188"/>
      <c r="RZ59" s="188"/>
      <c r="SA59" s="188"/>
      <c r="SB59" s="188"/>
      <c r="SC59" s="188"/>
      <c r="SD59" s="188"/>
      <c r="SE59" s="188"/>
      <c r="SF59" s="188"/>
      <c r="SG59" s="188"/>
      <c r="SH59" s="188"/>
      <c r="SI59" s="188"/>
      <c r="SJ59" s="188"/>
      <c r="SK59" s="188"/>
      <c r="SL59" s="188"/>
      <c r="SM59" s="188"/>
      <c r="SN59" s="188"/>
      <c r="SO59" s="188"/>
      <c r="SP59" s="188"/>
      <c r="SQ59" s="188"/>
      <c r="SR59" s="188"/>
      <c r="SS59" s="188"/>
      <c r="ST59" s="188"/>
      <c r="SU59" s="188"/>
      <c r="SV59" s="188"/>
      <c r="SW59" s="188"/>
      <c r="SX59" s="188"/>
      <c r="SY59" s="188"/>
      <c r="SZ59" s="188"/>
      <c r="TA59" s="188"/>
      <c r="TB59" s="188"/>
      <c r="TC59" s="188"/>
      <c r="TD59" s="188"/>
      <c r="TE59" s="188"/>
      <c r="TF59" s="188"/>
      <c r="TG59" s="188"/>
      <c r="TH59" s="188"/>
      <c r="TI59" s="188"/>
      <c r="TJ59" s="188"/>
      <c r="TK59" s="188"/>
      <c r="TL59" s="188"/>
      <c r="TM59" s="188"/>
      <c r="TN59" s="188"/>
      <c r="TO59" s="188"/>
      <c r="TP59" s="188"/>
      <c r="TQ59" s="188"/>
      <c r="TR59" s="188"/>
      <c r="TS59" s="188"/>
      <c r="TT59" s="188"/>
      <c r="TU59" s="188"/>
      <c r="TV59" s="188"/>
      <c r="TW59" s="188"/>
      <c r="TX59" s="188"/>
      <c r="TY59" s="188"/>
      <c r="TZ59" s="188"/>
      <c r="UA59" s="188"/>
      <c r="UB59" s="188"/>
      <c r="UC59" s="188"/>
      <c r="UD59" s="188"/>
      <c r="UE59" s="188"/>
      <c r="UF59" s="188"/>
      <c r="UG59" s="188"/>
      <c r="UH59" s="188"/>
      <c r="UI59" s="188"/>
      <c r="UJ59" s="188"/>
      <c r="UK59" s="188"/>
      <c r="UL59" s="188"/>
      <c r="UM59" s="188"/>
      <c r="UN59" s="188"/>
      <c r="UO59" s="188"/>
      <c r="UP59" s="188"/>
      <c r="UQ59" s="188"/>
      <c r="UR59" s="188"/>
      <c r="US59" s="188"/>
      <c r="UT59" s="188"/>
      <c r="UU59" s="188"/>
      <c r="UV59" s="188"/>
      <c r="UW59" s="188"/>
      <c r="UX59" s="188"/>
      <c r="UY59" s="188"/>
      <c r="UZ59" s="188"/>
      <c r="VA59" s="188"/>
      <c r="VB59" s="188"/>
      <c r="VC59" s="188"/>
      <c r="VD59" s="188"/>
      <c r="VE59" s="188"/>
      <c r="VF59" s="188"/>
      <c r="VG59" s="188"/>
      <c r="VH59" s="188"/>
      <c r="VI59" s="188"/>
      <c r="VJ59" s="188"/>
      <c r="VK59" s="188"/>
      <c r="VL59" s="188"/>
      <c r="VM59" s="188"/>
      <c r="VN59" s="188"/>
      <c r="VO59" s="188"/>
      <c r="VP59" s="188"/>
      <c r="VQ59" s="188"/>
      <c r="VR59" s="188"/>
      <c r="VS59" s="188"/>
      <c r="VT59" s="188"/>
      <c r="VU59" s="188"/>
      <c r="VV59" s="188"/>
      <c r="VW59" s="188"/>
      <c r="VX59" s="188"/>
      <c r="VY59" s="188"/>
      <c r="VZ59" s="188"/>
      <c r="WA59" s="188"/>
      <c r="WB59" s="188"/>
      <c r="WC59" s="188"/>
      <c r="WD59" s="188"/>
      <c r="WE59" s="188"/>
      <c r="WF59" s="188"/>
      <c r="WG59" s="188"/>
      <c r="WH59" s="188"/>
      <c r="WI59" s="188"/>
      <c r="WJ59" s="188"/>
      <c r="WK59" s="188"/>
      <c r="WL59" s="188"/>
      <c r="WM59" s="188"/>
      <c r="WN59" s="188"/>
      <c r="WO59" s="188"/>
      <c r="WP59" s="188"/>
      <c r="WQ59" s="188"/>
      <c r="WR59" s="188"/>
      <c r="WS59" s="188"/>
      <c r="WT59" s="188"/>
      <c r="WU59" s="188"/>
      <c r="WV59" s="188"/>
      <c r="WW59" s="188"/>
      <c r="WX59" s="188"/>
      <c r="WY59" s="188"/>
      <c r="WZ59" s="188"/>
      <c r="XA59" s="188"/>
      <c r="XB59" s="188"/>
      <c r="XC59" s="188"/>
      <c r="XD59" s="188"/>
      <c r="XE59" s="188"/>
      <c r="XF59" s="188"/>
      <c r="XG59" s="188"/>
      <c r="XH59" s="188"/>
      <c r="XI59" s="188"/>
      <c r="XJ59" s="188"/>
      <c r="XK59" s="188"/>
      <c r="XL59" s="188"/>
      <c r="XM59" s="188"/>
      <c r="XN59" s="188"/>
      <c r="XO59" s="188"/>
      <c r="XP59" s="188"/>
      <c r="XQ59" s="188"/>
      <c r="XR59" s="188"/>
      <c r="XS59" s="188"/>
      <c r="XT59" s="188"/>
      <c r="XU59" s="188"/>
      <c r="XV59" s="188"/>
      <c r="XW59" s="188"/>
      <c r="XX59" s="188"/>
      <c r="XY59" s="188"/>
      <c r="XZ59" s="188"/>
      <c r="YA59" s="188"/>
      <c r="YB59" s="188"/>
      <c r="YC59" s="188"/>
      <c r="YD59" s="188"/>
      <c r="YE59" s="188"/>
      <c r="YF59" s="188"/>
      <c r="YG59" s="188"/>
      <c r="YH59" s="188"/>
      <c r="YI59" s="188"/>
      <c r="YJ59" s="188"/>
      <c r="YK59" s="188"/>
      <c r="YL59" s="188"/>
      <c r="YM59" s="188"/>
      <c r="YN59" s="188"/>
      <c r="YO59" s="188"/>
      <c r="YP59" s="188"/>
      <c r="YQ59" s="188"/>
      <c r="YR59" s="188"/>
      <c r="YS59" s="188"/>
      <c r="YT59" s="188"/>
      <c r="YU59" s="188"/>
      <c r="YV59" s="188"/>
      <c r="YW59" s="188"/>
      <c r="YX59" s="188"/>
      <c r="YY59" s="188"/>
      <c r="YZ59" s="188"/>
      <c r="ZA59" s="188"/>
      <c r="ZB59" s="188"/>
      <c r="ZC59" s="188"/>
      <c r="ZD59" s="188"/>
      <c r="ZE59" s="188"/>
      <c r="ZF59" s="188"/>
      <c r="ZG59" s="188"/>
      <c r="ZH59" s="188"/>
      <c r="ZI59" s="188"/>
      <c r="ZJ59" s="188"/>
      <c r="ZK59" s="188"/>
      <c r="ZL59" s="188"/>
      <c r="ZM59" s="188"/>
      <c r="ZN59" s="188"/>
      <c r="ZO59" s="188"/>
      <c r="ZP59" s="188"/>
      <c r="ZQ59" s="188"/>
      <c r="ZR59" s="188"/>
      <c r="ZS59" s="188"/>
      <c r="ZT59" s="188"/>
      <c r="ZU59" s="188"/>
      <c r="ZV59" s="188"/>
      <c r="ZW59" s="188"/>
      <c r="ZX59" s="188"/>
      <c r="ZY59" s="188"/>
      <c r="ZZ59" s="188"/>
      <c r="AAA59" s="188"/>
      <c r="AAB59" s="188"/>
      <c r="AAC59" s="188"/>
      <c r="AAD59" s="188"/>
      <c r="AAE59" s="188"/>
      <c r="AAF59" s="188"/>
      <c r="AAG59" s="188"/>
      <c r="AAH59" s="188"/>
      <c r="AAI59" s="188"/>
      <c r="AAJ59" s="188"/>
      <c r="AAK59" s="188"/>
      <c r="AAL59" s="188"/>
      <c r="AAM59" s="188"/>
      <c r="AAN59" s="188"/>
      <c r="AAO59" s="188"/>
      <c r="AAP59" s="188"/>
      <c r="AAQ59" s="188"/>
      <c r="AAR59" s="188"/>
      <c r="AAS59" s="188"/>
      <c r="AAT59" s="188"/>
      <c r="AAU59" s="188"/>
      <c r="AAV59" s="188"/>
      <c r="AAW59" s="188"/>
      <c r="AAX59" s="188"/>
      <c r="AAY59" s="188"/>
      <c r="AAZ59" s="188"/>
      <c r="ABA59" s="188"/>
      <c r="ABB59" s="188"/>
      <c r="ABC59" s="188"/>
      <c r="ABD59" s="188"/>
      <c r="ABE59" s="188"/>
      <c r="ABF59" s="188"/>
      <c r="ABG59" s="188"/>
      <c r="ABH59" s="188"/>
      <c r="ABI59" s="188"/>
      <c r="ABJ59" s="188"/>
      <c r="ABK59" s="188"/>
      <c r="ABL59" s="188"/>
      <c r="ABM59" s="188"/>
      <c r="ABN59" s="188"/>
      <c r="ABO59" s="188"/>
      <c r="ABP59" s="188"/>
      <c r="ABQ59" s="188"/>
      <c r="ABR59" s="188"/>
      <c r="ABS59" s="188"/>
      <c r="ABT59" s="188"/>
      <c r="ABU59" s="188"/>
      <c r="ABV59" s="188"/>
      <c r="ABW59" s="188"/>
      <c r="ABX59" s="188"/>
      <c r="ABY59" s="188"/>
      <c r="ABZ59" s="188"/>
      <c r="ACA59" s="188"/>
      <c r="ACB59" s="188"/>
      <c r="ACC59" s="188"/>
      <c r="ACD59" s="188"/>
      <c r="ACE59" s="188"/>
      <c r="ACF59" s="188"/>
      <c r="ACG59" s="188"/>
      <c r="ACH59" s="188"/>
      <c r="ACI59" s="188"/>
      <c r="ACJ59" s="188"/>
      <c r="ACK59" s="188"/>
      <c r="ACL59" s="188"/>
      <c r="ACM59" s="188"/>
      <c r="ACN59" s="188"/>
      <c r="ACO59" s="188"/>
      <c r="ACP59" s="188"/>
      <c r="ACQ59" s="188"/>
      <c r="ACR59" s="188"/>
      <c r="ACS59" s="188"/>
      <c r="ACT59" s="188"/>
      <c r="ACU59" s="188"/>
      <c r="ACV59" s="188"/>
      <c r="ACW59" s="188"/>
      <c r="ACX59" s="188"/>
      <c r="ACY59" s="188"/>
      <c r="ACZ59" s="188"/>
      <c r="ADA59" s="188"/>
      <c r="ADB59" s="188"/>
      <c r="ADC59" s="188"/>
      <c r="ADD59" s="188"/>
      <c r="ADE59" s="188"/>
      <c r="ADF59" s="188"/>
      <c r="ADG59" s="188"/>
      <c r="ADH59" s="188"/>
      <c r="ADI59" s="188"/>
      <c r="ADJ59" s="188"/>
      <c r="ADK59" s="188"/>
      <c r="ADL59" s="188"/>
      <c r="ADM59" s="188"/>
      <c r="ADN59" s="188"/>
      <c r="ADO59" s="188"/>
      <c r="ADP59" s="188"/>
      <c r="ADQ59" s="188"/>
      <c r="ADR59" s="188"/>
      <c r="ADS59" s="188"/>
      <c r="ADT59" s="188"/>
      <c r="ADU59" s="188"/>
      <c r="ADV59" s="188"/>
      <c r="ADW59" s="188"/>
      <c r="ADX59" s="188"/>
      <c r="ADY59" s="188"/>
      <c r="ADZ59" s="188"/>
      <c r="AEA59" s="188"/>
      <c r="AEB59" s="188"/>
      <c r="AEC59" s="188"/>
      <c r="AED59" s="188"/>
      <c r="AEE59" s="188"/>
      <c r="AEF59" s="188"/>
      <c r="AEG59" s="188"/>
      <c r="AEH59" s="188"/>
      <c r="AEI59" s="188"/>
      <c r="AEJ59" s="188"/>
      <c r="AEK59" s="188"/>
      <c r="AEL59" s="188"/>
      <c r="AEM59" s="188"/>
      <c r="AEN59" s="188"/>
      <c r="AEO59" s="188"/>
      <c r="AEP59" s="188"/>
      <c r="AEQ59" s="188"/>
      <c r="AER59" s="188"/>
      <c r="AES59" s="188"/>
      <c r="AET59" s="188"/>
      <c r="AEU59" s="188"/>
      <c r="AEV59" s="188"/>
      <c r="AEW59" s="188"/>
      <c r="AEX59" s="188"/>
      <c r="AEY59" s="188"/>
      <c r="AEZ59" s="188"/>
      <c r="AFA59" s="188"/>
      <c r="AFB59" s="188"/>
      <c r="AFC59" s="188"/>
      <c r="AFD59" s="188"/>
      <c r="AFE59" s="188"/>
      <c r="AFF59" s="188"/>
      <c r="AFG59" s="188"/>
      <c r="AFH59" s="188"/>
      <c r="AFI59" s="188"/>
      <c r="AFJ59" s="188"/>
      <c r="AFK59" s="188"/>
      <c r="AFL59" s="188"/>
      <c r="AFM59" s="188"/>
      <c r="AFN59" s="188"/>
      <c r="AFO59" s="188"/>
      <c r="AFP59" s="188"/>
      <c r="AFQ59" s="188"/>
      <c r="AFR59" s="188"/>
      <c r="AFS59" s="188"/>
      <c r="AFT59" s="188"/>
      <c r="AFU59" s="188"/>
      <c r="AFV59" s="188"/>
      <c r="AFW59" s="188"/>
      <c r="AFX59" s="188"/>
      <c r="AFY59" s="188"/>
      <c r="AFZ59" s="188"/>
      <c r="AGA59" s="188"/>
      <c r="AGB59" s="188"/>
      <c r="AGC59" s="188"/>
      <c r="AGD59" s="188"/>
      <c r="AGE59" s="188"/>
      <c r="AGF59" s="188"/>
      <c r="AGG59" s="188"/>
      <c r="AGH59" s="188"/>
      <c r="AGI59" s="188"/>
      <c r="AGJ59" s="188"/>
      <c r="AGK59" s="188"/>
      <c r="AGL59" s="188"/>
      <c r="AGM59" s="188"/>
      <c r="AGN59" s="188"/>
      <c r="AGO59" s="188"/>
      <c r="AGP59" s="188"/>
      <c r="AGQ59" s="188"/>
      <c r="AGR59" s="188"/>
      <c r="AGS59" s="188"/>
      <c r="AGT59" s="188"/>
      <c r="AGU59" s="188"/>
      <c r="AGV59" s="188"/>
      <c r="AGW59" s="188"/>
      <c r="AGX59" s="188"/>
      <c r="AGY59" s="188"/>
      <c r="AGZ59" s="188"/>
      <c r="AHA59" s="188"/>
      <c r="AHB59" s="188"/>
      <c r="AHC59" s="188"/>
      <c r="AHD59" s="188"/>
      <c r="AHE59" s="188"/>
      <c r="AHF59" s="188"/>
      <c r="AHG59" s="188"/>
      <c r="AHH59" s="188"/>
      <c r="AHI59" s="188"/>
      <c r="AHJ59" s="188"/>
      <c r="AHK59" s="188"/>
      <c r="AHL59" s="188"/>
      <c r="AHM59" s="188"/>
      <c r="AHN59" s="188"/>
      <c r="AHO59" s="188"/>
      <c r="AHP59" s="188"/>
      <c r="AHQ59" s="188"/>
      <c r="AHR59" s="188"/>
      <c r="AHS59" s="188"/>
      <c r="AHT59" s="188"/>
      <c r="AHU59" s="188"/>
      <c r="AHV59" s="188"/>
      <c r="AHW59" s="188"/>
      <c r="AHX59" s="188"/>
      <c r="AHY59" s="188"/>
      <c r="AHZ59" s="188"/>
      <c r="AIA59" s="188"/>
      <c r="AIB59" s="188"/>
      <c r="AIC59" s="188"/>
      <c r="AID59" s="188"/>
      <c r="AIE59" s="188"/>
      <c r="AIF59" s="188"/>
      <c r="AIG59" s="188"/>
      <c r="AIH59" s="188"/>
      <c r="AII59" s="188"/>
      <c r="AIJ59" s="188"/>
      <c r="AIK59" s="188"/>
      <c r="AIL59" s="188"/>
      <c r="AIM59" s="188"/>
      <c r="AIN59" s="188"/>
      <c r="AIO59" s="188"/>
      <c r="AIP59" s="188"/>
      <c r="AIQ59" s="188"/>
      <c r="AIR59" s="188"/>
      <c r="AIS59" s="188"/>
      <c r="AIT59" s="188"/>
      <c r="AIU59" s="188"/>
      <c r="AIV59" s="188"/>
      <c r="AIW59" s="188"/>
      <c r="AIX59" s="188"/>
      <c r="AIY59" s="188"/>
      <c r="AIZ59" s="188"/>
      <c r="AJA59" s="188"/>
      <c r="AJB59" s="188"/>
      <c r="AJC59" s="188"/>
      <c r="AJD59" s="188"/>
      <c r="AJE59" s="188"/>
      <c r="AJF59" s="188"/>
      <c r="AJG59" s="188"/>
      <c r="AJH59" s="188"/>
      <c r="AJI59" s="188"/>
      <c r="AJJ59" s="188"/>
      <c r="AJK59" s="188"/>
      <c r="AJL59" s="188"/>
      <c r="AJM59" s="188"/>
      <c r="AJN59" s="188"/>
      <c r="AJO59" s="188"/>
      <c r="AJP59" s="188"/>
      <c r="AJQ59" s="188"/>
      <c r="AJR59" s="188"/>
      <c r="AJS59" s="188"/>
      <c r="AJT59" s="188"/>
      <c r="AJU59" s="188"/>
      <c r="AJV59" s="188"/>
      <c r="AJW59" s="188"/>
      <c r="AJX59" s="188"/>
      <c r="AJY59" s="188"/>
      <c r="AJZ59" s="188"/>
      <c r="AKA59" s="188"/>
      <c r="AKB59" s="188"/>
      <c r="AKC59" s="188"/>
      <c r="AKD59" s="188"/>
      <c r="AKE59" s="188"/>
      <c r="AKF59" s="188"/>
      <c r="AKG59" s="188"/>
      <c r="AKH59" s="188"/>
      <c r="AKI59" s="188"/>
      <c r="AKJ59" s="188"/>
      <c r="AKK59" s="188"/>
      <c r="AKL59" s="188"/>
      <c r="AKM59" s="188"/>
      <c r="AKN59" s="188"/>
      <c r="AKO59" s="188"/>
      <c r="AKP59" s="188"/>
      <c r="AKQ59" s="188"/>
      <c r="AKR59" s="188"/>
      <c r="AKS59" s="188"/>
      <c r="AKT59" s="188"/>
      <c r="AKU59" s="188"/>
      <c r="AKV59" s="188"/>
      <c r="AKW59" s="188"/>
      <c r="AKX59" s="188"/>
      <c r="AKY59" s="188"/>
      <c r="AKZ59" s="188"/>
      <c r="ALA59" s="188"/>
      <c r="ALB59" s="188"/>
      <c r="ALC59" s="188"/>
      <c r="ALD59" s="188"/>
      <c r="ALE59" s="188"/>
      <c r="ALF59" s="188"/>
      <c r="ALG59" s="188"/>
      <c r="ALH59" s="188"/>
      <c r="ALI59" s="188"/>
      <c r="ALJ59" s="188"/>
      <c r="ALK59" s="188"/>
      <c r="ALL59" s="188"/>
      <c r="ALM59" s="188"/>
      <c r="ALN59" s="188"/>
      <c r="ALO59" s="188"/>
      <c r="ALP59" s="188"/>
      <c r="ALQ59" s="188"/>
      <c r="ALR59" s="188"/>
      <c r="ALS59" s="188"/>
      <c r="ALT59" s="188"/>
      <c r="ALU59" s="188"/>
      <c r="ALV59" s="188"/>
      <c r="ALW59" s="188"/>
      <c r="ALX59" s="188"/>
      <c r="ALY59" s="188"/>
      <c r="ALZ59" s="188"/>
      <c r="AMA59" s="188"/>
      <c r="AMB59" s="188"/>
      <c r="AMC59" s="188"/>
      <c r="AMD59" s="188"/>
      <c r="AME59" s="188"/>
      <c r="AMF59" s="188"/>
      <c r="AMG59" s="188"/>
      <c r="AMH59" s="188"/>
      <c r="AMI59" s="188"/>
      <c r="AMJ59" s="188"/>
      <c r="AMK59" s="188"/>
      <c r="AML59" s="188"/>
      <c r="AMM59" s="188"/>
      <c r="AMN59" s="188"/>
      <c r="AMO59" s="188"/>
      <c r="AMP59" s="188"/>
      <c r="AMQ59" s="188"/>
      <c r="AMR59" s="188"/>
      <c r="AMS59" s="188"/>
      <c r="AMT59" s="188"/>
      <c r="AMU59" s="188"/>
      <c r="AMV59" s="188"/>
      <c r="AMW59" s="188"/>
      <c r="AMX59" s="188"/>
      <c r="AMY59" s="188"/>
      <c r="AMZ59" s="188"/>
      <c r="ANA59" s="188"/>
      <c r="ANB59" s="188"/>
      <c r="ANC59" s="188"/>
      <c r="AND59" s="188"/>
      <c r="ANE59" s="188"/>
      <c r="ANF59" s="188"/>
      <c r="ANG59" s="188"/>
      <c r="ANH59" s="188"/>
      <c r="ANI59" s="188"/>
      <c r="ANJ59" s="188"/>
      <c r="ANK59" s="188"/>
      <c r="ANL59" s="188"/>
      <c r="ANM59" s="188"/>
      <c r="ANN59" s="188"/>
      <c r="ANO59" s="188"/>
      <c r="ANP59" s="188"/>
      <c r="ANQ59" s="188"/>
      <c r="ANR59" s="188"/>
      <c r="ANS59" s="188"/>
      <c r="ANT59" s="188"/>
      <c r="ANU59" s="188"/>
      <c r="ANV59" s="188"/>
      <c r="ANW59" s="188"/>
      <c r="ANX59" s="188"/>
      <c r="ANY59" s="188"/>
      <c r="ANZ59" s="188"/>
      <c r="AOA59" s="188"/>
      <c r="AOB59" s="188"/>
      <c r="AOC59" s="188"/>
      <c r="AOD59" s="188"/>
      <c r="AOE59" s="188"/>
      <c r="AOF59" s="188"/>
      <c r="AOG59" s="188"/>
      <c r="AOH59" s="188"/>
      <c r="AOI59" s="188"/>
      <c r="AOJ59" s="188"/>
      <c r="AOK59" s="188"/>
      <c r="AOL59" s="188"/>
      <c r="AOM59" s="188"/>
      <c r="AON59" s="188"/>
      <c r="AOO59" s="188"/>
      <c r="AOP59" s="188"/>
      <c r="AOQ59" s="188"/>
      <c r="AOR59" s="188"/>
      <c r="AOS59" s="188"/>
      <c r="AOT59" s="188"/>
      <c r="AOU59" s="188"/>
      <c r="AOV59" s="188"/>
      <c r="AOW59" s="188"/>
      <c r="AOX59" s="188"/>
      <c r="AOY59" s="188"/>
      <c r="AOZ59" s="188"/>
      <c r="APA59" s="188"/>
      <c r="APB59" s="188"/>
      <c r="APC59" s="188"/>
      <c r="APD59" s="188"/>
      <c r="APE59" s="188"/>
      <c r="APF59" s="188"/>
      <c r="APG59" s="188"/>
      <c r="APH59" s="188"/>
      <c r="API59" s="188"/>
      <c r="APJ59" s="188"/>
      <c r="APK59" s="188"/>
      <c r="APL59" s="188"/>
      <c r="APM59" s="188"/>
      <c r="APN59" s="188"/>
      <c r="APO59" s="188"/>
      <c r="APP59" s="188"/>
      <c r="APQ59" s="188"/>
      <c r="APR59" s="188"/>
      <c r="APS59" s="188"/>
      <c r="APT59" s="188"/>
      <c r="APU59" s="188"/>
      <c r="APV59" s="188"/>
      <c r="APW59" s="188"/>
      <c r="APX59" s="188"/>
      <c r="APY59" s="188"/>
      <c r="APZ59" s="188"/>
      <c r="AQA59" s="188"/>
      <c r="AQB59" s="188"/>
      <c r="AQC59" s="188"/>
      <c r="AQD59" s="188"/>
      <c r="AQE59" s="188"/>
      <c r="AQF59" s="188"/>
      <c r="AQG59" s="188"/>
      <c r="AQH59" s="188"/>
      <c r="AQI59" s="188"/>
      <c r="AQJ59" s="188"/>
      <c r="AQK59" s="188"/>
      <c r="AQL59" s="188"/>
      <c r="AQM59" s="188"/>
      <c r="AQN59" s="188"/>
      <c r="AQO59" s="188"/>
      <c r="AQP59" s="188"/>
      <c r="AQQ59" s="188"/>
      <c r="AQR59" s="188"/>
      <c r="AQS59" s="188"/>
      <c r="AQT59" s="188"/>
      <c r="AQU59" s="188"/>
      <c r="AQV59" s="188"/>
      <c r="AQW59" s="188"/>
      <c r="AQX59" s="188"/>
      <c r="AQY59" s="188"/>
      <c r="AQZ59" s="188"/>
      <c r="ARA59" s="188"/>
      <c r="ARB59" s="188"/>
      <c r="ARC59" s="188"/>
      <c r="ARD59" s="188"/>
      <c r="ARE59" s="188"/>
      <c r="ARF59" s="188"/>
      <c r="ARG59" s="188"/>
      <c r="ARH59" s="188"/>
      <c r="ARI59" s="188"/>
      <c r="ARJ59" s="188"/>
      <c r="ARK59" s="188"/>
      <c r="ARL59" s="188"/>
      <c r="ARM59" s="188"/>
      <c r="ARN59" s="188"/>
      <c r="ARO59" s="188"/>
      <c r="ARP59" s="188"/>
      <c r="ARQ59" s="188"/>
      <c r="ARR59" s="188"/>
      <c r="ARS59" s="188"/>
      <c r="ART59" s="188"/>
      <c r="ARU59" s="188"/>
      <c r="ARV59" s="188"/>
      <c r="ARW59" s="188"/>
      <c r="ARX59" s="188"/>
      <c r="ARY59" s="188"/>
      <c r="ARZ59" s="188"/>
      <c r="ASA59" s="188"/>
      <c r="ASB59" s="188"/>
      <c r="ASC59" s="188"/>
      <c r="ASD59" s="188"/>
      <c r="ASE59" s="188"/>
      <c r="ASF59" s="188"/>
      <c r="ASG59" s="188"/>
      <c r="ASH59" s="188"/>
      <c r="ASI59" s="188"/>
      <c r="ASJ59" s="188"/>
      <c r="ASK59" s="188"/>
      <c r="ASL59" s="188"/>
      <c r="ASM59" s="188"/>
      <c r="ASN59" s="188"/>
      <c r="ASO59" s="188"/>
      <c r="ASP59" s="188"/>
      <c r="ASQ59" s="188"/>
      <c r="ASR59" s="188"/>
      <c r="ASS59" s="188"/>
      <c r="AST59" s="188"/>
      <c r="ASU59" s="188"/>
      <c r="ASV59" s="188"/>
      <c r="ASW59" s="188"/>
      <c r="ASX59" s="188"/>
      <c r="ASY59" s="188"/>
      <c r="ASZ59" s="188"/>
      <c r="ATA59" s="188"/>
      <c r="ATB59" s="188"/>
      <c r="ATC59" s="188"/>
      <c r="ATD59" s="188"/>
      <c r="ATE59" s="188"/>
      <c r="ATF59" s="188"/>
      <c r="ATG59" s="188"/>
      <c r="ATH59" s="188"/>
      <c r="ATI59" s="188"/>
      <c r="ATJ59" s="188"/>
      <c r="ATK59" s="188"/>
      <c r="ATL59" s="188"/>
      <c r="ATM59" s="188"/>
      <c r="ATN59" s="188"/>
      <c r="ATO59" s="188"/>
      <c r="ATP59" s="188"/>
      <c r="ATQ59" s="188"/>
      <c r="ATR59" s="188"/>
      <c r="ATS59" s="188"/>
      <c r="ATT59" s="188"/>
      <c r="ATU59" s="188"/>
      <c r="ATV59" s="188"/>
      <c r="ATW59" s="188"/>
      <c r="ATX59" s="188"/>
      <c r="ATY59" s="188"/>
      <c r="ATZ59" s="188"/>
      <c r="AUA59" s="188"/>
      <c r="AUB59" s="188"/>
      <c r="AUC59" s="188"/>
      <c r="AUD59" s="188"/>
      <c r="AUE59" s="188"/>
      <c r="AUF59" s="188"/>
      <c r="AUG59" s="188"/>
      <c r="AUH59" s="188"/>
      <c r="AUI59" s="188"/>
      <c r="AUJ59" s="188"/>
      <c r="AUK59" s="188"/>
      <c r="AUL59" s="188"/>
      <c r="AUM59" s="188"/>
      <c r="AUN59" s="188"/>
      <c r="AUO59" s="188"/>
      <c r="AUP59" s="188"/>
      <c r="AUQ59" s="188"/>
      <c r="AUR59" s="188"/>
      <c r="AUS59" s="188"/>
      <c r="AUT59" s="188"/>
      <c r="AUU59" s="188"/>
      <c r="AUV59" s="188"/>
      <c r="AUW59" s="188"/>
      <c r="AUX59" s="188"/>
      <c r="AUY59" s="188"/>
      <c r="AUZ59" s="188"/>
      <c r="AVA59" s="188"/>
      <c r="AVB59" s="188"/>
      <c r="AVC59" s="188"/>
      <c r="AVD59" s="188"/>
      <c r="AVE59" s="188"/>
      <c r="AVF59" s="188"/>
      <c r="AVG59" s="188"/>
      <c r="AVH59" s="188"/>
      <c r="AVI59" s="188"/>
      <c r="AVJ59" s="188"/>
      <c r="AVK59" s="188"/>
      <c r="AVL59" s="188"/>
      <c r="AVM59" s="188"/>
      <c r="AVN59" s="188"/>
      <c r="AVO59" s="188"/>
      <c r="AVP59" s="188"/>
      <c r="AVQ59" s="188"/>
      <c r="AVR59" s="188"/>
      <c r="AVS59" s="188"/>
      <c r="AVT59" s="188"/>
      <c r="AVU59" s="188"/>
      <c r="AVV59" s="188"/>
      <c r="AVW59" s="188"/>
      <c r="AVX59" s="188"/>
      <c r="AVY59" s="188"/>
      <c r="AVZ59" s="188"/>
      <c r="AWA59" s="188"/>
      <c r="AWB59" s="188"/>
      <c r="AWC59" s="188"/>
      <c r="AWD59" s="188"/>
      <c r="AWE59" s="188"/>
      <c r="AWF59" s="188"/>
      <c r="AWG59" s="188"/>
      <c r="AWH59" s="188"/>
      <c r="AWI59" s="188"/>
      <c r="AWJ59" s="188"/>
      <c r="AWK59" s="188"/>
      <c r="AWL59" s="188"/>
      <c r="AWM59" s="188"/>
      <c r="AWN59" s="188"/>
      <c r="AWO59" s="188"/>
      <c r="AWP59" s="188"/>
      <c r="AWQ59" s="188"/>
      <c r="AWR59" s="188"/>
      <c r="AWS59" s="188"/>
      <c r="AWT59" s="188"/>
      <c r="AWU59" s="188"/>
      <c r="AWV59" s="188"/>
      <c r="AWW59" s="188"/>
      <c r="AWX59" s="188"/>
      <c r="AWY59" s="188"/>
      <c r="AWZ59" s="188"/>
      <c r="AXA59" s="188"/>
      <c r="AXB59" s="188"/>
      <c r="AXC59" s="188"/>
      <c r="AXD59" s="188"/>
      <c r="AXE59" s="188"/>
      <c r="AXF59" s="188"/>
      <c r="AXG59" s="188"/>
      <c r="AXH59" s="188"/>
      <c r="AXI59" s="188"/>
      <c r="AXJ59" s="188"/>
      <c r="AXK59" s="188"/>
      <c r="AXL59" s="188"/>
      <c r="AXM59" s="188"/>
      <c r="AXN59" s="188"/>
      <c r="AXO59" s="188"/>
      <c r="AXP59" s="188"/>
      <c r="AXQ59" s="188"/>
      <c r="AXR59" s="188"/>
      <c r="AXS59" s="188"/>
      <c r="AXT59" s="188"/>
      <c r="AXU59" s="188"/>
      <c r="AXV59" s="188"/>
      <c r="AXW59" s="188"/>
      <c r="AXX59" s="188"/>
      <c r="AXY59" s="188"/>
      <c r="AXZ59" s="188"/>
      <c r="AYA59" s="188"/>
      <c r="AYB59" s="188"/>
      <c r="AYC59" s="188"/>
      <c r="AYD59" s="188"/>
      <c r="AYE59" s="188"/>
      <c r="AYF59" s="188"/>
      <c r="AYG59" s="188"/>
      <c r="AYH59" s="188"/>
      <c r="AYI59" s="188"/>
      <c r="AYJ59" s="188"/>
      <c r="AYK59" s="188"/>
      <c r="AYL59" s="188"/>
      <c r="AYM59" s="188"/>
      <c r="AYN59" s="188"/>
      <c r="AYO59" s="188"/>
      <c r="AYP59" s="188"/>
      <c r="AYQ59" s="188"/>
      <c r="AYR59" s="188"/>
      <c r="AYS59" s="188"/>
      <c r="AYT59" s="188"/>
      <c r="AYU59" s="188"/>
      <c r="AYV59" s="188"/>
      <c r="AYW59" s="188"/>
      <c r="AYX59" s="188"/>
      <c r="AYY59" s="188"/>
      <c r="AYZ59" s="188"/>
      <c r="AZA59" s="188"/>
      <c r="AZB59" s="188"/>
      <c r="AZC59" s="188"/>
      <c r="AZD59" s="188"/>
      <c r="AZE59" s="188"/>
      <c r="AZF59" s="188"/>
      <c r="AZG59" s="188"/>
      <c r="AZH59" s="188"/>
      <c r="AZI59" s="188"/>
      <c r="AZJ59" s="188"/>
      <c r="AZK59" s="188"/>
      <c r="AZL59" s="188"/>
      <c r="AZM59" s="188"/>
      <c r="AZN59" s="188"/>
      <c r="AZO59" s="188"/>
      <c r="AZP59" s="188"/>
      <c r="AZQ59" s="188"/>
      <c r="AZR59" s="188"/>
      <c r="AZS59" s="188"/>
      <c r="AZT59" s="188"/>
      <c r="AZU59" s="188"/>
      <c r="AZV59" s="188"/>
      <c r="AZW59" s="188"/>
      <c r="AZX59" s="188"/>
      <c r="AZY59" s="188"/>
      <c r="AZZ59" s="188"/>
      <c r="BAA59" s="188"/>
      <c r="BAB59" s="188"/>
      <c r="BAC59" s="188"/>
      <c r="BAD59" s="188"/>
      <c r="BAE59" s="188"/>
      <c r="BAF59" s="188"/>
      <c r="BAG59" s="188"/>
      <c r="BAH59" s="188"/>
      <c r="BAI59" s="188"/>
      <c r="BAJ59" s="188"/>
      <c r="BAK59" s="188"/>
      <c r="BAL59" s="188"/>
      <c r="BAM59" s="188"/>
      <c r="BAN59" s="188"/>
      <c r="BAO59" s="188"/>
      <c r="BAP59" s="188"/>
      <c r="BAQ59" s="188"/>
      <c r="BAR59" s="188"/>
      <c r="BAS59" s="188"/>
      <c r="BAT59" s="188"/>
      <c r="BAU59" s="188"/>
      <c r="BAV59" s="188"/>
      <c r="BAW59" s="188"/>
      <c r="BAX59" s="188"/>
      <c r="BAY59" s="188"/>
      <c r="BAZ59" s="188"/>
      <c r="BBA59" s="188"/>
      <c r="BBB59" s="188"/>
      <c r="BBC59" s="188"/>
      <c r="BBD59" s="188"/>
      <c r="BBE59" s="188"/>
      <c r="BBF59" s="188"/>
      <c r="BBG59" s="188"/>
      <c r="BBH59" s="188"/>
      <c r="BBI59" s="188"/>
      <c r="BBJ59" s="188"/>
      <c r="BBK59" s="188"/>
      <c r="BBL59" s="188"/>
      <c r="BBM59" s="188"/>
      <c r="BBN59" s="188"/>
      <c r="BBO59" s="188"/>
      <c r="BBP59" s="188"/>
      <c r="BBQ59" s="188"/>
      <c r="BBR59" s="188"/>
      <c r="BBS59" s="188"/>
      <c r="BBT59" s="188"/>
      <c r="BBU59" s="188"/>
      <c r="BBV59" s="188"/>
      <c r="BBW59" s="188"/>
      <c r="BBX59" s="188"/>
      <c r="BBY59" s="188"/>
      <c r="BBZ59" s="188"/>
      <c r="BCA59" s="188"/>
      <c r="BCB59" s="188"/>
      <c r="BCC59" s="188"/>
      <c r="BCD59" s="188"/>
      <c r="BCE59" s="188"/>
      <c r="BCF59" s="188"/>
      <c r="BCG59" s="188"/>
      <c r="BCH59" s="188"/>
      <c r="BCI59" s="188"/>
      <c r="BCJ59" s="188"/>
      <c r="BCK59" s="188"/>
      <c r="BCL59" s="188"/>
      <c r="BCM59" s="188"/>
      <c r="BCN59" s="188"/>
      <c r="BCO59" s="188"/>
      <c r="BCP59" s="188"/>
      <c r="BCQ59" s="188"/>
      <c r="BCR59" s="188"/>
      <c r="BCS59" s="188"/>
      <c r="BCT59" s="188"/>
      <c r="BCU59" s="188"/>
      <c r="BCV59" s="188"/>
      <c r="BCW59" s="188"/>
      <c r="BCX59" s="188"/>
      <c r="BCY59" s="188"/>
      <c r="BCZ59" s="188"/>
      <c r="BDA59" s="188"/>
      <c r="BDB59" s="188"/>
      <c r="BDC59" s="188"/>
      <c r="BDD59" s="188"/>
      <c r="BDE59" s="188"/>
      <c r="BDF59" s="188"/>
      <c r="BDG59" s="188"/>
      <c r="BDH59" s="188"/>
      <c r="BDI59" s="188"/>
      <c r="BDJ59" s="188"/>
      <c r="BDK59" s="188"/>
      <c r="BDL59" s="188"/>
      <c r="BDM59" s="188"/>
      <c r="BDN59" s="188"/>
      <c r="BDO59" s="188"/>
      <c r="BDP59" s="188"/>
      <c r="BDQ59" s="188"/>
      <c r="BDR59" s="188"/>
      <c r="BDS59" s="188"/>
      <c r="BDT59" s="188"/>
      <c r="BDU59" s="188"/>
      <c r="BDV59" s="188"/>
      <c r="BDW59" s="188"/>
      <c r="BDX59" s="188"/>
      <c r="BDY59" s="188"/>
      <c r="BDZ59" s="188"/>
      <c r="BEA59" s="188"/>
      <c r="BEB59" s="188"/>
      <c r="BEC59" s="188"/>
      <c r="BED59" s="188"/>
      <c r="BEE59" s="188"/>
      <c r="BEF59" s="188"/>
      <c r="BEG59" s="188"/>
      <c r="BEH59" s="188"/>
      <c r="BEI59" s="188"/>
      <c r="BEJ59" s="188"/>
      <c r="BEK59" s="188"/>
      <c r="BEL59" s="188"/>
      <c r="BEM59" s="188"/>
      <c r="BEN59" s="188"/>
      <c r="BEO59" s="188"/>
      <c r="BEP59" s="188"/>
      <c r="BEQ59" s="188"/>
      <c r="BER59" s="188"/>
      <c r="BES59" s="188"/>
      <c r="BET59" s="188"/>
      <c r="BEU59" s="188"/>
      <c r="BEV59" s="188"/>
      <c r="BEW59" s="188"/>
      <c r="BEX59" s="188"/>
      <c r="BEY59" s="188"/>
      <c r="BEZ59" s="188"/>
      <c r="BFA59" s="188"/>
      <c r="BFB59" s="188"/>
      <c r="BFC59" s="188"/>
      <c r="BFD59" s="188"/>
      <c r="BFE59" s="188"/>
      <c r="BFF59" s="188"/>
      <c r="BFG59" s="188"/>
      <c r="BFH59" s="188"/>
      <c r="BFI59" s="188"/>
      <c r="BFJ59" s="188"/>
      <c r="BFK59" s="188"/>
      <c r="BFL59" s="188"/>
      <c r="BFM59" s="188"/>
      <c r="BFN59" s="188"/>
      <c r="BFO59" s="188"/>
      <c r="BFP59" s="188"/>
      <c r="BFQ59" s="188"/>
      <c r="BFR59" s="188"/>
      <c r="BFS59" s="188"/>
      <c r="BFT59" s="188"/>
      <c r="BFU59" s="188"/>
      <c r="BFV59" s="188"/>
      <c r="BFW59" s="188"/>
      <c r="BFX59" s="188"/>
      <c r="BFY59" s="188"/>
      <c r="BFZ59" s="188"/>
      <c r="BGA59" s="188"/>
      <c r="BGB59" s="188"/>
      <c r="BGC59" s="188"/>
      <c r="BGD59" s="188"/>
      <c r="BGE59" s="188"/>
      <c r="BGF59" s="188"/>
      <c r="BGG59" s="188"/>
      <c r="BGH59" s="188"/>
      <c r="BGI59" s="188"/>
      <c r="BGJ59" s="188"/>
      <c r="BGK59" s="188"/>
      <c r="BGL59" s="188"/>
      <c r="BGM59" s="188"/>
      <c r="BGN59" s="188"/>
      <c r="BGO59" s="188"/>
      <c r="BGP59" s="188"/>
      <c r="BGQ59" s="188"/>
      <c r="BGR59" s="188"/>
      <c r="BGS59" s="188"/>
      <c r="BGT59" s="188"/>
      <c r="BGU59" s="188"/>
      <c r="BGV59" s="188"/>
      <c r="BGW59" s="188"/>
      <c r="BGX59" s="188"/>
      <c r="BGY59" s="188"/>
      <c r="BGZ59" s="188"/>
      <c r="BHA59" s="188"/>
      <c r="BHB59" s="188"/>
      <c r="BHC59" s="188"/>
      <c r="BHD59" s="188"/>
      <c r="BHE59" s="188"/>
      <c r="BHF59" s="188"/>
      <c r="BHG59" s="188"/>
      <c r="BHH59" s="188"/>
      <c r="BHI59" s="188"/>
      <c r="BHJ59" s="188"/>
      <c r="BHK59" s="188"/>
      <c r="BHL59" s="188"/>
      <c r="BHM59" s="188"/>
      <c r="BHN59" s="188"/>
      <c r="BHO59" s="188"/>
      <c r="BHP59" s="188"/>
      <c r="BHQ59" s="188"/>
      <c r="BHR59" s="188"/>
      <c r="BHS59" s="188"/>
      <c r="BHT59" s="188"/>
      <c r="BHU59" s="188"/>
      <c r="BHV59" s="188"/>
      <c r="BHW59" s="188"/>
      <c r="BHX59" s="188"/>
      <c r="BHY59" s="188"/>
      <c r="BHZ59" s="188"/>
      <c r="BIA59" s="188"/>
      <c r="BIB59" s="188"/>
      <c r="BIC59" s="188"/>
      <c r="BID59" s="188"/>
      <c r="BIE59" s="188"/>
      <c r="BIF59" s="188"/>
      <c r="BIG59" s="188"/>
      <c r="BIH59" s="188"/>
      <c r="BII59" s="188"/>
      <c r="BIJ59" s="188"/>
      <c r="BIK59" s="188"/>
      <c r="BIL59" s="188"/>
      <c r="BIM59" s="188"/>
      <c r="BIN59" s="188"/>
      <c r="BIO59" s="188"/>
      <c r="BIP59" s="188"/>
      <c r="BIQ59" s="188"/>
      <c r="BIR59" s="188"/>
      <c r="BIS59" s="188"/>
      <c r="BIT59" s="188"/>
      <c r="BIU59" s="188"/>
      <c r="BIV59" s="188"/>
      <c r="BIW59" s="188"/>
      <c r="BIX59" s="188"/>
      <c r="BIY59" s="188"/>
      <c r="BIZ59" s="188"/>
      <c r="BJA59" s="188"/>
      <c r="BJB59" s="188"/>
      <c r="BJC59" s="188"/>
      <c r="BJD59" s="188"/>
      <c r="BJE59" s="188"/>
      <c r="BJF59" s="188"/>
      <c r="BJG59" s="188"/>
      <c r="BJH59" s="188"/>
      <c r="BJI59" s="188"/>
      <c r="BJJ59" s="188"/>
      <c r="BJK59" s="188"/>
      <c r="BJL59" s="188"/>
      <c r="BJM59" s="188"/>
      <c r="BJN59" s="188"/>
      <c r="BJO59" s="188"/>
      <c r="BJP59" s="188"/>
      <c r="BJQ59" s="188"/>
      <c r="BJR59" s="188"/>
      <c r="BJS59" s="188"/>
      <c r="BJT59" s="188"/>
      <c r="BJU59" s="188"/>
      <c r="BJV59" s="188"/>
      <c r="BJW59" s="188"/>
      <c r="BJX59" s="188"/>
      <c r="BJY59" s="188"/>
      <c r="BJZ59" s="188"/>
      <c r="BKA59" s="188"/>
      <c r="BKB59" s="188"/>
      <c r="BKC59" s="188"/>
      <c r="BKD59" s="188"/>
      <c r="BKE59" s="188"/>
      <c r="BKF59" s="188"/>
      <c r="BKG59" s="188"/>
      <c r="BKH59" s="188"/>
      <c r="BKI59" s="188"/>
      <c r="BKJ59" s="188"/>
      <c r="BKK59" s="188"/>
      <c r="BKL59" s="188"/>
      <c r="BKM59" s="188"/>
      <c r="BKN59" s="188"/>
    </row>
    <row r="60" spans="1:1652" s="21" customFormat="1" x14ac:dyDescent="0.3">
      <c r="A60" s="171"/>
      <c r="B60" s="189"/>
      <c r="C60" s="189"/>
      <c r="D60" s="189"/>
      <c r="E60" s="189"/>
      <c r="F60" s="189"/>
      <c r="G60" s="189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8"/>
      <c r="AE60" s="188"/>
      <c r="AF60" s="188"/>
      <c r="AG60" s="188"/>
      <c r="AH60" s="188"/>
      <c r="AI60" s="188"/>
      <c r="AJ60" s="188"/>
      <c r="AK60" s="188"/>
      <c r="AL60" s="188"/>
      <c r="AM60" s="188"/>
      <c r="AN60" s="188"/>
      <c r="AO60" s="188"/>
      <c r="AP60" s="188"/>
      <c r="AQ60" s="188"/>
      <c r="AR60" s="188"/>
      <c r="AS60" s="188"/>
      <c r="AT60" s="189"/>
      <c r="AU60" s="189"/>
      <c r="AV60" s="189"/>
      <c r="AW60" s="189"/>
      <c r="AX60" s="189"/>
      <c r="AY60" s="189"/>
      <c r="AZ60" s="189"/>
      <c r="BA60" s="189"/>
      <c r="BB60" s="189"/>
      <c r="BC60" s="189"/>
      <c r="BD60" s="189"/>
      <c r="BE60" s="188"/>
      <c r="BF60" s="188"/>
      <c r="BG60" s="188"/>
      <c r="BH60" s="188"/>
      <c r="BI60" s="188"/>
      <c r="BJ60" s="188"/>
      <c r="BK60" s="188"/>
      <c r="BL60" s="188"/>
      <c r="BM60" s="188"/>
      <c r="BN60" s="188"/>
      <c r="BO60" s="188"/>
      <c r="BP60" s="188"/>
      <c r="BQ60" s="188"/>
      <c r="BR60" s="188"/>
      <c r="BS60" s="188"/>
      <c r="BT60" s="188"/>
      <c r="BU60" s="188"/>
      <c r="BV60" s="188"/>
      <c r="BW60" s="188"/>
      <c r="BX60" s="188"/>
      <c r="BY60" s="188"/>
      <c r="BZ60" s="188"/>
      <c r="CA60" s="188"/>
      <c r="CB60" s="188"/>
      <c r="CC60" s="188"/>
      <c r="CD60" s="188"/>
      <c r="CE60" s="188"/>
      <c r="CF60" s="188"/>
      <c r="CG60" s="188"/>
      <c r="CH60" s="188"/>
      <c r="CI60" s="188"/>
      <c r="CJ60" s="188"/>
      <c r="CK60" s="188"/>
      <c r="CL60" s="188"/>
      <c r="CM60" s="188"/>
      <c r="CN60" s="188"/>
      <c r="CO60" s="188"/>
      <c r="CP60" s="188"/>
      <c r="CQ60" s="188"/>
      <c r="CR60" s="188"/>
      <c r="CS60" s="188"/>
      <c r="CT60" s="188"/>
      <c r="CU60" s="188"/>
      <c r="CV60" s="188"/>
      <c r="CW60" s="188"/>
      <c r="CX60" s="188"/>
      <c r="CY60" s="188"/>
      <c r="CZ60" s="188"/>
      <c r="DA60" s="188"/>
      <c r="DB60" s="188"/>
      <c r="DC60" s="188"/>
      <c r="DD60" s="188"/>
      <c r="DE60" s="188"/>
      <c r="DF60" s="188"/>
      <c r="DG60" s="188"/>
      <c r="DH60" s="188"/>
      <c r="DI60" s="188"/>
      <c r="DJ60" s="188"/>
      <c r="DK60" s="188"/>
      <c r="DL60" s="188"/>
      <c r="DM60" s="188"/>
      <c r="DN60" s="188"/>
      <c r="DO60" s="188"/>
      <c r="DP60" s="188"/>
      <c r="DQ60" s="188"/>
      <c r="DR60" s="188"/>
      <c r="DS60" s="188"/>
      <c r="DT60" s="188"/>
      <c r="DU60" s="188"/>
      <c r="DV60" s="188"/>
      <c r="DW60" s="188"/>
      <c r="DX60" s="188"/>
      <c r="DY60" s="188"/>
      <c r="DZ60" s="188"/>
      <c r="EA60" s="188"/>
      <c r="EB60" s="188"/>
      <c r="EC60" s="188"/>
      <c r="ED60" s="188"/>
      <c r="EE60" s="188"/>
      <c r="EF60" s="188"/>
      <c r="EG60" s="188"/>
      <c r="EH60" s="188"/>
      <c r="EI60" s="188"/>
      <c r="EJ60" s="188"/>
      <c r="EK60" s="188"/>
      <c r="EL60" s="188"/>
      <c r="EM60" s="188"/>
      <c r="EN60" s="188"/>
      <c r="EO60" s="188"/>
      <c r="EP60" s="188"/>
      <c r="EQ60" s="188"/>
      <c r="ER60" s="188"/>
      <c r="ES60" s="188"/>
      <c r="ET60" s="188"/>
      <c r="EU60" s="188"/>
      <c r="EV60" s="188"/>
      <c r="EW60" s="188"/>
      <c r="EX60" s="188"/>
      <c r="EY60" s="188"/>
      <c r="EZ60" s="188"/>
      <c r="FA60" s="188"/>
      <c r="FB60" s="188"/>
      <c r="FC60" s="188"/>
      <c r="FD60" s="188"/>
      <c r="FE60" s="188"/>
      <c r="FF60" s="188"/>
      <c r="FG60" s="188"/>
      <c r="FH60" s="188"/>
      <c r="FI60" s="188"/>
      <c r="FJ60" s="188"/>
      <c r="FK60" s="188"/>
      <c r="FL60" s="188"/>
      <c r="FM60" s="188"/>
      <c r="FN60" s="188"/>
      <c r="FO60" s="188"/>
      <c r="FP60" s="188"/>
      <c r="FQ60" s="188"/>
      <c r="FR60" s="188"/>
      <c r="FS60" s="188"/>
      <c r="FT60" s="188"/>
      <c r="FU60" s="188"/>
      <c r="FV60" s="188"/>
      <c r="FW60" s="188"/>
      <c r="FX60" s="188"/>
      <c r="FY60" s="188"/>
      <c r="FZ60" s="188"/>
      <c r="GA60" s="188"/>
      <c r="GB60" s="188"/>
      <c r="GC60" s="188"/>
      <c r="GD60" s="188"/>
      <c r="GE60" s="188"/>
      <c r="GF60" s="188"/>
      <c r="GG60" s="188"/>
      <c r="GH60" s="188"/>
      <c r="GI60" s="188"/>
      <c r="GJ60" s="188"/>
      <c r="GK60" s="188"/>
      <c r="GL60" s="188"/>
      <c r="GM60" s="188"/>
      <c r="GN60" s="188"/>
      <c r="GO60" s="188"/>
      <c r="GP60" s="188"/>
      <c r="GQ60" s="188"/>
      <c r="GR60" s="188"/>
      <c r="GS60" s="188"/>
      <c r="GT60" s="188"/>
      <c r="GU60" s="188"/>
      <c r="GV60" s="188"/>
      <c r="GW60" s="188"/>
      <c r="GX60" s="188"/>
      <c r="GY60" s="188"/>
      <c r="GZ60" s="188"/>
      <c r="HA60" s="188"/>
      <c r="HB60" s="188"/>
      <c r="HC60" s="188"/>
      <c r="HD60" s="188"/>
      <c r="HE60" s="188"/>
      <c r="HF60" s="188"/>
      <c r="HG60" s="188"/>
      <c r="HH60" s="188"/>
      <c r="HI60" s="188"/>
      <c r="HJ60" s="188"/>
      <c r="HK60" s="188"/>
      <c r="HL60" s="188"/>
      <c r="HM60" s="188"/>
      <c r="HN60" s="188"/>
      <c r="HO60" s="188"/>
      <c r="HP60" s="188"/>
      <c r="HQ60" s="188"/>
      <c r="HR60" s="188"/>
      <c r="HS60" s="188"/>
      <c r="HT60" s="188"/>
      <c r="HU60" s="188"/>
      <c r="HV60" s="188"/>
      <c r="HW60" s="188"/>
      <c r="HX60" s="188"/>
      <c r="HY60" s="188"/>
      <c r="HZ60" s="188"/>
      <c r="IA60" s="188"/>
      <c r="IB60" s="188"/>
      <c r="IC60" s="188"/>
      <c r="ID60" s="188"/>
      <c r="IE60" s="188"/>
      <c r="IF60" s="188"/>
      <c r="IG60" s="188"/>
      <c r="IH60" s="188"/>
      <c r="II60" s="188"/>
      <c r="IJ60" s="188"/>
      <c r="IK60" s="188"/>
      <c r="IL60" s="188"/>
      <c r="IM60" s="188"/>
      <c r="IN60" s="188"/>
      <c r="IO60" s="188"/>
      <c r="IP60" s="188"/>
      <c r="IQ60" s="188"/>
      <c r="IR60" s="188"/>
      <c r="IS60" s="188"/>
      <c r="IT60" s="188"/>
      <c r="IU60" s="188"/>
      <c r="IV60" s="188"/>
      <c r="IW60" s="188"/>
      <c r="IX60" s="188"/>
      <c r="IY60" s="188"/>
      <c r="IZ60" s="188"/>
      <c r="JA60" s="188"/>
      <c r="JB60" s="188"/>
      <c r="JC60" s="188"/>
      <c r="JD60" s="188"/>
      <c r="JE60" s="188"/>
      <c r="JF60" s="188"/>
      <c r="JG60" s="188"/>
      <c r="JH60" s="188"/>
      <c r="JI60" s="188"/>
      <c r="JJ60" s="188"/>
      <c r="JK60" s="188"/>
      <c r="JL60" s="188"/>
      <c r="JM60" s="188"/>
      <c r="JN60" s="188"/>
      <c r="JO60" s="188"/>
      <c r="JP60" s="188"/>
      <c r="JQ60" s="188"/>
      <c r="JR60" s="188"/>
      <c r="JS60" s="188"/>
      <c r="JT60" s="188"/>
      <c r="JU60" s="188"/>
      <c r="JV60" s="188"/>
      <c r="JW60" s="188"/>
      <c r="JX60" s="188"/>
      <c r="JY60" s="188"/>
      <c r="JZ60" s="188"/>
      <c r="KA60" s="188"/>
      <c r="KB60" s="188"/>
      <c r="KC60" s="188"/>
      <c r="KD60" s="188"/>
      <c r="KE60" s="188"/>
      <c r="KF60" s="188"/>
      <c r="KG60" s="188"/>
      <c r="KH60" s="188"/>
      <c r="KI60" s="188"/>
      <c r="KJ60" s="188"/>
      <c r="KK60" s="188"/>
      <c r="KL60" s="188"/>
      <c r="KM60" s="188"/>
      <c r="KN60" s="188"/>
      <c r="KO60" s="188"/>
      <c r="KP60" s="188"/>
      <c r="KQ60" s="188"/>
      <c r="KR60" s="188"/>
      <c r="KS60" s="188"/>
      <c r="KT60" s="188"/>
      <c r="KU60" s="188"/>
      <c r="KV60" s="188"/>
      <c r="KW60" s="188"/>
      <c r="KX60" s="188"/>
      <c r="KY60" s="188"/>
      <c r="KZ60" s="188"/>
      <c r="LA60" s="188"/>
      <c r="LB60" s="188"/>
      <c r="LC60" s="188"/>
      <c r="LD60" s="188"/>
      <c r="LE60" s="188"/>
      <c r="LF60" s="188"/>
      <c r="LG60" s="188"/>
      <c r="LH60" s="188"/>
      <c r="LI60" s="188"/>
      <c r="LJ60" s="188"/>
      <c r="LK60" s="188"/>
      <c r="LL60" s="188"/>
      <c r="LM60" s="188"/>
      <c r="LN60" s="188"/>
      <c r="LO60" s="188"/>
      <c r="LP60" s="188"/>
      <c r="LQ60" s="188"/>
      <c r="LR60" s="188"/>
      <c r="LS60" s="188"/>
      <c r="LT60" s="188"/>
      <c r="LU60" s="188"/>
      <c r="LV60" s="188"/>
      <c r="LW60" s="188"/>
      <c r="LX60" s="188"/>
      <c r="LY60" s="188"/>
      <c r="LZ60" s="188"/>
      <c r="MA60" s="188"/>
      <c r="MB60" s="188"/>
      <c r="MC60" s="188"/>
      <c r="MD60" s="188"/>
      <c r="ME60" s="188"/>
      <c r="MF60" s="188"/>
      <c r="MG60" s="188"/>
      <c r="MH60" s="188"/>
      <c r="MI60" s="188"/>
      <c r="MJ60" s="188"/>
      <c r="MK60" s="188"/>
      <c r="ML60" s="188"/>
      <c r="MM60" s="188"/>
      <c r="MN60" s="188"/>
      <c r="MO60" s="188"/>
      <c r="MP60" s="188"/>
      <c r="MQ60" s="188"/>
      <c r="MR60" s="188"/>
      <c r="MS60" s="188"/>
      <c r="MT60" s="188"/>
      <c r="MU60" s="188"/>
      <c r="MV60" s="188"/>
      <c r="MW60" s="188"/>
      <c r="MX60" s="188"/>
      <c r="MY60" s="188"/>
      <c r="MZ60" s="188"/>
      <c r="NA60" s="188"/>
      <c r="NB60" s="188"/>
      <c r="NC60" s="188"/>
      <c r="ND60" s="188"/>
      <c r="NE60" s="188"/>
      <c r="NF60" s="188"/>
      <c r="NG60" s="188"/>
      <c r="NH60" s="188"/>
      <c r="NI60" s="188"/>
      <c r="NJ60" s="188"/>
      <c r="NK60" s="188"/>
      <c r="NL60" s="188"/>
      <c r="NM60" s="188"/>
      <c r="NN60" s="188"/>
      <c r="NO60" s="188"/>
      <c r="NP60" s="188"/>
      <c r="NQ60" s="188"/>
      <c r="NR60" s="188"/>
      <c r="NS60" s="188"/>
      <c r="NT60" s="188"/>
      <c r="NU60" s="188"/>
      <c r="NV60" s="188"/>
      <c r="NW60" s="188"/>
      <c r="NX60" s="188"/>
      <c r="NY60" s="188"/>
      <c r="NZ60" s="188"/>
      <c r="OA60" s="188"/>
      <c r="OB60" s="188"/>
      <c r="OC60" s="188"/>
      <c r="OD60" s="188"/>
      <c r="OE60" s="188"/>
      <c r="OF60" s="188"/>
      <c r="OG60" s="188"/>
      <c r="OH60" s="188"/>
      <c r="OI60" s="188"/>
      <c r="OJ60" s="188"/>
      <c r="OK60" s="188"/>
      <c r="OL60" s="188"/>
      <c r="OM60" s="188"/>
      <c r="ON60" s="188"/>
      <c r="OO60" s="188"/>
      <c r="OP60" s="188"/>
      <c r="OQ60" s="188"/>
      <c r="OR60" s="188"/>
      <c r="OS60" s="188"/>
      <c r="OT60" s="188"/>
      <c r="OU60" s="188"/>
      <c r="OV60" s="188"/>
      <c r="OW60" s="188"/>
      <c r="OX60" s="188"/>
      <c r="OY60" s="188"/>
      <c r="OZ60" s="188"/>
      <c r="PA60" s="188"/>
      <c r="PB60" s="188"/>
      <c r="PC60" s="188"/>
      <c r="PD60" s="188"/>
      <c r="PE60" s="188"/>
      <c r="PF60" s="188"/>
      <c r="PG60" s="188"/>
      <c r="PH60" s="188"/>
      <c r="PI60" s="188"/>
      <c r="PJ60" s="188"/>
      <c r="PK60" s="188"/>
      <c r="PL60" s="188"/>
      <c r="PM60" s="188"/>
      <c r="PN60" s="188"/>
      <c r="PO60" s="188"/>
      <c r="PP60" s="188"/>
      <c r="PQ60" s="188"/>
      <c r="PR60" s="188"/>
      <c r="PS60" s="188"/>
      <c r="PT60" s="188"/>
      <c r="PU60" s="188"/>
      <c r="PV60" s="188"/>
      <c r="PW60" s="188"/>
      <c r="PX60" s="188"/>
      <c r="PY60" s="188"/>
      <c r="PZ60" s="188"/>
      <c r="QA60" s="188"/>
      <c r="QB60" s="188"/>
      <c r="QC60" s="188"/>
      <c r="QD60" s="188"/>
      <c r="QE60" s="188"/>
      <c r="QF60" s="188"/>
      <c r="QG60" s="188"/>
      <c r="QH60" s="188"/>
      <c r="QI60" s="188"/>
      <c r="QJ60" s="188"/>
      <c r="QK60" s="188"/>
      <c r="QL60" s="188"/>
      <c r="QM60" s="188"/>
      <c r="QN60" s="188"/>
      <c r="QO60" s="188"/>
      <c r="QP60" s="188"/>
      <c r="QQ60" s="188"/>
      <c r="QR60" s="188"/>
      <c r="QS60" s="188"/>
      <c r="QT60" s="188"/>
      <c r="QU60" s="188"/>
      <c r="QV60" s="188"/>
      <c r="QW60" s="188"/>
      <c r="QX60" s="188"/>
      <c r="QY60" s="188"/>
      <c r="QZ60" s="188"/>
      <c r="RA60" s="188"/>
      <c r="RB60" s="188"/>
      <c r="RC60" s="188"/>
      <c r="RD60" s="188"/>
      <c r="RE60" s="188"/>
      <c r="RF60" s="188"/>
      <c r="RG60" s="188"/>
      <c r="RH60" s="188"/>
      <c r="RI60" s="188"/>
      <c r="RJ60" s="188"/>
      <c r="RK60" s="188"/>
      <c r="RL60" s="188"/>
      <c r="RM60" s="188"/>
      <c r="RN60" s="188"/>
      <c r="RO60" s="188"/>
      <c r="RP60" s="188"/>
      <c r="RQ60" s="188"/>
      <c r="RR60" s="188"/>
      <c r="RS60" s="188"/>
      <c r="RT60" s="188"/>
      <c r="RU60" s="188"/>
      <c r="RV60" s="188"/>
      <c r="RW60" s="188"/>
      <c r="RX60" s="188"/>
      <c r="RY60" s="188"/>
      <c r="RZ60" s="188"/>
      <c r="SA60" s="188"/>
      <c r="SB60" s="188"/>
      <c r="SC60" s="188"/>
      <c r="SD60" s="188"/>
      <c r="SE60" s="188"/>
      <c r="SF60" s="188"/>
      <c r="SG60" s="188"/>
      <c r="SH60" s="188"/>
      <c r="SI60" s="188"/>
      <c r="SJ60" s="188"/>
      <c r="SK60" s="188"/>
      <c r="SL60" s="188"/>
      <c r="SM60" s="188"/>
      <c r="SN60" s="188"/>
      <c r="SO60" s="188"/>
      <c r="SP60" s="188"/>
      <c r="SQ60" s="188"/>
      <c r="SR60" s="188"/>
      <c r="SS60" s="188"/>
      <c r="ST60" s="188"/>
      <c r="SU60" s="188"/>
      <c r="SV60" s="188"/>
      <c r="SW60" s="188"/>
      <c r="SX60" s="188"/>
      <c r="SY60" s="188"/>
      <c r="SZ60" s="188"/>
      <c r="TA60" s="188"/>
      <c r="TB60" s="188"/>
      <c r="TC60" s="188"/>
      <c r="TD60" s="188"/>
      <c r="TE60" s="188"/>
      <c r="TF60" s="188"/>
      <c r="TG60" s="188"/>
      <c r="TH60" s="188"/>
      <c r="TI60" s="188"/>
      <c r="TJ60" s="188"/>
      <c r="TK60" s="188"/>
      <c r="TL60" s="188"/>
      <c r="TM60" s="188"/>
      <c r="TN60" s="188"/>
      <c r="TO60" s="188"/>
      <c r="TP60" s="188"/>
      <c r="TQ60" s="188"/>
      <c r="TR60" s="188"/>
      <c r="TS60" s="188"/>
      <c r="TT60" s="188"/>
      <c r="TU60" s="188"/>
      <c r="TV60" s="188"/>
      <c r="TW60" s="188"/>
      <c r="TX60" s="188"/>
      <c r="TY60" s="188"/>
      <c r="TZ60" s="188"/>
      <c r="UA60" s="188"/>
      <c r="UB60" s="188"/>
      <c r="UC60" s="188"/>
      <c r="UD60" s="188"/>
      <c r="UE60" s="188"/>
      <c r="UF60" s="188"/>
      <c r="UG60" s="188"/>
      <c r="UH60" s="188"/>
      <c r="UI60" s="188"/>
      <c r="UJ60" s="188"/>
      <c r="UK60" s="188"/>
      <c r="UL60" s="188"/>
      <c r="UM60" s="188"/>
      <c r="UN60" s="188"/>
      <c r="UO60" s="188"/>
      <c r="UP60" s="188"/>
      <c r="UQ60" s="188"/>
      <c r="UR60" s="188"/>
      <c r="US60" s="188"/>
      <c r="UT60" s="188"/>
      <c r="UU60" s="188"/>
      <c r="UV60" s="188"/>
      <c r="UW60" s="188"/>
      <c r="UX60" s="188"/>
      <c r="UY60" s="188"/>
      <c r="UZ60" s="188"/>
      <c r="VA60" s="188"/>
      <c r="VB60" s="188"/>
      <c r="VC60" s="188"/>
      <c r="VD60" s="188"/>
      <c r="VE60" s="188"/>
      <c r="VF60" s="188"/>
      <c r="VG60" s="188"/>
      <c r="VH60" s="188"/>
      <c r="VI60" s="188"/>
      <c r="VJ60" s="188"/>
      <c r="VK60" s="188"/>
      <c r="VL60" s="188"/>
      <c r="VM60" s="188"/>
      <c r="VN60" s="188"/>
      <c r="VO60" s="188"/>
      <c r="VP60" s="188"/>
      <c r="VQ60" s="188"/>
      <c r="VR60" s="188"/>
      <c r="VS60" s="188"/>
      <c r="VT60" s="188"/>
      <c r="VU60" s="188"/>
      <c r="VV60" s="188"/>
      <c r="VW60" s="188"/>
      <c r="VX60" s="188"/>
      <c r="VY60" s="188"/>
      <c r="VZ60" s="188"/>
      <c r="WA60" s="188"/>
      <c r="WB60" s="188"/>
      <c r="WC60" s="188"/>
      <c r="WD60" s="188"/>
      <c r="WE60" s="188"/>
      <c r="WF60" s="188"/>
      <c r="WG60" s="188"/>
      <c r="WH60" s="188"/>
      <c r="WI60" s="188"/>
      <c r="WJ60" s="188"/>
      <c r="WK60" s="188"/>
      <c r="WL60" s="188"/>
      <c r="WM60" s="188"/>
      <c r="WN60" s="188"/>
      <c r="WO60" s="188"/>
      <c r="WP60" s="188"/>
      <c r="WQ60" s="188"/>
      <c r="WR60" s="188"/>
      <c r="WS60" s="188"/>
      <c r="WT60" s="188"/>
      <c r="WU60" s="188"/>
      <c r="WV60" s="188"/>
      <c r="WW60" s="188"/>
      <c r="WX60" s="188"/>
      <c r="WY60" s="188"/>
      <c r="WZ60" s="188"/>
      <c r="XA60" s="188"/>
      <c r="XB60" s="188"/>
      <c r="XC60" s="188"/>
      <c r="XD60" s="188"/>
      <c r="XE60" s="188"/>
      <c r="XF60" s="188"/>
      <c r="XG60" s="188"/>
      <c r="XH60" s="188"/>
      <c r="XI60" s="188"/>
      <c r="XJ60" s="188"/>
      <c r="XK60" s="188"/>
      <c r="XL60" s="188"/>
      <c r="XM60" s="188"/>
      <c r="XN60" s="188"/>
      <c r="XO60" s="188"/>
      <c r="XP60" s="188"/>
      <c r="XQ60" s="188"/>
      <c r="XR60" s="188"/>
      <c r="XS60" s="188"/>
      <c r="XT60" s="188"/>
      <c r="XU60" s="188"/>
      <c r="XV60" s="188"/>
      <c r="XW60" s="188"/>
      <c r="XX60" s="188"/>
      <c r="XY60" s="188"/>
      <c r="XZ60" s="188"/>
      <c r="YA60" s="188"/>
      <c r="YB60" s="188"/>
      <c r="YC60" s="188"/>
      <c r="YD60" s="188"/>
      <c r="YE60" s="188"/>
      <c r="YF60" s="188"/>
      <c r="YG60" s="188"/>
      <c r="YH60" s="188"/>
      <c r="YI60" s="188"/>
      <c r="YJ60" s="188"/>
      <c r="YK60" s="188"/>
      <c r="YL60" s="188"/>
      <c r="YM60" s="188"/>
      <c r="YN60" s="188"/>
      <c r="YO60" s="188"/>
      <c r="YP60" s="188"/>
      <c r="YQ60" s="188"/>
      <c r="YR60" s="188"/>
      <c r="YS60" s="188"/>
      <c r="YT60" s="188"/>
      <c r="YU60" s="188"/>
      <c r="YV60" s="188"/>
      <c r="YW60" s="188"/>
      <c r="YX60" s="188"/>
      <c r="YY60" s="188"/>
      <c r="YZ60" s="188"/>
      <c r="ZA60" s="188"/>
      <c r="ZB60" s="188"/>
      <c r="ZC60" s="188"/>
      <c r="ZD60" s="188"/>
      <c r="ZE60" s="188"/>
      <c r="ZF60" s="188"/>
      <c r="ZG60" s="188"/>
      <c r="ZH60" s="188"/>
      <c r="ZI60" s="188"/>
      <c r="ZJ60" s="188"/>
      <c r="ZK60" s="188"/>
      <c r="ZL60" s="188"/>
      <c r="ZM60" s="188"/>
      <c r="ZN60" s="188"/>
      <c r="ZO60" s="188"/>
      <c r="ZP60" s="188"/>
      <c r="ZQ60" s="188"/>
      <c r="ZR60" s="188"/>
      <c r="ZS60" s="188"/>
      <c r="ZT60" s="188"/>
      <c r="ZU60" s="188"/>
      <c r="ZV60" s="188"/>
      <c r="ZW60" s="188"/>
      <c r="ZX60" s="188"/>
      <c r="ZY60" s="188"/>
      <c r="ZZ60" s="188"/>
      <c r="AAA60" s="188"/>
      <c r="AAB60" s="188"/>
      <c r="AAC60" s="188"/>
      <c r="AAD60" s="188"/>
      <c r="AAE60" s="188"/>
      <c r="AAF60" s="188"/>
      <c r="AAG60" s="188"/>
      <c r="AAH60" s="188"/>
      <c r="AAI60" s="188"/>
      <c r="AAJ60" s="188"/>
      <c r="AAK60" s="188"/>
      <c r="AAL60" s="188"/>
      <c r="AAM60" s="188"/>
      <c r="AAN60" s="188"/>
      <c r="AAO60" s="188"/>
      <c r="AAP60" s="188"/>
      <c r="AAQ60" s="188"/>
      <c r="AAR60" s="188"/>
      <c r="AAS60" s="188"/>
      <c r="AAT60" s="188"/>
      <c r="AAU60" s="188"/>
      <c r="AAV60" s="188"/>
      <c r="AAW60" s="188"/>
      <c r="AAX60" s="188"/>
      <c r="AAY60" s="188"/>
      <c r="AAZ60" s="188"/>
      <c r="ABA60" s="188"/>
      <c r="ABB60" s="188"/>
      <c r="ABC60" s="188"/>
      <c r="ABD60" s="188"/>
      <c r="ABE60" s="188"/>
      <c r="ABF60" s="188"/>
      <c r="ABG60" s="188"/>
      <c r="ABH60" s="188"/>
      <c r="ABI60" s="188"/>
      <c r="ABJ60" s="188"/>
      <c r="ABK60" s="188"/>
      <c r="ABL60" s="188"/>
      <c r="ABM60" s="188"/>
      <c r="ABN60" s="188"/>
      <c r="ABO60" s="188"/>
      <c r="ABP60" s="188"/>
      <c r="ABQ60" s="188"/>
      <c r="ABR60" s="188"/>
      <c r="ABS60" s="188"/>
      <c r="ABT60" s="188"/>
      <c r="ABU60" s="188"/>
      <c r="ABV60" s="188"/>
      <c r="ABW60" s="188"/>
      <c r="ABX60" s="188"/>
      <c r="ABY60" s="188"/>
      <c r="ABZ60" s="188"/>
      <c r="ACA60" s="188"/>
      <c r="ACB60" s="188"/>
      <c r="ACC60" s="188"/>
      <c r="ACD60" s="188"/>
      <c r="ACE60" s="188"/>
      <c r="ACF60" s="188"/>
      <c r="ACG60" s="188"/>
      <c r="ACH60" s="188"/>
      <c r="ACI60" s="188"/>
      <c r="ACJ60" s="188"/>
      <c r="ACK60" s="188"/>
      <c r="ACL60" s="188"/>
      <c r="ACM60" s="188"/>
      <c r="ACN60" s="188"/>
      <c r="ACO60" s="188"/>
      <c r="ACP60" s="188"/>
      <c r="ACQ60" s="188"/>
      <c r="ACR60" s="188"/>
      <c r="ACS60" s="188"/>
      <c r="ACT60" s="188"/>
      <c r="ACU60" s="188"/>
      <c r="ACV60" s="188"/>
      <c r="ACW60" s="188"/>
      <c r="ACX60" s="188"/>
      <c r="ACY60" s="188"/>
      <c r="ACZ60" s="188"/>
      <c r="ADA60" s="188"/>
      <c r="ADB60" s="188"/>
      <c r="ADC60" s="188"/>
      <c r="ADD60" s="188"/>
      <c r="ADE60" s="188"/>
      <c r="ADF60" s="188"/>
      <c r="ADG60" s="188"/>
      <c r="ADH60" s="188"/>
      <c r="ADI60" s="188"/>
      <c r="ADJ60" s="188"/>
      <c r="ADK60" s="188"/>
      <c r="ADL60" s="188"/>
      <c r="ADM60" s="188"/>
      <c r="ADN60" s="188"/>
      <c r="ADO60" s="188"/>
      <c r="ADP60" s="188"/>
      <c r="ADQ60" s="188"/>
      <c r="ADR60" s="188"/>
      <c r="ADS60" s="188"/>
      <c r="ADT60" s="188"/>
      <c r="ADU60" s="188"/>
      <c r="ADV60" s="188"/>
      <c r="ADW60" s="188"/>
      <c r="ADX60" s="188"/>
      <c r="ADY60" s="188"/>
      <c r="ADZ60" s="188"/>
      <c r="AEA60" s="188"/>
      <c r="AEB60" s="188"/>
      <c r="AEC60" s="188"/>
      <c r="AED60" s="188"/>
      <c r="AEE60" s="188"/>
      <c r="AEF60" s="188"/>
      <c r="AEG60" s="188"/>
      <c r="AEH60" s="188"/>
      <c r="AEI60" s="188"/>
      <c r="AEJ60" s="188"/>
      <c r="AEK60" s="188"/>
      <c r="AEL60" s="188"/>
      <c r="AEM60" s="188"/>
      <c r="AEN60" s="188"/>
      <c r="AEO60" s="188"/>
      <c r="AEP60" s="188"/>
      <c r="AEQ60" s="188"/>
      <c r="AER60" s="188"/>
      <c r="AES60" s="188"/>
      <c r="AET60" s="188"/>
      <c r="AEU60" s="188"/>
      <c r="AEV60" s="188"/>
      <c r="AEW60" s="188"/>
      <c r="AEX60" s="188"/>
      <c r="AEY60" s="188"/>
      <c r="AEZ60" s="188"/>
      <c r="AFA60" s="188"/>
      <c r="AFB60" s="188"/>
      <c r="AFC60" s="188"/>
      <c r="AFD60" s="188"/>
      <c r="AFE60" s="188"/>
      <c r="AFF60" s="188"/>
      <c r="AFG60" s="188"/>
      <c r="AFH60" s="188"/>
      <c r="AFI60" s="188"/>
      <c r="AFJ60" s="188"/>
      <c r="AFK60" s="188"/>
      <c r="AFL60" s="188"/>
      <c r="AFM60" s="188"/>
      <c r="AFN60" s="188"/>
      <c r="AFO60" s="188"/>
      <c r="AFP60" s="188"/>
      <c r="AFQ60" s="188"/>
      <c r="AFR60" s="188"/>
      <c r="AFS60" s="188"/>
      <c r="AFT60" s="188"/>
      <c r="AFU60" s="188"/>
      <c r="AFV60" s="188"/>
      <c r="AFW60" s="188"/>
      <c r="AFX60" s="188"/>
      <c r="AFY60" s="188"/>
      <c r="AFZ60" s="188"/>
      <c r="AGA60" s="188"/>
      <c r="AGB60" s="188"/>
      <c r="AGC60" s="188"/>
      <c r="AGD60" s="188"/>
      <c r="AGE60" s="188"/>
      <c r="AGF60" s="188"/>
      <c r="AGG60" s="188"/>
      <c r="AGH60" s="188"/>
      <c r="AGI60" s="188"/>
      <c r="AGJ60" s="188"/>
      <c r="AGK60" s="188"/>
      <c r="AGL60" s="188"/>
      <c r="AGM60" s="188"/>
      <c r="AGN60" s="188"/>
      <c r="AGO60" s="188"/>
      <c r="AGP60" s="188"/>
      <c r="AGQ60" s="188"/>
      <c r="AGR60" s="188"/>
      <c r="AGS60" s="188"/>
      <c r="AGT60" s="188"/>
      <c r="AGU60" s="188"/>
      <c r="AGV60" s="188"/>
      <c r="AGW60" s="188"/>
      <c r="AGX60" s="188"/>
      <c r="AGY60" s="188"/>
      <c r="AGZ60" s="188"/>
      <c r="AHA60" s="188"/>
      <c r="AHB60" s="188"/>
      <c r="AHC60" s="188"/>
      <c r="AHD60" s="188"/>
      <c r="AHE60" s="188"/>
      <c r="AHF60" s="188"/>
      <c r="AHG60" s="188"/>
      <c r="AHH60" s="188"/>
      <c r="AHI60" s="188"/>
      <c r="AHJ60" s="188"/>
      <c r="AHK60" s="188"/>
      <c r="AHL60" s="188"/>
      <c r="AHM60" s="188"/>
      <c r="AHN60" s="188"/>
      <c r="AHO60" s="188"/>
      <c r="AHP60" s="188"/>
      <c r="AHQ60" s="188"/>
      <c r="AHR60" s="188"/>
      <c r="AHS60" s="188"/>
      <c r="AHT60" s="188"/>
      <c r="AHU60" s="188"/>
      <c r="AHV60" s="188"/>
      <c r="AHW60" s="188"/>
      <c r="AHX60" s="188"/>
      <c r="AHY60" s="188"/>
      <c r="AHZ60" s="188"/>
      <c r="AIA60" s="188"/>
      <c r="AIB60" s="188"/>
      <c r="AIC60" s="188"/>
      <c r="AID60" s="188"/>
      <c r="AIE60" s="188"/>
      <c r="AIF60" s="188"/>
      <c r="AIG60" s="188"/>
      <c r="AIH60" s="188"/>
      <c r="AII60" s="188"/>
      <c r="AIJ60" s="188"/>
      <c r="AIK60" s="188"/>
      <c r="AIL60" s="188"/>
      <c r="AIM60" s="188"/>
      <c r="AIN60" s="188"/>
      <c r="AIO60" s="188"/>
      <c r="AIP60" s="188"/>
      <c r="AIQ60" s="188"/>
      <c r="AIR60" s="188"/>
      <c r="AIS60" s="188"/>
      <c r="AIT60" s="188"/>
      <c r="AIU60" s="188"/>
      <c r="AIV60" s="188"/>
      <c r="AIW60" s="188"/>
      <c r="AIX60" s="188"/>
      <c r="AIY60" s="188"/>
      <c r="AIZ60" s="188"/>
      <c r="AJA60" s="188"/>
      <c r="AJB60" s="188"/>
      <c r="AJC60" s="188"/>
      <c r="AJD60" s="188"/>
      <c r="AJE60" s="188"/>
      <c r="AJF60" s="188"/>
      <c r="AJG60" s="188"/>
      <c r="AJH60" s="188"/>
      <c r="AJI60" s="188"/>
      <c r="AJJ60" s="188"/>
      <c r="AJK60" s="188"/>
      <c r="AJL60" s="188"/>
      <c r="AJM60" s="188"/>
      <c r="AJN60" s="188"/>
      <c r="AJO60" s="188"/>
      <c r="AJP60" s="188"/>
      <c r="AJQ60" s="188"/>
      <c r="AJR60" s="188"/>
      <c r="AJS60" s="188"/>
      <c r="AJT60" s="188"/>
      <c r="AJU60" s="188"/>
      <c r="AJV60" s="188"/>
      <c r="AJW60" s="188"/>
      <c r="AJX60" s="188"/>
      <c r="AJY60" s="188"/>
      <c r="AJZ60" s="188"/>
      <c r="AKA60" s="188"/>
      <c r="AKB60" s="188"/>
      <c r="AKC60" s="188"/>
      <c r="AKD60" s="188"/>
      <c r="AKE60" s="188"/>
      <c r="AKF60" s="188"/>
      <c r="AKG60" s="188"/>
      <c r="AKH60" s="188"/>
      <c r="AKI60" s="188"/>
      <c r="AKJ60" s="188"/>
      <c r="AKK60" s="188"/>
      <c r="AKL60" s="188"/>
      <c r="AKM60" s="188"/>
      <c r="AKN60" s="188"/>
      <c r="AKO60" s="188"/>
      <c r="AKP60" s="188"/>
      <c r="AKQ60" s="188"/>
      <c r="AKR60" s="188"/>
      <c r="AKS60" s="188"/>
      <c r="AKT60" s="188"/>
      <c r="AKU60" s="188"/>
      <c r="AKV60" s="188"/>
      <c r="AKW60" s="188"/>
      <c r="AKX60" s="188"/>
      <c r="AKY60" s="188"/>
      <c r="AKZ60" s="188"/>
      <c r="ALA60" s="188"/>
      <c r="ALB60" s="188"/>
      <c r="ALC60" s="188"/>
      <c r="ALD60" s="188"/>
      <c r="ALE60" s="188"/>
      <c r="ALF60" s="188"/>
      <c r="ALG60" s="188"/>
      <c r="ALH60" s="188"/>
      <c r="ALI60" s="188"/>
      <c r="ALJ60" s="188"/>
      <c r="ALK60" s="188"/>
      <c r="ALL60" s="188"/>
      <c r="ALM60" s="188"/>
      <c r="ALN60" s="188"/>
      <c r="ALO60" s="188"/>
      <c r="ALP60" s="188"/>
      <c r="ALQ60" s="188"/>
      <c r="ALR60" s="188"/>
      <c r="ALS60" s="188"/>
      <c r="ALT60" s="188"/>
      <c r="ALU60" s="188"/>
      <c r="ALV60" s="188"/>
      <c r="ALW60" s="188"/>
      <c r="ALX60" s="188"/>
      <c r="ALY60" s="188"/>
      <c r="ALZ60" s="188"/>
      <c r="AMA60" s="188"/>
      <c r="AMB60" s="188"/>
      <c r="AMC60" s="188"/>
      <c r="AMD60" s="188"/>
      <c r="AME60" s="188"/>
      <c r="AMF60" s="188"/>
      <c r="AMG60" s="188"/>
      <c r="AMH60" s="188"/>
      <c r="AMI60" s="188"/>
      <c r="AMJ60" s="188"/>
      <c r="AMK60" s="188"/>
      <c r="AML60" s="188"/>
      <c r="AMM60" s="188"/>
      <c r="AMN60" s="188"/>
      <c r="AMO60" s="188"/>
      <c r="AMP60" s="188"/>
      <c r="AMQ60" s="188"/>
      <c r="AMR60" s="188"/>
      <c r="AMS60" s="188"/>
      <c r="AMT60" s="188"/>
      <c r="AMU60" s="188"/>
      <c r="AMV60" s="188"/>
      <c r="AMW60" s="188"/>
      <c r="AMX60" s="188"/>
      <c r="AMY60" s="188"/>
      <c r="AMZ60" s="188"/>
      <c r="ANA60" s="188"/>
      <c r="ANB60" s="188"/>
      <c r="ANC60" s="188"/>
      <c r="AND60" s="188"/>
      <c r="ANE60" s="188"/>
      <c r="ANF60" s="188"/>
      <c r="ANG60" s="188"/>
      <c r="ANH60" s="188"/>
      <c r="ANI60" s="188"/>
      <c r="ANJ60" s="188"/>
      <c r="ANK60" s="188"/>
      <c r="ANL60" s="188"/>
      <c r="ANM60" s="188"/>
      <c r="ANN60" s="188"/>
      <c r="ANO60" s="188"/>
      <c r="ANP60" s="188"/>
      <c r="ANQ60" s="188"/>
      <c r="ANR60" s="188"/>
      <c r="ANS60" s="188"/>
      <c r="ANT60" s="188"/>
      <c r="ANU60" s="188"/>
      <c r="ANV60" s="188"/>
      <c r="ANW60" s="188"/>
      <c r="ANX60" s="188"/>
      <c r="ANY60" s="188"/>
      <c r="ANZ60" s="188"/>
      <c r="AOA60" s="188"/>
      <c r="AOB60" s="188"/>
      <c r="AOC60" s="188"/>
      <c r="AOD60" s="188"/>
      <c r="AOE60" s="188"/>
      <c r="AOF60" s="188"/>
      <c r="AOG60" s="188"/>
      <c r="AOH60" s="188"/>
      <c r="AOI60" s="188"/>
      <c r="AOJ60" s="188"/>
      <c r="AOK60" s="188"/>
      <c r="AOL60" s="188"/>
      <c r="AOM60" s="188"/>
      <c r="AON60" s="188"/>
      <c r="AOO60" s="188"/>
      <c r="AOP60" s="188"/>
      <c r="AOQ60" s="188"/>
      <c r="AOR60" s="188"/>
      <c r="AOS60" s="188"/>
      <c r="AOT60" s="188"/>
      <c r="AOU60" s="188"/>
      <c r="AOV60" s="188"/>
      <c r="AOW60" s="188"/>
      <c r="AOX60" s="188"/>
      <c r="AOY60" s="188"/>
      <c r="AOZ60" s="188"/>
      <c r="APA60" s="188"/>
      <c r="APB60" s="188"/>
      <c r="APC60" s="188"/>
      <c r="APD60" s="188"/>
      <c r="APE60" s="188"/>
      <c r="APF60" s="188"/>
      <c r="APG60" s="188"/>
      <c r="APH60" s="188"/>
      <c r="API60" s="188"/>
      <c r="APJ60" s="188"/>
      <c r="APK60" s="188"/>
      <c r="APL60" s="188"/>
      <c r="APM60" s="188"/>
      <c r="APN60" s="188"/>
      <c r="APO60" s="188"/>
      <c r="APP60" s="188"/>
      <c r="APQ60" s="188"/>
      <c r="APR60" s="188"/>
      <c r="APS60" s="188"/>
      <c r="APT60" s="188"/>
      <c r="APU60" s="188"/>
      <c r="APV60" s="188"/>
      <c r="APW60" s="188"/>
      <c r="APX60" s="188"/>
      <c r="APY60" s="188"/>
      <c r="APZ60" s="188"/>
      <c r="AQA60" s="188"/>
      <c r="AQB60" s="188"/>
      <c r="AQC60" s="188"/>
      <c r="AQD60" s="188"/>
      <c r="AQE60" s="188"/>
      <c r="AQF60" s="188"/>
      <c r="AQG60" s="188"/>
      <c r="AQH60" s="188"/>
      <c r="AQI60" s="188"/>
      <c r="AQJ60" s="188"/>
      <c r="AQK60" s="188"/>
      <c r="AQL60" s="188"/>
      <c r="AQM60" s="188"/>
      <c r="AQN60" s="188"/>
      <c r="AQO60" s="188"/>
      <c r="AQP60" s="188"/>
      <c r="AQQ60" s="188"/>
      <c r="AQR60" s="188"/>
      <c r="AQS60" s="188"/>
      <c r="AQT60" s="188"/>
      <c r="AQU60" s="188"/>
      <c r="AQV60" s="188"/>
      <c r="AQW60" s="188"/>
      <c r="AQX60" s="188"/>
      <c r="AQY60" s="188"/>
      <c r="AQZ60" s="188"/>
      <c r="ARA60" s="188"/>
      <c r="ARB60" s="188"/>
      <c r="ARC60" s="188"/>
      <c r="ARD60" s="188"/>
      <c r="ARE60" s="188"/>
      <c r="ARF60" s="188"/>
      <c r="ARG60" s="188"/>
      <c r="ARH60" s="188"/>
      <c r="ARI60" s="188"/>
      <c r="ARJ60" s="188"/>
      <c r="ARK60" s="188"/>
      <c r="ARL60" s="188"/>
      <c r="ARM60" s="188"/>
      <c r="ARN60" s="188"/>
      <c r="ARO60" s="188"/>
      <c r="ARP60" s="188"/>
      <c r="ARQ60" s="188"/>
      <c r="ARR60" s="188"/>
      <c r="ARS60" s="188"/>
      <c r="ART60" s="188"/>
      <c r="ARU60" s="188"/>
      <c r="ARV60" s="188"/>
      <c r="ARW60" s="188"/>
      <c r="ARX60" s="188"/>
      <c r="ARY60" s="188"/>
      <c r="ARZ60" s="188"/>
      <c r="ASA60" s="188"/>
      <c r="ASB60" s="188"/>
      <c r="ASC60" s="188"/>
      <c r="ASD60" s="188"/>
      <c r="ASE60" s="188"/>
      <c r="ASF60" s="188"/>
      <c r="ASG60" s="188"/>
      <c r="ASH60" s="188"/>
      <c r="ASI60" s="188"/>
      <c r="ASJ60" s="188"/>
      <c r="ASK60" s="188"/>
      <c r="ASL60" s="188"/>
      <c r="ASM60" s="188"/>
      <c r="ASN60" s="188"/>
      <c r="ASO60" s="188"/>
      <c r="ASP60" s="188"/>
      <c r="ASQ60" s="188"/>
      <c r="ASR60" s="188"/>
      <c r="ASS60" s="188"/>
      <c r="AST60" s="188"/>
      <c r="ASU60" s="188"/>
      <c r="ASV60" s="188"/>
      <c r="ASW60" s="188"/>
      <c r="ASX60" s="188"/>
      <c r="ASY60" s="188"/>
      <c r="ASZ60" s="188"/>
      <c r="ATA60" s="188"/>
      <c r="ATB60" s="188"/>
      <c r="ATC60" s="188"/>
      <c r="ATD60" s="188"/>
      <c r="ATE60" s="188"/>
      <c r="ATF60" s="188"/>
      <c r="ATG60" s="188"/>
      <c r="ATH60" s="188"/>
      <c r="ATI60" s="188"/>
      <c r="ATJ60" s="188"/>
      <c r="ATK60" s="188"/>
      <c r="ATL60" s="188"/>
      <c r="ATM60" s="188"/>
      <c r="ATN60" s="188"/>
      <c r="ATO60" s="188"/>
      <c r="ATP60" s="188"/>
      <c r="ATQ60" s="188"/>
      <c r="ATR60" s="188"/>
      <c r="ATS60" s="188"/>
      <c r="ATT60" s="188"/>
      <c r="ATU60" s="188"/>
      <c r="ATV60" s="188"/>
      <c r="ATW60" s="188"/>
      <c r="ATX60" s="188"/>
      <c r="ATY60" s="188"/>
      <c r="ATZ60" s="188"/>
      <c r="AUA60" s="188"/>
      <c r="AUB60" s="188"/>
      <c r="AUC60" s="188"/>
      <c r="AUD60" s="188"/>
      <c r="AUE60" s="188"/>
      <c r="AUF60" s="188"/>
      <c r="AUG60" s="188"/>
      <c r="AUH60" s="188"/>
      <c r="AUI60" s="188"/>
      <c r="AUJ60" s="188"/>
      <c r="AUK60" s="188"/>
      <c r="AUL60" s="188"/>
      <c r="AUM60" s="188"/>
      <c r="AUN60" s="188"/>
      <c r="AUO60" s="188"/>
      <c r="AUP60" s="188"/>
      <c r="AUQ60" s="188"/>
      <c r="AUR60" s="188"/>
      <c r="AUS60" s="188"/>
      <c r="AUT60" s="188"/>
      <c r="AUU60" s="188"/>
      <c r="AUV60" s="188"/>
      <c r="AUW60" s="188"/>
      <c r="AUX60" s="188"/>
      <c r="AUY60" s="188"/>
      <c r="AUZ60" s="188"/>
      <c r="AVA60" s="188"/>
      <c r="AVB60" s="188"/>
      <c r="AVC60" s="188"/>
      <c r="AVD60" s="188"/>
      <c r="AVE60" s="188"/>
      <c r="AVF60" s="188"/>
      <c r="AVG60" s="188"/>
      <c r="AVH60" s="188"/>
      <c r="AVI60" s="188"/>
      <c r="AVJ60" s="188"/>
      <c r="AVK60" s="188"/>
      <c r="AVL60" s="188"/>
      <c r="AVM60" s="188"/>
      <c r="AVN60" s="188"/>
      <c r="AVO60" s="188"/>
      <c r="AVP60" s="188"/>
      <c r="AVQ60" s="188"/>
      <c r="AVR60" s="188"/>
      <c r="AVS60" s="188"/>
      <c r="AVT60" s="188"/>
      <c r="AVU60" s="188"/>
      <c r="AVV60" s="188"/>
      <c r="AVW60" s="188"/>
      <c r="AVX60" s="188"/>
      <c r="AVY60" s="188"/>
      <c r="AVZ60" s="188"/>
      <c r="AWA60" s="188"/>
      <c r="AWB60" s="188"/>
      <c r="AWC60" s="188"/>
      <c r="AWD60" s="188"/>
      <c r="AWE60" s="188"/>
      <c r="AWF60" s="188"/>
      <c r="AWG60" s="188"/>
      <c r="AWH60" s="188"/>
      <c r="AWI60" s="188"/>
      <c r="AWJ60" s="188"/>
      <c r="AWK60" s="188"/>
      <c r="AWL60" s="188"/>
      <c r="AWM60" s="188"/>
      <c r="AWN60" s="188"/>
      <c r="AWO60" s="188"/>
      <c r="AWP60" s="188"/>
      <c r="AWQ60" s="188"/>
      <c r="AWR60" s="188"/>
      <c r="AWS60" s="188"/>
      <c r="AWT60" s="188"/>
      <c r="AWU60" s="188"/>
      <c r="AWV60" s="188"/>
      <c r="AWW60" s="188"/>
      <c r="AWX60" s="188"/>
      <c r="AWY60" s="188"/>
      <c r="AWZ60" s="188"/>
      <c r="AXA60" s="188"/>
      <c r="AXB60" s="188"/>
      <c r="AXC60" s="188"/>
      <c r="AXD60" s="188"/>
      <c r="AXE60" s="188"/>
      <c r="AXF60" s="188"/>
      <c r="AXG60" s="188"/>
      <c r="AXH60" s="188"/>
      <c r="AXI60" s="188"/>
      <c r="AXJ60" s="188"/>
      <c r="AXK60" s="188"/>
      <c r="AXL60" s="188"/>
      <c r="AXM60" s="188"/>
      <c r="AXN60" s="188"/>
      <c r="AXO60" s="188"/>
      <c r="AXP60" s="188"/>
      <c r="AXQ60" s="188"/>
      <c r="AXR60" s="188"/>
      <c r="AXS60" s="188"/>
      <c r="AXT60" s="188"/>
      <c r="AXU60" s="188"/>
      <c r="AXV60" s="188"/>
      <c r="AXW60" s="188"/>
      <c r="AXX60" s="188"/>
      <c r="AXY60" s="188"/>
      <c r="AXZ60" s="188"/>
      <c r="AYA60" s="188"/>
      <c r="AYB60" s="188"/>
      <c r="AYC60" s="188"/>
      <c r="AYD60" s="188"/>
      <c r="AYE60" s="188"/>
      <c r="AYF60" s="188"/>
      <c r="AYG60" s="188"/>
      <c r="AYH60" s="188"/>
      <c r="AYI60" s="188"/>
      <c r="AYJ60" s="188"/>
      <c r="AYK60" s="188"/>
      <c r="AYL60" s="188"/>
      <c r="AYM60" s="188"/>
      <c r="AYN60" s="188"/>
      <c r="AYO60" s="188"/>
      <c r="AYP60" s="188"/>
      <c r="AYQ60" s="188"/>
      <c r="AYR60" s="188"/>
      <c r="AYS60" s="188"/>
      <c r="AYT60" s="188"/>
      <c r="AYU60" s="188"/>
      <c r="AYV60" s="188"/>
      <c r="AYW60" s="188"/>
      <c r="AYX60" s="188"/>
      <c r="AYY60" s="188"/>
      <c r="AYZ60" s="188"/>
      <c r="AZA60" s="188"/>
      <c r="AZB60" s="188"/>
      <c r="AZC60" s="188"/>
      <c r="AZD60" s="188"/>
      <c r="AZE60" s="188"/>
      <c r="AZF60" s="188"/>
      <c r="AZG60" s="188"/>
      <c r="AZH60" s="188"/>
      <c r="AZI60" s="188"/>
      <c r="AZJ60" s="188"/>
      <c r="AZK60" s="188"/>
      <c r="AZL60" s="188"/>
      <c r="AZM60" s="188"/>
      <c r="AZN60" s="188"/>
      <c r="AZO60" s="188"/>
      <c r="AZP60" s="188"/>
      <c r="AZQ60" s="188"/>
      <c r="AZR60" s="188"/>
      <c r="AZS60" s="188"/>
      <c r="AZT60" s="188"/>
      <c r="AZU60" s="188"/>
      <c r="AZV60" s="188"/>
      <c r="AZW60" s="188"/>
      <c r="AZX60" s="188"/>
      <c r="AZY60" s="188"/>
      <c r="AZZ60" s="188"/>
      <c r="BAA60" s="188"/>
      <c r="BAB60" s="188"/>
      <c r="BAC60" s="188"/>
      <c r="BAD60" s="188"/>
      <c r="BAE60" s="188"/>
      <c r="BAF60" s="188"/>
      <c r="BAG60" s="188"/>
      <c r="BAH60" s="188"/>
      <c r="BAI60" s="188"/>
      <c r="BAJ60" s="188"/>
      <c r="BAK60" s="188"/>
      <c r="BAL60" s="188"/>
      <c r="BAM60" s="188"/>
      <c r="BAN60" s="188"/>
      <c r="BAO60" s="188"/>
      <c r="BAP60" s="188"/>
      <c r="BAQ60" s="188"/>
      <c r="BAR60" s="188"/>
      <c r="BAS60" s="188"/>
      <c r="BAT60" s="188"/>
      <c r="BAU60" s="188"/>
      <c r="BAV60" s="188"/>
      <c r="BAW60" s="188"/>
      <c r="BAX60" s="188"/>
      <c r="BAY60" s="188"/>
      <c r="BAZ60" s="188"/>
      <c r="BBA60" s="188"/>
      <c r="BBB60" s="188"/>
      <c r="BBC60" s="188"/>
      <c r="BBD60" s="188"/>
      <c r="BBE60" s="188"/>
      <c r="BBF60" s="188"/>
      <c r="BBG60" s="188"/>
      <c r="BBH60" s="188"/>
      <c r="BBI60" s="188"/>
      <c r="BBJ60" s="188"/>
      <c r="BBK60" s="188"/>
      <c r="BBL60" s="188"/>
      <c r="BBM60" s="188"/>
      <c r="BBN60" s="188"/>
      <c r="BBO60" s="188"/>
      <c r="BBP60" s="188"/>
      <c r="BBQ60" s="188"/>
      <c r="BBR60" s="188"/>
      <c r="BBS60" s="188"/>
      <c r="BBT60" s="188"/>
      <c r="BBU60" s="188"/>
      <c r="BBV60" s="188"/>
      <c r="BBW60" s="188"/>
      <c r="BBX60" s="188"/>
      <c r="BBY60" s="188"/>
      <c r="BBZ60" s="188"/>
      <c r="BCA60" s="188"/>
      <c r="BCB60" s="188"/>
      <c r="BCC60" s="188"/>
      <c r="BCD60" s="188"/>
      <c r="BCE60" s="188"/>
      <c r="BCF60" s="188"/>
      <c r="BCG60" s="188"/>
      <c r="BCH60" s="188"/>
      <c r="BCI60" s="188"/>
      <c r="BCJ60" s="188"/>
      <c r="BCK60" s="188"/>
      <c r="BCL60" s="188"/>
      <c r="BCM60" s="188"/>
      <c r="BCN60" s="188"/>
      <c r="BCO60" s="188"/>
      <c r="BCP60" s="188"/>
      <c r="BCQ60" s="188"/>
      <c r="BCR60" s="188"/>
      <c r="BCS60" s="188"/>
      <c r="BCT60" s="188"/>
      <c r="BCU60" s="188"/>
      <c r="BCV60" s="188"/>
      <c r="BCW60" s="188"/>
      <c r="BCX60" s="188"/>
      <c r="BCY60" s="188"/>
      <c r="BCZ60" s="188"/>
      <c r="BDA60" s="188"/>
      <c r="BDB60" s="188"/>
      <c r="BDC60" s="188"/>
      <c r="BDD60" s="188"/>
      <c r="BDE60" s="188"/>
      <c r="BDF60" s="188"/>
      <c r="BDG60" s="188"/>
      <c r="BDH60" s="188"/>
      <c r="BDI60" s="188"/>
      <c r="BDJ60" s="188"/>
      <c r="BDK60" s="188"/>
      <c r="BDL60" s="188"/>
      <c r="BDM60" s="188"/>
      <c r="BDN60" s="188"/>
      <c r="BDO60" s="188"/>
      <c r="BDP60" s="188"/>
      <c r="BDQ60" s="188"/>
      <c r="BDR60" s="188"/>
      <c r="BDS60" s="188"/>
      <c r="BDT60" s="188"/>
      <c r="BDU60" s="188"/>
      <c r="BDV60" s="188"/>
      <c r="BDW60" s="188"/>
      <c r="BDX60" s="188"/>
      <c r="BDY60" s="188"/>
      <c r="BDZ60" s="188"/>
      <c r="BEA60" s="188"/>
      <c r="BEB60" s="188"/>
      <c r="BEC60" s="188"/>
      <c r="BED60" s="188"/>
      <c r="BEE60" s="188"/>
      <c r="BEF60" s="188"/>
      <c r="BEG60" s="188"/>
      <c r="BEH60" s="188"/>
      <c r="BEI60" s="188"/>
      <c r="BEJ60" s="188"/>
      <c r="BEK60" s="188"/>
      <c r="BEL60" s="188"/>
      <c r="BEM60" s="188"/>
      <c r="BEN60" s="188"/>
      <c r="BEO60" s="188"/>
      <c r="BEP60" s="188"/>
      <c r="BEQ60" s="188"/>
      <c r="BER60" s="188"/>
      <c r="BES60" s="188"/>
      <c r="BET60" s="188"/>
      <c r="BEU60" s="188"/>
      <c r="BEV60" s="188"/>
      <c r="BEW60" s="188"/>
      <c r="BEX60" s="188"/>
      <c r="BEY60" s="188"/>
      <c r="BEZ60" s="188"/>
      <c r="BFA60" s="188"/>
      <c r="BFB60" s="188"/>
      <c r="BFC60" s="188"/>
      <c r="BFD60" s="188"/>
      <c r="BFE60" s="188"/>
      <c r="BFF60" s="188"/>
      <c r="BFG60" s="188"/>
      <c r="BFH60" s="188"/>
      <c r="BFI60" s="188"/>
      <c r="BFJ60" s="188"/>
      <c r="BFK60" s="188"/>
      <c r="BFL60" s="188"/>
      <c r="BFM60" s="188"/>
      <c r="BFN60" s="188"/>
      <c r="BFO60" s="188"/>
      <c r="BFP60" s="188"/>
      <c r="BFQ60" s="188"/>
      <c r="BFR60" s="188"/>
      <c r="BFS60" s="188"/>
      <c r="BFT60" s="188"/>
      <c r="BFU60" s="188"/>
      <c r="BFV60" s="188"/>
      <c r="BFW60" s="188"/>
      <c r="BFX60" s="188"/>
      <c r="BFY60" s="188"/>
      <c r="BFZ60" s="188"/>
      <c r="BGA60" s="188"/>
      <c r="BGB60" s="188"/>
      <c r="BGC60" s="188"/>
      <c r="BGD60" s="188"/>
      <c r="BGE60" s="188"/>
      <c r="BGF60" s="188"/>
      <c r="BGG60" s="188"/>
      <c r="BGH60" s="188"/>
      <c r="BGI60" s="188"/>
      <c r="BGJ60" s="188"/>
      <c r="BGK60" s="188"/>
      <c r="BGL60" s="188"/>
      <c r="BGM60" s="188"/>
      <c r="BGN60" s="188"/>
      <c r="BGO60" s="188"/>
      <c r="BGP60" s="188"/>
      <c r="BGQ60" s="188"/>
      <c r="BGR60" s="188"/>
      <c r="BGS60" s="188"/>
      <c r="BGT60" s="188"/>
      <c r="BGU60" s="188"/>
      <c r="BGV60" s="188"/>
      <c r="BGW60" s="188"/>
      <c r="BGX60" s="188"/>
      <c r="BGY60" s="188"/>
      <c r="BGZ60" s="188"/>
      <c r="BHA60" s="188"/>
      <c r="BHB60" s="188"/>
      <c r="BHC60" s="188"/>
      <c r="BHD60" s="188"/>
      <c r="BHE60" s="188"/>
      <c r="BHF60" s="188"/>
      <c r="BHG60" s="188"/>
      <c r="BHH60" s="188"/>
      <c r="BHI60" s="188"/>
      <c r="BHJ60" s="188"/>
      <c r="BHK60" s="188"/>
      <c r="BHL60" s="188"/>
      <c r="BHM60" s="188"/>
      <c r="BHN60" s="188"/>
      <c r="BHO60" s="188"/>
      <c r="BHP60" s="188"/>
      <c r="BHQ60" s="188"/>
      <c r="BHR60" s="188"/>
      <c r="BHS60" s="188"/>
      <c r="BHT60" s="188"/>
      <c r="BHU60" s="188"/>
      <c r="BHV60" s="188"/>
      <c r="BHW60" s="188"/>
      <c r="BHX60" s="188"/>
      <c r="BHY60" s="188"/>
      <c r="BHZ60" s="188"/>
      <c r="BIA60" s="188"/>
      <c r="BIB60" s="188"/>
      <c r="BIC60" s="188"/>
      <c r="BID60" s="188"/>
      <c r="BIE60" s="188"/>
      <c r="BIF60" s="188"/>
      <c r="BIG60" s="188"/>
      <c r="BIH60" s="188"/>
      <c r="BII60" s="188"/>
      <c r="BIJ60" s="188"/>
      <c r="BIK60" s="188"/>
      <c r="BIL60" s="188"/>
      <c r="BIM60" s="188"/>
      <c r="BIN60" s="188"/>
      <c r="BIO60" s="188"/>
      <c r="BIP60" s="188"/>
      <c r="BIQ60" s="188"/>
      <c r="BIR60" s="188"/>
      <c r="BIS60" s="188"/>
      <c r="BIT60" s="188"/>
      <c r="BIU60" s="188"/>
      <c r="BIV60" s="188"/>
      <c r="BIW60" s="188"/>
      <c r="BIX60" s="188"/>
      <c r="BIY60" s="188"/>
      <c r="BIZ60" s="188"/>
      <c r="BJA60" s="188"/>
      <c r="BJB60" s="188"/>
      <c r="BJC60" s="188"/>
      <c r="BJD60" s="188"/>
      <c r="BJE60" s="188"/>
      <c r="BJF60" s="188"/>
      <c r="BJG60" s="188"/>
      <c r="BJH60" s="188"/>
      <c r="BJI60" s="188"/>
      <c r="BJJ60" s="188"/>
      <c r="BJK60" s="188"/>
      <c r="BJL60" s="188"/>
      <c r="BJM60" s="188"/>
      <c r="BJN60" s="188"/>
      <c r="BJO60" s="188"/>
      <c r="BJP60" s="188"/>
      <c r="BJQ60" s="188"/>
      <c r="BJR60" s="188"/>
      <c r="BJS60" s="188"/>
      <c r="BJT60" s="188"/>
      <c r="BJU60" s="188"/>
      <c r="BJV60" s="188"/>
      <c r="BJW60" s="188"/>
      <c r="BJX60" s="188"/>
      <c r="BJY60" s="188"/>
      <c r="BJZ60" s="188"/>
      <c r="BKA60" s="188"/>
      <c r="BKB60" s="188"/>
      <c r="BKC60" s="188"/>
      <c r="BKD60" s="188"/>
      <c r="BKE60" s="188"/>
      <c r="BKF60" s="188"/>
      <c r="BKG60" s="188"/>
      <c r="BKH60" s="188"/>
      <c r="BKI60" s="188"/>
      <c r="BKJ60" s="188"/>
      <c r="BKK60" s="188"/>
      <c r="BKL60" s="188"/>
      <c r="BKM60" s="188"/>
      <c r="BKN60" s="188"/>
    </row>
    <row r="61" spans="1:1652" s="21" customFormat="1" x14ac:dyDescent="0.3">
      <c r="A61" s="171"/>
      <c r="B61" s="189"/>
      <c r="C61" s="189"/>
      <c r="D61" s="189"/>
      <c r="E61" s="189"/>
      <c r="F61" s="189"/>
      <c r="G61" s="189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8"/>
      <c r="AE61" s="188"/>
      <c r="AF61" s="188"/>
      <c r="AG61" s="188"/>
      <c r="AH61" s="188"/>
      <c r="AI61" s="188"/>
      <c r="AJ61" s="188"/>
      <c r="AK61" s="188"/>
      <c r="AL61" s="188"/>
      <c r="AM61" s="188"/>
      <c r="AN61" s="188"/>
      <c r="AO61" s="188"/>
      <c r="AP61" s="188"/>
      <c r="AQ61" s="188"/>
      <c r="AR61" s="188"/>
      <c r="AS61" s="188"/>
      <c r="AT61" s="189"/>
      <c r="AU61" s="189"/>
      <c r="AV61" s="189"/>
      <c r="AW61" s="189"/>
      <c r="AX61" s="189"/>
      <c r="AY61" s="189"/>
      <c r="AZ61" s="189"/>
      <c r="BA61" s="189"/>
      <c r="BB61" s="189"/>
      <c r="BC61" s="189"/>
      <c r="BD61" s="189"/>
      <c r="BE61" s="188"/>
      <c r="BF61" s="188"/>
      <c r="BG61" s="188"/>
      <c r="BH61" s="188"/>
      <c r="BI61" s="188"/>
      <c r="BJ61" s="188"/>
      <c r="BK61" s="188"/>
      <c r="BL61" s="188"/>
      <c r="BM61" s="188"/>
      <c r="BN61" s="188"/>
      <c r="BO61" s="188"/>
      <c r="BP61" s="188"/>
      <c r="BQ61" s="188"/>
      <c r="BR61" s="188"/>
      <c r="BS61" s="188"/>
      <c r="BT61" s="188"/>
      <c r="BU61" s="188"/>
      <c r="BV61" s="188"/>
      <c r="BW61" s="188"/>
      <c r="BX61" s="188"/>
      <c r="BY61" s="188"/>
      <c r="BZ61" s="188"/>
      <c r="CA61" s="188"/>
      <c r="CB61" s="188"/>
      <c r="CC61" s="188"/>
      <c r="CD61" s="188"/>
      <c r="CE61" s="188"/>
      <c r="CF61" s="188"/>
      <c r="CG61" s="188"/>
      <c r="CH61" s="188"/>
      <c r="CI61" s="188"/>
      <c r="CJ61" s="188"/>
      <c r="CK61" s="188"/>
      <c r="CL61" s="188"/>
      <c r="CM61" s="188"/>
      <c r="CN61" s="188"/>
      <c r="CO61" s="188"/>
      <c r="CP61" s="188"/>
      <c r="CQ61" s="188"/>
      <c r="CR61" s="188"/>
      <c r="CS61" s="188"/>
      <c r="CT61" s="188"/>
      <c r="CU61" s="188"/>
      <c r="CV61" s="188"/>
      <c r="CW61" s="188"/>
      <c r="CX61" s="188"/>
      <c r="CY61" s="188"/>
      <c r="CZ61" s="188"/>
      <c r="DA61" s="188"/>
      <c r="DB61" s="188"/>
      <c r="DC61" s="188"/>
      <c r="DD61" s="188"/>
      <c r="DE61" s="188"/>
      <c r="DF61" s="188"/>
      <c r="DG61" s="188"/>
      <c r="DH61" s="188"/>
      <c r="DI61" s="188"/>
      <c r="DJ61" s="188"/>
      <c r="DK61" s="188"/>
      <c r="DL61" s="188"/>
      <c r="DM61" s="188"/>
      <c r="DN61" s="188"/>
      <c r="DO61" s="188"/>
      <c r="DP61" s="188"/>
      <c r="DQ61" s="188"/>
      <c r="DR61" s="188"/>
      <c r="DS61" s="188"/>
      <c r="DT61" s="188"/>
      <c r="DU61" s="188"/>
      <c r="DV61" s="188"/>
      <c r="DW61" s="188"/>
      <c r="DX61" s="188"/>
      <c r="DY61" s="188"/>
      <c r="DZ61" s="188"/>
      <c r="EA61" s="188"/>
      <c r="EB61" s="188"/>
      <c r="EC61" s="188"/>
      <c r="ED61" s="188"/>
      <c r="EE61" s="188"/>
      <c r="EF61" s="188"/>
      <c r="EG61" s="188"/>
      <c r="EH61" s="188"/>
      <c r="EI61" s="188"/>
      <c r="EJ61" s="188"/>
      <c r="EK61" s="188"/>
      <c r="EL61" s="188"/>
      <c r="EM61" s="188"/>
      <c r="EN61" s="188"/>
      <c r="EO61" s="188"/>
      <c r="EP61" s="188"/>
      <c r="EQ61" s="188"/>
      <c r="ER61" s="188"/>
      <c r="ES61" s="188"/>
      <c r="ET61" s="188"/>
      <c r="EU61" s="188"/>
      <c r="EV61" s="188"/>
      <c r="EW61" s="188"/>
      <c r="EX61" s="188"/>
      <c r="EY61" s="188"/>
      <c r="EZ61" s="188"/>
      <c r="FA61" s="188"/>
      <c r="FB61" s="188"/>
      <c r="FC61" s="188"/>
      <c r="FD61" s="188"/>
      <c r="FE61" s="188"/>
      <c r="FF61" s="188"/>
      <c r="FG61" s="188"/>
      <c r="FH61" s="188"/>
      <c r="FI61" s="188"/>
      <c r="FJ61" s="188"/>
      <c r="FK61" s="188"/>
      <c r="FL61" s="188"/>
      <c r="FM61" s="188"/>
      <c r="FN61" s="188"/>
      <c r="FO61" s="188"/>
      <c r="FP61" s="188"/>
      <c r="FQ61" s="188"/>
      <c r="FR61" s="188"/>
      <c r="FS61" s="188"/>
      <c r="FT61" s="188"/>
      <c r="FU61" s="188"/>
      <c r="FV61" s="188"/>
      <c r="FW61" s="188"/>
      <c r="FX61" s="188"/>
      <c r="FY61" s="188"/>
      <c r="FZ61" s="188"/>
      <c r="GA61" s="188"/>
      <c r="GB61" s="188"/>
      <c r="GC61" s="188"/>
      <c r="GD61" s="188"/>
      <c r="GE61" s="188"/>
      <c r="GF61" s="188"/>
      <c r="GG61" s="188"/>
      <c r="GH61" s="188"/>
      <c r="GI61" s="188"/>
      <c r="GJ61" s="188"/>
      <c r="GK61" s="188"/>
      <c r="GL61" s="188"/>
      <c r="GM61" s="188"/>
      <c r="GN61" s="188"/>
      <c r="GO61" s="188"/>
      <c r="GP61" s="188"/>
      <c r="GQ61" s="188"/>
      <c r="GR61" s="188"/>
      <c r="GS61" s="188"/>
      <c r="GT61" s="188"/>
      <c r="GU61" s="188"/>
      <c r="GV61" s="188"/>
      <c r="GW61" s="188"/>
      <c r="GX61" s="188"/>
      <c r="GY61" s="188"/>
      <c r="GZ61" s="188"/>
      <c r="HA61" s="188"/>
      <c r="HB61" s="188"/>
      <c r="HC61" s="188"/>
      <c r="HD61" s="188"/>
      <c r="HE61" s="188"/>
      <c r="HF61" s="188"/>
      <c r="HG61" s="188"/>
      <c r="HH61" s="188"/>
      <c r="HI61" s="188"/>
      <c r="HJ61" s="188"/>
      <c r="HK61" s="188"/>
      <c r="HL61" s="188"/>
      <c r="HM61" s="188"/>
      <c r="HN61" s="188"/>
      <c r="HO61" s="188"/>
      <c r="HP61" s="188"/>
      <c r="HQ61" s="188"/>
      <c r="HR61" s="188"/>
      <c r="HS61" s="188"/>
      <c r="HT61" s="188"/>
      <c r="HU61" s="188"/>
      <c r="HV61" s="188"/>
      <c r="HW61" s="188"/>
      <c r="HX61" s="188"/>
      <c r="HY61" s="188"/>
      <c r="HZ61" s="188"/>
      <c r="IA61" s="188"/>
      <c r="IB61" s="188"/>
      <c r="IC61" s="188"/>
      <c r="ID61" s="188"/>
      <c r="IE61" s="188"/>
      <c r="IF61" s="188"/>
      <c r="IG61" s="188"/>
      <c r="IH61" s="188"/>
      <c r="II61" s="188"/>
      <c r="IJ61" s="188"/>
      <c r="IK61" s="188"/>
      <c r="IL61" s="188"/>
      <c r="IM61" s="188"/>
      <c r="IN61" s="188"/>
      <c r="IO61" s="188"/>
      <c r="IP61" s="188"/>
      <c r="IQ61" s="188"/>
      <c r="IR61" s="188"/>
      <c r="IS61" s="188"/>
      <c r="IT61" s="188"/>
      <c r="IU61" s="188"/>
      <c r="IV61" s="188"/>
      <c r="IW61" s="188"/>
      <c r="IX61" s="188"/>
      <c r="IY61" s="188"/>
      <c r="IZ61" s="188"/>
      <c r="JA61" s="188"/>
      <c r="JB61" s="188"/>
      <c r="JC61" s="188"/>
      <c r="JD61" s="188"/>
      <c r="JE61" s="188"/>
      <c r="JF61" s="188"/>
      <c r="JG61" s="188"/>
      <c r="JH61" s="188"/>
      <c r="JI61" s="188"/>
      <c r="JJ61" s="188"/>
      <c r="JK61" s="188"/>
      <c r="JL61" s="188"/>
      <c r="JM61" s="188"/>
      <c r="JN61" s="188"/>
      <c r="JO61" s="188"/>
      <c r="JP61" s="188"/>
      <c r="JQ61" s="188"/>
      <c r="JR61" s="188"/>
      <c r="JS61" s="188"/>
      <c r="JT61" s="188"/>
      <c r="JU61" s="188"/>
      <c r="JV61" s="188"/>
      <c r="JW61" s="188"/>
      <c r="JX61" s="188"/>
      <c r="JY61" s="188"/>
      <c r="JZ61" s="188"/>
      <c r="KA61" s="188"/>
      <c r="KB61" s="188"/>
      <c r="KC61" s="188"/>
      <c r="KD61" s="188"/>
      <c r="KE61" s="188"/>
      <c r="KF61" s="188"/>
      <c r="KG61" s="188"/>
      <c r="KH61" s="188"/>
      <c r="KI61" s="188"/>
      <c r="KJ61" s="188"/>
      <c r="KK61" s="188"/>
      <c r="KL61" s="188"/>
      <c r="KM61" s="188"/>
      <c r="KN61" s="188"/>
      <c r="KO61" s="188"/>
      <c r="KP61" s="188"/>
      <c r="KQ61" s="188"/>
      <c r="KR61" s="188"/>
      <c r="KS61" s="188"/>
      <c r="KT61" s="188"/>
      <c r="KU61" s="188"/>
      <c r="KV61" s="188"/>
      <c r="KW61" s="188"/>
      <c r="KX61" s="188"/>
      <c r="KY61" s="188"/>
      <c r="KZ61" s="188"/>
      <c r="LA61" s="188"/>
      <c r="LB61" s="188"/>
      <c r="LC61" s="188"/>
      <c r="LD61" s="188"/>
      <c r="LE61" s="188"/>
      <c r="LF61" s="188"/>
      <c r="LG61" s="188"/>
      <c r="LH61" s="188"/>
      <c r="LI61" s="188"/>
      <c r="LJ61" s="188"/>
      <c r="LK61" s="188"/>
      <c r="LL61" s="188"/>
      <c r="LM61" s="188"/>
      <c r="LN61" s="188"/>
      <c r="LO61" s="188"/>
      <c r="LP61" s="188"/>
      <c r="LQ61" s="188"/>
      <c r="LR61" s="188"/>
      <c r="LS61" s="188"/>
      <c r="LT61" s="188"/>
      <c r="LU61" s="188"/>
      <c r="LV61" s="188"/>
      <c r="LW61" s="188"/>
      <c r="LX61" s="188"/>
      <c r="LY61" s="188"/>
      <c r="LZ61" s="188"/>
      <c r="MA61" s="188"/>
      <c r="MB61" s="188"/>
      <c r="MC61" s="188"/>
      <c r="MD61" s="188"/>
      <c r="ME61" s="188"/>
      <c r="MF61" s="188"/>
      <c r="MG61" s="188"/>
      <c r="MH61" s="188"/>
      <c r="MI61" s="188"/>
      <c r="MJ61" s="188"/>
      <c r="MK61" s="188"/>
      <c r="ML61" s="188"/>
      <c r="MM61" s="188"/>
      <c r="MN61" s="188"/>
      <c r="MO61" s="188"/>
      <c r="MP61" s="188"/>
      <c r="MQ61" s="188"/>
      <c r="MR61" s="188"/>
      <c r="MS61" s="188"/>
      <c r="MT61" s="188"/>
      <c r="MU61" s="188"/>
      <c r="MV61" s="188"/>
      <c r="MW61" s="188"/>
      <c r="MX61" s="188"/>
      <c r="MY61" s="188"/>
      <c r="MZ61" s="188"/>
      <c r="NA61" s="188"/>
      <c r="NB61" s="188"/>
      <c r="NC61" s="188"/>
      <c r="ND61" s="188"/>
      <c r="NE61" s="188"/>
      <c r="NF61" s="188"/>
      <c r="NG61" s="188"/>
      <c r="NH61" s="188"/>
      <c r="NI61" s="188"/>
      <c r="NJ61" s="188"/>
      <c r="NK61" s="188"/>
      <c r="NL61" s="188"/>
      <c r="NM61" s="188"/>
      <c r="NN61" s="188"/>
      <c r="NO61" s="188"/>
      <c r="NP61" s="188"/>
      <c r="NQ61" s="188"/>
      <c r="NR61" s="188"/>
      <c r="NS61" s="188"/>
      <c r="NT61" s="188"/>
      <c r="NU61" s="188"/>
      <c r="NV61" s="188"/>
      <c r="NW61" s="188"/>
      <c r="NX61" s="188"/>
      <c r="NY61" s="188"/>
      <c r="NZ61" s="188"/>
      <c r="OA61" s="188"/>
      <c r="OB61" s="188"/>
      <c r="OC61" s="188"/>
      <c r="OD61" s="188"/>
      <c r="OE61" s="188"/>
      <c r="OF61" s="188"/>
      <c r="OG61" s="188"/>
      <c r="OH61" s="188"/>
      <c r="OI61" s="188"/>
      <c r="OJ61" s="188"/>
      <c r="OK61" s="188"/>
      <c r="OL61" s="188"/>
      <c r="OM61" s="188"/>
      <c r="ON61" s="188"/>
      <c r="OO61" s="188"/>
      <c r="OP61" s="188"/>
      <c r="OQ61" s="188"/>
      <c r="OR61" s="188"/>
      <c r="OS61" s="188"/>
      <c r="OT61" s="188"/>
      <c r="OU61" s="188"/>
      <c r="OV61" s="188"/>
      <c r="OW61" s="188"/>
      <c r="OX61" s="188"/>
      <c r="OY61" s="188"/>
      <c r="OZ61" s="188"/>
      <c r="PA61" s="188"/>
      <c r="PB61" s="188"/>
      <c r="PC61" s="188"/>
      <c r="PD61" s="188"/>
      <c r="PE61" s="188"/>
      <c r="PF61" s="188"/>
      <c r="PG61" s="188"/>
      <c r="PH61" s="188"/>
      <c r="PI61" s="188"/>
      <c r="PJ61" s="188"/>
      <c r="PK61" s="188"/>
      <c r="PL61" s="188"/>
      <c r="PM61" s="188"/>
      <c r="PN61" s="188"/>
      <c r="PO61" s="188"/>
      <c r="PP61" s="188"/>
      <c r="PQ61" s="188"/>
      <c r="PR61" s="188"/>
      <c r="PS61" s="188"/>
      <c r="PT61" s="188"/>
      <c r="PU61" s="188"/>
      <c r="PV61" s="188"/>
      <c r="PW61" s="188"/>
      <c r="PX61" s="188"/>
      <c r="PY61" s="188"/>
      <c r="PZ61" s="188"/>
      <c r="QA61" s="188"/>
      <c r="QB61" s="188"/>
      <c r="QC61" s="188"/>
      <c r="QD61" s="188"/>
      <c r="QE61" s="188"/>
      <c r="QF61" s="188"/>
      <c r="QG61" s="188"/>
      <c r="QH61" s="188"/>
      <c r="QI61" s="188"/>
      <c r="QJ61" s="188"/>
      <c r="QK61" s="188"/>
      <c r="QL61" s="188"/>
      <c r="QM61" s="188"/>
      <c r="QN61" s="188"/>
      <c r="QO61" s="188"/>
      <c r="QP61" s="188"/>
      <c r="QQ61" s="188"/>
      <c r="QR61" s="188"/>
      <c r="QS61" s="188"/>
      <c r="QT61" s="188"/>
      <c r="QU61" s="188"/>
      <c r="QV61" s="188"/>
      <c r="QW61" s="188"/>
      <c r="QX61" s="188"/>
      <c r="QY61" s="188"/>
      <c r="QZ61" s="188"/>
      <c r="RA61" s="188"/>
      <c r="RB61" s="188"/>
      <c r="RC61" s="188"/>
      <c r="RD61" s="188"/>
      <c r="RE61" s="188"/>
      <c r="RF61" s="188"/>
      <c r="RG61" s="188"/>
      <c r="RH61" s="188"/>
      <c r="RI61" s="188"/>
      <c r="RJ61" s="188"/>
      <c r="RK61" s="188"/>
      <c r="RL61" s="188"/>
      <c r="RM61" s="188"/>
      <c r="RN61" s="188"/>
      <c r="RO61" s="188"/>
      <c r="RP61" s="188"/>
      <c r="RQ61" s="188"/>
      <c r="RR61" s="188"/>
      <c r="RS61" s="188"/>
      <c r="RT61" s="188"/>
      <c r="RU61" s="188"/>
      <c r="RV61" s="188"/>
      <c r="RW61" s="188"/>
      <c r="RX61" s="188"/>
      <c r="RY61" s="188"/>
      <c r="RZ61" s="188"/>
      <c r="SA61" s="188"/>
      <c r="SB61" s="188"/>
      <c r="SC61" s="188"/>
      <c r="SD61" s="188"/>
      <c r="SE61" s="188"/>
      <c r="SF61" s="188"/>
      <c r="SG61" s="188"/>
      <c r="SH61" s="188"/>
      <c r="SI61" s="188"/>
      <c r="SJ61" s="188"/>
      <c r="SK61" s="188"/>
      <c r="SL61" s="188"/>
      <c r="SM61" s="188"/>
      <c r="SN61" s="188"/>
      <c r="SO61" s="188"/>
      <c r="SP61" s="188"/>
      <c r="SQ61" s="188"/>
      <c r="SR61" s="188"/>
      <c r="SS61" s="188"/>
      <c r="ST61" s="188"/>
      <c r="SU61" s="188"/>
      <c r="SV61" s="188"/>
      <c r="SW61" s="188"/>
      <c r="SX61" s="188"/>
      <c r="SY61" s="188"/>
      <c r="SZ61" s="188"/>
      <c r="TA61" s="188"/>
      <c r="TB61" s="188"/>
      <c r="TC61" s="188"/>
      <c r="TD61" s="188"/>
      <c r="TE61" s="188"/>
      <c r="TF61" s="188"/>
      <c r="TG61" s="188"/>
      <c r="TH61" s="188"/>
      <c r="TI61" s="188"/>
      <c r="TJ61" s="188"/>
      <c r="TK61" s="188"/>
      <c r="TL61" s="188"/>
      <c r="TM61" s="188"/>
      <c r="TN61" s="188"/>
      <c r="TO61" s="188"/>
      <c r="TP61" s="188"/>
      <c r="TQ61" s="188"/>
      <c r="TR61" s="188"/>
      <c r="TS61" s="188"/>
      <c r="TT61" s="188"/>
      <c r="TU61" s="188"/>
      <c r="TV61" s="188"/>
      <c r="TW61" s="188"/>
      <c r="TX61" s="188"/>
      <c r="TY61" s="188"/>
      <c r="TZ61" s="188"/>
      <c r="UA61" s="188"/>
      <c r="UB61" s="188"/>
      <c r="UC61" s="188"/>
      <c r="UD61" s="188"/>
      <c r="UE61" s="188"/>
      <c r="UF61" s="188"/>
      <c r="UG61" s="188"/>
      <c r="UH61" s="188"/>
      <c r="UI61" s="188"/>
      <c r="UJ61" s="188"/>
      <c r="UK61" s="188"/>
      <c r="UL61" s="188"/>
      <c r="UM61" s="188"/>
      <c r="UN61" s="188"/>
      <c r="UO61" s="188"/>
      <c r="UP61" s="188"/>
      <c r="UQ61" s="188"/>
      <c r="UR61" s="188"/>
      <c r="US61" s="188"/>
      <c r="UT61" s="188"/>
      <c r="UU61" s="188"/>
      <c r="UV61" s="188"/>
      <c r="UW61" s="188"/>
      <c r="UX61" s="188"/>
      <c r="UY61" s="188"/>
      <c r="UZ61" s="188"/>
      <c r="VA61" s="188"/>
      <c r="VB61" s="188"/>
      <c r="VC61" s="188"/>
      <c r="VD61" s="188"/>
      <c r="VE61" s="188"/>
      <c r="VF61" s="188"/>
      <c r="VG61" s="188"/>
      <c r="VH61" s="188"/>
      <c r="VI61" s="188"/>
      <c r="VJ61" s="188"/>
      <c r="VK61" s="188"/>
      <c r="VL61" s="188"/>
      <c r="VM61" s="188"/>
      <c r="VN61" s="188"/>
      <c r="VO61" s="188"/>
      <c r="VP61" s="188"/>
      <c r="VQ61" s="188"/>
      <c r="VR61" s="188"/>
      <c r="VS61" s="188"/>
      <c r="VT61" s="188"/>
      <c r="VU61" s="188"/>
      <c r="VV61" s="188"/>
      <c r="VW61" s="188"/>
      <c r="VX61" s="188"/>
      <c r="VY61" s="188"/>
      <c r="VZ61" s="188"/>
      <c r="WA61" s="188"/>
      <c r="WB61" s="188"/>
      <c r="WC61" s="188"/>
      <c r="WD61" s="188"/>
      <c r="WE61" s="188"/>
      <c r="WF61" s="188"/>
      <c r="WG61" s="188"/>
      <c r="WH61" s="188"/>
      <c r="WI61" s="188"/>
      <c r="WJ61" s="188"/>
      <c r="WK61" s="188"/>
      <c r="WL61" s="188"/>
      <c r="WM61" s="188"/>
      <c r="WN61" s="188"/>
      <c r="WO61" s="188"/>
      <c r="WP61" s="188"/>
      <c r="WQ61" s="188"/>
      <c r="WR61" s="188"/>
      <c r="WS61" s="188"/>
      <c r="WT61" s="188"/>
      <c r="WU61" s="188"/>
      <c r="WV61" s="188"/>
      <c r="WW61" s="188"/>
      <c r="WX61" s="188"/>
      <c r="WY61" s="188"/>
      <c r="WZ61" s="188"/>
      <c r="XA61" s="188"/>
      <c r="XB61" s="188"/>
      <c r="XC61" s="188"/>
      <c r="XD61" s="188"/>
      <c r="XE61" s="188"/>
      <c r="XF61" s="188"/>
      <c r="XG61" s="188"/>
      <c r="XH61" s="188"/>
      <c r="XI61" s="188"/>
      <c r="XJ61" s="188"/>
      <c r="XK61" s="188"/>
      <c r="XL61" s="188"/>
      <c r="XM61" s="188"/>
      <c r="XN61" s="188"/>
      <c r="XO61" s="188"/>
      <c r="XP61" s="188"/>
      <c r="XQ61" s="188"/>
      <c r="XR61" s="188"/>
      <c r="XS61" s="188"/>
      <c r="XT61" s="188"/>
      <c r="XU61" s="188"/>
      <c r="XV61" s="188"/>
      <c r="XW61" s="188"/>
      <c r="XX61" s="188"/>
      <c r="XY61" s="188"/>
      <c r="XZ61" s="188"/>
      <c r="YA61" s="188"/>
      <c r="YB61" s="188"/>
      <c r="YC61" s="188"/>
      <c r="YD61" s="188"/>
      <c r="YE61" s="188"/>
      <c r="YF61" s="188"/>
      <c r="YG61" s="188"/>
      <c r="YH61" s="188"/>
      <c r="YI61" s="188"/>
      <c r="YJ61" s="188"/>
      <c r="YK61" s="188"/>
      <c r="YL61" s="188"/>
      <c r="YM61" s="188"/>
      <c r="YN61" s="188"/>
      <c r="YO61" s="188"/>
      <c r="YP61" s="188"/>
      <c r="YQ61" s="188"/>
      <c r="YR61" s="188"/>
      <c r="YS61" s="188"/>
      <c r="YT61" s="188"/>
      <c r="YU61" s="188"/>
      <c r="YV61" s="188"/>
      <c r="YW61" s="188"/>
      <c r="YX61" s="188"/>
      <c r="YY61" s="188"/>
      <c r="YZ61" s="188"/>
      <c r="ZA61" s="188"/>
      <c r="ZB61" s="188"/>
      <c r="ZC61" s="188"/>
      <c r="ZD61" s="188"/>
      <c r="ZE61" s="188"/>
      <c r="ZF61" s="188"/>
      <c r="ZG61" s="188"/>
      <c r="ZH61" s="188"/>
      <c r="ZI61" s="188"/>
      <c r="ZJ61" s="188"/>
      <c r="ZK61" s="188"/>
      <c r="ZL61" s="188"/>
      <c r="ZM61" s="188"/>
      <c r="ZN61" s="188"/>
      <c r="ZO61" s="188"/>
      <c r="ZP61" s="188"/>
      <c r="ZQ61" s="188"/>
      <c r="ZR61" s="188"/>
      <c r="ZS61" s="188"/>
      <c r="ZT61" s="188"/>
      <c r="ZU61" s="188"/>
      <c r="ZV61" s="188"/>
      <c r="ZW61" s="188"/>
      <c r="ZX61" s="188"/>
      <c r="ZY61" s="188"/>
      <c r="ZZ61" s="188"/>
      <c r="AAA61" s="188"/>
      <c r="AAB61" s="188"/>
      <c r="AAC61" s="188"/>
      <c r="AAD61" s="188"/>
      <c r="AAE61" s="188"/>
      <c r="AAF61" s="188"/>
      <c r="AAG61" s="188"/>
      <c r="AAH61" s="188"/>
      <c r="AAI61" s="188"/>
      <c r="AAJ61" s="188"/>
      <c r="AAK61" s="188"/>
      <c r="AAL61" s="188"/>
      <c r="AAM61" s="188"/>
      <c r="AAN61" s="188"/>
      <c r="AAO61" s="188"/>
      <c r="AAP61" s="188"/>
      <c r="AAQ61" s="188"/>
      <c r="AAR61" s="188"/>
      <c r="AAS61" s="188"/>
      <c r="AAT61" s="188"/>
      <c r="AAU61" s="188"/>
      <c r="AAV61" s="188"/>
      <c r="AAW61" s="188"/>
      <c r="AAX61" s="188"/>
      <c r="AAY61" s="188"/>
      <c r="AAZ61" s="188"/>
      <c r="ABA61" s="188"/>
      <c r="ABB61" s="188"/>
      <c r="ABC61" s="188"/>
      <c r="ABD61" s="188"/>
      <c r="ABE61" s="188"/>
      <c r="ABF61" s="188"/>
      <c r="ABG61" s="188"/>
      <c r="ABH61" s="188"/>
      <c r="ABI61" s="188"/>
      <c r="ABJ61" s="188"/>
      <c r="ABK61" s="188"/>
      <c r="ABL61" s="188"/>
      <c r="ABM61" s="188"/>
      <c r="ABN61" s="188"/>
      <c r="ABO61" s="188"/>
      <c r="ABP61" s="188"/>
      <c r="ABQ61" s="188"/>
      <c r="ABR61" s="188"/>
      <c r="ABS61" s="188"/>
      <c r="ABT61" s="188"/>
      <c r="ABU61" s="188"/>
      <c r="ABV61" s="188"/>
      <c r="ABW61" s="188"/>
      <c r="ABX61" s="188"/>
      <c r="ABY61" s="188"/>
      <c r="ABZ61" s="188"/>
      <c r="ACA61" s="188"/>
      <c r="ACB61" s="188"/>
      <c r="ACC61" s="188"/>
      <c r="ACD61" s="188"/>
      <c r="ACE61" s="188"/>
      <c r="ACF61" s="188"/>
      <c r="ACG61" s="188"/>
      <c r="ACH61" s="188"/>
      <c r="ACI61" s="188"/>
      <c r="ACJ61" s="188"/>
      <c r="ACK61" s="188"/>
      <c r="ACL61" s="188"/>
      <c r="ACM61" s="188"/>
      <c r="ACN61" s="188"/>
      <c r="ACO61" s="188"/>
      <c r="ACP61" s="188"/>
      <c r="ACQ61" s="188"/>
      <c r="ACR61" s="188"/>
      <c r="ACS61" s="188"/>
      <c r="ACT61" s="188"/>
      <c r="ACU61" s="188"/>
      <c r="ACV61" s="188"/>
      <c r="ACW61" s="188"/>
      <c r="ACX61" s="188"/>
      <c r="ACY61" s="188"/>
      <c r="ACZ61" s="188"/>
      <c r="ADA61" s="188"/>
      <c r="ADB61" s="188"/>
      <c r="ADC61" s="188"/>
      <c r="ADD61" s="188"/>
      <c r="ADE61" s="188"/>
      <c r="ADF61" s="188"/>
      <c r="ADG61" s="188"/>
      <c r="ADH61" s="188"/>
      <c r="ADI61" s="188"/>
      <c r="ADJ61" s="188"/>
      <c r="ADK61" s="188"/>
      <c r="ADL61" s="188"/>
      <c r="ADM61" s="188"/>
      <c r="ADN61" s="188"/>
      <c r="ADO61" s="188"/>
      <c r="ADP61" s="188"/>
      <c r="ADQ61" s="188"/>
      <c r="ADR61" s="188"/>
      <c r="ADS61" s="188"/>
      <c r="ADT61" s="188"/>
      <c r="ADU61" s="188"/>
      <c r="ADV61" s="188"/>
      <c r="ADW61" s="188"/>
      <c r="ADX61" s="188"/>
      <c r="ADY61" s="188"/>
      <c r="ADZ61" s="188"/>
      <c r="AEA61" s="188"/>
      <c r="AEB61" s="188"/>
      <c r="AEC61" s="188"/>
      <c r="AED61" s="188"/>
      <c r="AEE61" s="188"/>
      <c r="AEF61" s="188"/>
      <c r="AEG61" s="188"/>
      <c r="AEH61" s="188"/>
      <c r="AEI61" s="188"/>
      <c r="AEJ61" s="188"/>
      <c r="AEK61" s="188"/>
      <c r="AEL61" s="188"/>
      <c r="AEM61" s="188"/>
      <c r="AEN61" s="188"/>
      <c r="AEO61" s="188"/>
      <c r="AEP61" s="188"/>
      <c r="AEQ61" s="188"/>
      <c r="AER61" s="188"/>
      <c r="AES61" s="188"/>
      <c r="AET61" s="188"/>
      <c r="AEU61" s="188"/>
      <c r="AEV61" s="188"/>
      <c r="AEW61" s="188"/>
      <c r="AEX61" s="188"/>
      <c r="AEY61" s="188"/>
      <c r="AEZ61" s="188"/>
      <c r="AFA61" s="188"/>
      <c r="AFB61" s="188"/>
      <c r="AFC61" s="188"/>
      <c r="AFD61" s="188"/>
      <c r="AFE61" s="188"/>
      <c r="AFF61" s="188"/>
      <c r="AFG61" s="188"/>
      <c r="AFH61" s="188"/>
      <c r="AFI61" s="188"/>
      <c r="AFJ61" s="188"/>
      <c r="AFK61" s="188"/>
      <c r="AFL61" s="188"/>
      <c r="AFM61" s="188"/>
      <c r="AFN61" s="188"/>
      <c r="AFO61" s="188"/>
      <c r="AFP61" s="188"/>
      <c r="AFQ61" s="188"/>
      <c r="AFR61" s="188"/>
      <c r="AFS61" s="188"/>
      <c r="AFT61" s="188"/>
      <c r="AFU61" s="188"/>
      <c r="AFV61" s="188"/>
      <c r="AFW61" s="188"/>
      <c r="AFX61" s="188"/>
      <c r="AFY61" s="188"/>
      <c r="AFZ61" s="188"/>
      <c r="AGA61" s="188"/>
      <c r="AGB61" s="188"/>
      <c r="AGC61" s="188"/>
      <c r="AGD61" s="188"/>
      <c r="AGE61" s="188"/>
      <c r="AGF61" s="188"/>
      <c r="AGG61" s="188"/>
      <c r="AGH61" s="188"/>
      <c r="AGI61" s="188"/>
      <c r="AGJ61" s="188"/>
      <c r="AGK61" s="188"/>
      <c r="AGL61" s="188"/>
      <c r="AGM61" s="188"/>
      <c r="AGN61" s="188"/>
      <c r="AGO61" s="188"/>
      <c r="AGP61" s="188"/>
      <c r="AGQ61" s="188"/>
      <c r="AGR61" s="188"/>
      <c r="AGS61" s="188"/>
      <c r="AGT61" s="188"/>
      <c r="AGU61" s="188"/>
      <c r="AGV61" s="188"/>
      <c r="AGW61" s="188"/>
      <c r="AGX61" s="188"/>
      <c r="AGY61" s="188"/>
      <c r="AGZ61" s="188"/>
      <c r="AHA61" s="188"/>
      <c r="AHB61" s="188"/>
      <c r="AHC61" s="188"/>
      <c r="AHD61" s="188"/>
      <c r="AHE61" s="188"/>
      <c r="AHF61" s="188"/>
      <c r="AHG61" s="188"/>
      <c r="AHH61" s="188"/>
      <c r="AHI61" s="188"/>
      <c r="AHJ61" s="188"/>
      <c r="AHK61" s="188"/>
      <c r="AHL61" s="188"/>
      <c r="AHM61" s="188"/>
      <c r="AHN61" s="188"/>
      <c r="AHO61" s="188"/>
      <c r="AHP61" s="188"/>
      <c r="AHQ61" s="188"/>
      <c r="AHR61" s="188"/>
      <c r="AHS61" s="188"/>
      <c r="AHT61" s="188"/>
      <c r="AHU61" s="188"/>
      <c r="AHV61" s="188"/>
      <c r="AHW61" s="188"/>
      <c r="AHX61" s="188"/>
      <c r="AHY61" s="188"/>
      <c r="AHZ61" s="188"/>
      <c r="AIA61" s="188"/>
      <c r="AIB61" s="188"/>
      <c r="AIC61" s="188"/>
      <c r="AID61" s="188"/>
      <c r="AIE61" s="188"/>
      <c r="AIF61" s="188"/>
      <c r="AIG61" s="188"/>
      <c r="AIH61" s="188"/>
      <c r="AII61" s="188"/>
      <c r="AIJ61" s="188"/>
      <c r="AIK61" s="188"/>
      <c r="AIL61" s="188"/>
      <c r="AIM61" s="188"/>
      <c r="AIN61" s="188"/>
      <c r="AIO61" s="188"/>
      <c r="AIP61" s="188"/>
      <c r="AIQ61" s="188"/>
      <c r="AIR61" s="188"/>
      <c r="AIS61" s="188"/>
      <c r="AIT61" s="188"/>
      <c r="AIU61" s="188"/>
      <c r="AIV61" s="188"/>
      <c r="AIW61" s="188"/>
      <c r="AIX61" s="188"/>
      <c r="AIY61" s="188"/>
      <c r="AIZ61" s="188"/>
      <c r="AJA61" s="188"/>
      <c r="AJB61" s="188"/>
      <c r="AJC61" s="188"/>
      <c r="AJD61" s="188"/>
      <c r="AJE61" s="188"/>
      <c r="AJF61" s="188"/>
      <c r="AJG61" s="188"/>
      <c r="AJH61" s="188"/>
      <c r="AJI61" s="188"/>
      <c r="AJJ61" s="188"/>
      <c r="AJK61" s="188"/>
      <c r="AJL61" s="188"/>
      <c r="AJM61" s="188"/>
      <c r="AJN61" s="188"/>
      <c r="AJO61" s="188"/>
      <c r="AJP61" s="188"/>
      <c r="AJQ61" s="188"/>
      <c r="AJR61" s="188"/>
      <c r="AJS61" s="188"/>
      <c r="AJT61" s="188"/>
      <c r="AJU61" s="188"/>
      <c r="AJV61" s="188"/>
      <c r="AJW61" s="188"/>
      <c r="AJX61" s="188"/>
      <c r="AJY61" s="188"/>
      <c r="AJZ61" s="188"/>
      <c r="AKA61" s="188"/>
      <c r="AKB61" s="188"/>
      <c r="AKC61" s="188"/>
      <c r="AKD61" s="188"/>
      <c r="AKE61" s="188"/>
      <c r="AKF61" s="188"/>
      <c r="AKG61" s="188"/>
      <c r="AKH61" s="188"/>
      <c r="AKI61" s="188"/>
      <c r="AKJ61" s="188"/>
      <c r="AKK61" s="188"/>
      <c r="AKL61" s="188"/>
      <c r="AKM61" s="188"/>
      <c r="AKN61" s="188"/>
      <c r="AKO61" s="188"/>
      <c r="AKP61" s="188"/>
      <c r="AKQ61" s="188"/>
      <c r="AKR61" s="188"/>
      <c r="AKS61" s="188"/>
      <c r="AKT61" s="188"/>
      <c r="AKU61" s="188"/>
      <c r="AKV61" s="188"/>
      <c r="AKW61" s="188"/>
      <c r="AKX61" s="188"/>
      <c r="AKY61" s="188"/>
      <c r="AKZ61" s="188"/>
      <c r="ALA61" s="188"/>
      <c r="ALB61" s="188"/>
      <c r="ALC61" s="188"/>
      <c r="ALD61" s="188"/>
      <c r="ALE61" s="188"/>
      <c r="ALF61" s="188"/>
      <c r="ALG61" s="188"/>
      <c r="ALH61" s="188"/>
      <c r="ALI61" s="188"/>
      <c r="ALJ61" s="188"/>
      <c r="ALK61" s="188"/>
      <c r="ALL61" s="188"/>
      <c r="ALM61" s="188"/>
      <c r="ALN61" s="188"/>
      <c r="ALO61" s="188"/>
      <c r="ALP61" s="188"/>
      <c r="ALQ61" s="188"/>
      <c r="ALR61" s="188"/>
      <c r="ALS61" s="188"/>
      <c r="ALT61" s="188"/>
      <c r="ALU61" s="188"/>
      <c r="ALV61" s="188"/>
      <c r="ALW61" s="188"/>
      <c r="ALX61" s="188"/>
      <c r="ALY61" s="188"/>
      <c r="ALZ61" s="188"/>
      <c r="AMA61" s="188"/>
      <c r="AMB61" s="188"/>
      <c r="AMC61" s="188"/>
      <c r="AMD61" s="188"/>
      <c r="AME61" s="188"/>
      <c r="AMF61" s="188"/>
      <c r="AMG61" s="188"/>
      <c r="AMH61" s="188"/>
      <c r="AMI61" s="188"/>
      <c r="AMJ61" s="188"/>
      <c r="AMK61" s="188"/>
      <c r="AML61" s="188"/>
      <c r="AMM61" s="188"/>
      <c r="AMN61" s="188"/>
      <c r="AMO61" s="188"/>
      <c r="AMP61" s="188"/>
      <c r="AMQ61" s="188"/>
      <c r="AMR61" s="188"/>
      <c r="AMS61" s="188"/>
      <c r="AMT61" s="188"/>
      <c r="AMU61" s="188"/>
      <c r="AMV61" s="188"/>
      <c r="AMW61" s="188"/>
      <c r="AMX61" s="188"/>
      <c r="AMY61" s="188"/>
      <c r="AMZ61" s="188"/>
      <c r="ANA61" s="188"/>
      <c r="ANB61" s="188"/>
      <c r="ANC61" s="188"/>
      <c r="AND61" s="188"/>
      <c r="ANE61" s="188"/>
      <c r="ANF61" s="188"/>
      <c r="ANG61" s="188"/>
      <c r="ANH61" s="188"/>
      <c r="ANI61" s="188"/>
      <c r="ANJ61" s="188"/>
      <c r="ANK61" s="188"/>
      <c r="ANL61" s="188"/>
      <c r="ANM61" s="188"/>
      <c r="ANN61" s="188"/>
      <c r="ANO61" s="188"/>
      <c r="ANP61" s="188"/>
      <c r="ANQ61" s="188"/>
      <c r="ANR61" s="188"/>
      <c r="ANS61" s="188"/>
      <c r="ANT61" s="188"/>
      <c r="ANU61" s="188"/>
      <c r="ANV61" s="188"/>
      <c r="ANW61" s="188"/>
      <c r="ANX61" s="188"/>
      <c r="ANY61" s="188"/>
      <c r="ANZ61" s="188"/>
      <c r="AOA61" s="188"/>
      <c r="AOB61" s="188"/>
      <c r="AOC61" s="188"/>
      <c r="AOD61" s="188"/>
      <c r="AOE61" s="188"/>
      <c r="AOF61" s="188"/>
      <c r="AOG61" s="188"/>
      <c r="AOH61" s="188"/>
      <c r="AOI61" s="188"/>
      <c r="AOJ61" s="188"/>
      <c r="AOK61" s="188"/>
      <c r="AOL61" s="188"/>
      <c r="AOM61" s="188"/>
      <c r="AON61" s="188"/>
      <c r="AOO61" s="188"/>
      <c r="AOP61" s="188"/>
      <c r="AOQ61" s="188"/>
      <c r="AOR61" s="188"/>
      <c r="AOS61" s="188"/>
      <c r="AOT61" s="188"/>
      <c r="AOU61" s="188"/>
      <c r="AOV61" s="188"/>
      <c r="AOW61" s="188"/>
      <c r="AOX61" s="188"/>
      <c r="AOY61" s="188"/>
      <c r="AOZ61" s="188"/>
      <c r="APA61" s="188"/>
      <c r="APB61" s="188"/>
      <c r="APC61" s="188"/>
      <c r="APD61" s="188"/>
      <c r="APE61" s="188"/>
      <c r="APF61" s="188"/>
      <c r="APG61" s="188"/>
      <c r="APH61" s="188"/>
      <c r="API61" s="188"/>
      <c r="APJ61" s="188"/>
      <c r="APK61" s="188"/>
      <c r="APL61" s="188"/>
      <c r="APM61" s="188"/>
      <c r="APN61" s="188"/>
      <c r="APO61" s="188"/>
      <c r="APP61" s="188"/>
      <c r="APQ61" s="188"/>
      <c r="APR61" s="188"/>
      <c r="APS61" s="188"/>
      <c r="APT61" s="188"/>
      <c r="APU61" s="188"/>
      <c r="APV61" s="188"/>
      <c r="APW61" s="188"/>
      <c r="APX61" s="188"/>
      <c r="APY61" s="188"/>
      <c r="APZ61" s="188"/>
      <c r="AQA61" s="188"/>
      <c r="AQB61" s="188"/>
      <c r="AQC61" s="188"/>
      <c r="AQD61" s="188"/>
      <c r="AQE61" s="188"/>
      <c r="AQF61" s="188"/>
      <c r="AQG61" s="188"/>
      <c r="AQH61" s="188"/>
      <c r="AQI61" s="188"/>
      <c r="AQJ61" s="188"/>
      <c r="AQK61" s="188"/>
      <c r="AQL61" s="188"/>
      <c r="AQM61" s="188"/>
      <c r="AQN61" s="188"/>
      <c r="AQO61" s="188"/>
      <c r="AQP61" s="188"/>
      <c r="AQQ61" s="188"/>
      <c r="AQR61" s="188"/>
      <c r="AQS61" s="188"/>
      <c r="AQT61" s="188"/>
      <c r="AQU61" s="188"/>
      <c r="AQV61" s="188"/>
      <c r="AQW61" s="188"/>
      <c r="AQX61" s="188"/>
      <c r="AQY61" s="188"/>
      <c r="AQZ61" s="188"/>
      <c r="ARA61" s="188"/>
      <c r="ARB61" s="188"/>
      <c r="ARC61" s="188"/>
      <c r="ARD61" s="188"/>
      <c r="ARE61" s="188"/>
      <c r="ARF61" s="188"/>
      <c r="ARG61" s="188"/>
      <c r="ARH61" s="188"/>
      <c r="ARI61" s="188"/>
      <c r="ARJ61" s="188"/>
      <c r="ARK61" s="188"/>
      <c r="ARL61" s="188"/>
      <c r="ARM61" s="188"/>
      <c r="ARN61" s="188"/>
      <c r="ARO61" s="188"/>
      <c r="ARP61" s="188"/>
      <c r="ARQ61" s="188"/>
      <c r="ARR61" s="188"/>
      <c r="ARS61" s="188"/>
      <c r="ART61" s="188"/>
      <c r="ARU61" s="188"/>
      <c r="ARV61" s="188"/>
      <c r="ARW61" s="188"/>
      <c r="ARX61" s="188"/>
      <c r="ARY61" s="188"/>
      <c r="ARZ61" s="188"/>
      <c r="ASA61" s="188"/>
      <c r="ASB61" s="188"/>
      <c r="ASC61" s="188"/>
      <c r="ASD61" s="188"/>
      <c r="ASE61" s="188"/>
      <c r="ASF61" s="188"/>
      <c r="ASG61" s="188"/>
      <c r="ASH61" s="188"/>
      <c r="ASI61" s="188"/>
      <c r="ASJ61" s="188"/>
      <c r="ASK61" s="188"/>
      <c r="ASL61" s="188"/>
      <c r="ASM61" s="188"/>
      <c r="ASN61" s="188"/>
      <c r="ASO61" s="188"/>
      <c r="ASP61" s="188"/>
      <c r="ASQ61" s="188"/>
      <c r="ASR61" s="188"/>
      <c r="ASS61" s="188"/>
      <c r="AST61" s="188"/>
      <c r="ASU61" s="188"/>
      <c r="ASV61" s="188"/>
      <c r="ASW61" s="188"/>
      <c r="ASX61" s="188"/>
      <c r="ASY61" s="188"/>
      <c r="ASZ61" s="188"/>
      <c r="ATA61" s="188"/>
      <c r="ATB61" s="188"/>
      <c r="ATC61" s="188"/>
      <c r="ATD61" s="188"/>
      <c r="ATE61" s="188"/>
      <c r="ATF61" s="188"/>
      <c r="ATG61" s="188"/>
      <c r="ATH61" s="188"/>
      <c r="ATI61" s="188"/>
      <c r="ATJ61" s="188"/>
      <c r="ATK61" s="188"/>
      <c r="ATL61" s="188"/>
      <c r="ATM61" s="188"/>
      <c r="ATN61" s="188"/>
      <c r="ATO61" s="188"/>
      <c r="ATP61" s="188"/>
      <c r="ATQ61" s="188"/>
      <c r="ATR61" s="188"/>
      <c r="ATS61" s="188"/>
      <c r="ATT61" s="188"/>
      <c r="ATU61" s="188"/>
      <c r="ATV61" s="188"/>
      <c r="ATW61" s="188"/>
      <c r="ATX61" s="188"/>
      <c r="ATY61" s="188"/>
      <c r="ATZ61" s="188"/>
      <c r="AUA61" s="188"/>
      <c r="AUB61" s="188"/>
      <c r="AUC61" s="188"/>
      <c r="AUD61" s="188"/>
      <c r="AUE61" s="188"/>
      <c r="AUF61" s="188"/>
      <c r="AUG61" s="188"/>
      <c r="AUH61" s="188"/>
      <c r="AUI61" s="188"/>
      <c r="AUJ61" s="188"/>
      <c r="AUK61" s="188"/>
      <c r="AUL61" s="188"/>
      <c r="AUM61" s="188"/>
      <c r="AUN61" s="188"/>
      <c r="AUO61" s="188"/>
      <c r="AUP61" s="188"/>
      <c r="AUQ61" s="188"/>
      <c r="AUR61" s="188"/>
      <c r="AUS61" s="188"/>
      <c r="AUT61" s="188"/>
      <c r="AUU61" s="188"/>
      <c r="AUV61" s="188"/>
      <c r="AUW61" s="188"/>
      <c r="AUX61" s="188"/>
      <c r="AUY61" s="188"/>
      <c r="AUZ61" s="188"/>
      <c r="AVA61" s="188"/>
      <c r="AVB61" s="188"/>
      <c r="AVC61" s="188"/>
      <c r="AVD61" s="188"/>
      <c r="AVE61" s="188"/>
      <c r="AVF61" s="188"/>
      <c r="AVG61" s="188"/>
      <c r="AVH61" s="188"/>
      <c r="AVI61" s="188"/>
      <c r="AVJ61" s="188"/>
      <c r="AVK61" s="188"/>
      <c r="AVL61" s="188"/>
      <c r="AVM61" s="188"/>
      <c r="AVN61" s="188"/>
      <c r="AVO61" s="188"/>
      <c r="AVP61" s="188"/>
      <c r="AVQ61" s="188"/>
      <c r="AVR61" s="188"/>
      <c r="AVS61" s="188"/>
      <c r="AVT61" s="188"/>
      <c r="AVU61" s="188"/>
      <c r="AVV61" s="188"/>
      <c r="AVW61" s="188"/>
      <c r="AVX61" s="188"/>
      <c r="AVY61" s="188"/>
      <c r="AVZ61" s="188"/>
      <c r="AWA61" s="188"/>
      <c r="AWB61" s="188"/>
      <c r="AWC61" s="188"/>
      <c r="AWD61" s="188"/>
      <c r="AWE61" s="188"/>
      <c r="AWF61" s="188"/>
      <c r="AWG61" s="188"/>
      <c r="AWH61" s="188"/>
      <c r="AWI61" s="188"/>
      <c r="AWJ61" s="188"/>
      <c r="AWK61" s="188"/>
      <c r="AWL61" s="188"/>
      <c r="AWM61" s="188"/>
      <c r="AWN61" s="188"/>
      <c r="AWO61" s="188"/>
      <c r="AWP61" s="188"/>
      <c r="AWQ61" s="188"/>
      <c r="AWR61" s="188"/>
      <c r="AWS61" s="188"/>
      <c r="AWT61" s="188"/>
      <c r="AWU61" s="188"/>
      <c r="AWV61" s="188"/>
      <c r="AWW61" s="188"/>
      <c r="AWX61" s="188"/>
      <c r="AWY61" s="188"/>
      <c r="AWZ61" s="188"/>
      <c r="AXA61" s="188"/>
      <c r="AXB61" s="188"/>
      <c r="AXC61" s="188"/>
      <c r="AXD61" s="188"/>
      <c r="AXE61" s="188"/>
      <c r="AXF61" s="188"/>
      <c r="AXG61" s="188"/>
      <c r="AXH61" s="188"/>
      <c r="AXI61" s="188"/>
      <c r="AXJ61" s="188"/>
      <c r="AXK61" s="188"/>
      <c r="AXL61" s="188"/>
      <c r="AXM61" s="188"/>
      <c r="AXN61" s="188"/>
      <c r="AXO61" s="188"/>
      <c r="AXP61" s="188"/>
      <c r="AXQ61" s="188"/>
      <c r="AXR61" s="188"/>
      <c r="AXS61" s="188"/>
      <c r="AXT61" s="188"/>
      <c r="AXU61" s="188"/>
      <c r="AXV61" s="188"/>
      <c r="AXW61" s="188"/>
      <c r="AXX61" s="188"/>
      <c r="AXY61" s="188"/>
      <c r="AXZ61" s="188"/>
      <c r="AYA61" s="188"/>
      <c r="AYB61" s="188"/>
      <c r="AYC61" s="188"/>
      <c r="AYD61" s="188"/>
      <c r="AYE61" s="188"/>
      <c r="AYF61" s="188"/>
      <c r="AYG61" s="188"/>
      <c r="AYH61" s="188"/>
      <c r="AYI61" s="188"/>
      <c r="AYJ61" s="188"/>
      <c r="AYK61" s="188"/>
      <c r="AYL61" s="188"/>
      <c r="AYM61" s="188"/>
      <c r="AYN61" s="188"/>
      <c r="AYO61" s="188"/>
      <c r="AYP61" s="188"/>
      <c r="AYQ61" s="188"/>
      <c r="AYR61" s="188"/>
      <c r="AYS61" s="188"/>
      <c r="AYT61" s="188"/>
      <c r="AYU61" s="188"/>
      <c r="AYV61" s="188"/>
      <c r="AYW61" s="188"/>
      <c r="AYX61" s="188"/>
      <c r="AYY61" s="188"/>
      <c r="AYZ61" s="188"/>
      <c r="AZA61" s="188"/>
      <c r="AZB61" s="188"/>
      <c r="AZC61" s="188"/>
      <c r="AZD61" s="188"/>
      <c r="AZE61" s="188"/>
      <c r="AZF61" s="188"/>
      <c r="AZG61" s="188"/>
      <c r="AZH61" s="188"/>
      <c r="AZI61" s="188"/>
      <c r="AZJ61" s="188"/>
      <c r="AZK61" s="188"/>
      <c r="AZL61" s="188"/>
      <c r="AZM61" s="188"/>
      <c r="AZN61" s="188"/>
      <c r="AZO61" s="188"/>
      <c r="AZP61" s="188"/>
      <c r="AZQ61" s="188"/>
      <c r="AZR61" s="188"/>
      <c r="AZS61" s="188"/>
      <c r="AZT61" s="188"/>
      <c r="AZU61" s="188"/>
      <c r="AZV61" s="188"/>
      <c r="AZW61" s="188"/>
      <c r="AZX61" s="188"/>
      <c r="AZY61" s="188"/>
      <c r="AZZ61" s="188"/>
      <c r="BAA61" s="188"/>
      <c r="BAB61" s="188"/>
      <c r="BAC61" s="188"/>
      <c r="BAD61" s="188"/>
      <c r="BAE61" s="188"/>
      <c r="BAF61" s="188"/>
      <c r="BAG61" s="188"/>
      <c r="BAH61" s="188"/>
      <c r="BAI61" s="188"/>
      <c r="BAJ61" s="188"/>
      <c r="BAK61" s="188"/>
      <c r="BAL61" s="188"/>
      <c r="BAM61" s="188"/>
      <c r="BAN61" s="188"/>
      <c r="BAO61" s="188"/>
      <c r="BAP61" s="188"/>
      <c r="BAQ61" s="188"/>
      <c r="BAR61" s="188"/>
      <c r="BAS61" s="188"/>
      <c r="BAT61" s="188"/>
      <c r="BAU61" s="188"/>
      <c r="BAV61" s="188"/>
      <c r="BAW61" s="188"/>
      <c r="BAX61" s="188"/>
      <c r="BAY61" s="188"/>
      <c r="BAZ61" s="188"/>
      <c r="BBA61" s="188"/>
      <c r="BBB61" s="188"/>
      <c r="BBC61" s="188"/>
      <c r="BBD61" s="188"/>
      <c r="BBE61" s="188"/>
      <c r="BBF61" s="188"/>
      <c r="BBG61" s="188"/>
      <c r="BBH61" s="188"/>
      <c r="BBI61" s="188"/>
      <c r="BBJ61" s="188"/>
      <c r="BBK61" s="188"/>
      <c r="BBL61" s="188"/>
      <c r="BBM61" s="188"/>
      <c r="BBN61" s="188"/>
      <c r="BBO61" s="188"/>
      <c r="BBP61" s="188"/>
      <c r="BBQ61" s="188"/>
      <c r="BBR61" s="188"/>
      <c r="BBS61" s="188"/>
      <c r="BBT61" s="188"/>
      <c r="BBU61" s="188"/>
      <c r="BBV61" s="188"/>
      <c r="BBW61" s="188"/>
      <c r="BBX61" s="188"/>
      <c r="BBY61" s="188"/>
      <c r="BBZ61" s="188"/>
      <c r="BCA61" s="188"/>
      <c r="BCB61" s="188"/>
      <c r="BCC61" s="188"/>
      <c r="BCD61" s="188"/>
      <c r="BCE61" s="188"/>
      <c r="BCF61" s="188"/>
      <c r="BCG61" s="188"/>
      <c r="BCH61" s="188"/>
      <c r="BCI61" s="188"/>
      <c r="BCJ61" s="188"/>
      <c r="BCK61" s="188"/>
      <c r="BCL61" s="188"/>
      <c r="BCM61" s="188"/>
      <c r="BCN61" s="188"/>
      <c r="BCO61" s="188"/>
      <c r="BCP61" s="188"/>
      <c r="BCQ61" s="188"/>
      <c r="BCR61" s="188"/>
      <c r="BCS61" s="188"/>
      <c r="BCT61" s="188"/>
      <c r="BCU61" s="188"/>
      <c r="BCV61" s="188"/>
      <c r="BCW61" s="188"/>
      <c r="BCX61" s="188"/>
      <c r="BCY61" s="188"/>
      <c r="BCZ61" s="188"/>
      <c r="BDA61" s="188"/>
      <c r="BDB61" s="188"/>
      <c r="BDC61" s="188"/>
      <c r="BDD61" s="188"/>
      <c r="BDE61" s="188"/>
      <c r="BDF61" s="188"/>
      <c r="BDG61" s="188"/>
      <c r="BDH61" s="188"/>
      <c r="BDI61" s="188"/>
      <c r="BDJ61" s="188"/>
      <c r="BDK61" s="188"/>
      <c r="BDL61" s="188"/>
      <c r="BDM61" s="188"/>
      <c r="BDN61" s="188"/>
      <c r="BDO61" s="188"/>
      <c r="BDP61" s="188"/>
      <c r="BDQ61" s="188"/>
      <c r="BDR61" s="188"/>
      <c r="BDS61" s="188"/>
      <c r="BDT61" s="188"/>
      <c r="BDU61" s="188"/>
      <c r="BDV61" s="188"/>
      <c r="BDW61" s="188"/>
      <c r="BDX61" s="188"/>
      <c r="BDY61" s="188"/>
      <c r="BDZ61" s="188"/>
      <c r="BEA61" s="188"/>
      <c r="BEB61" s="188"/>
      <c r="BEC61" s="188"/>
      <c r="BED61" s="188"/>
      <c r="BEE61" s="188"/>
      <c r="BEF61" s="188"/>
      <c r="BEG61" s="188"/>
      <c r="BEH61" s="188"/>
      <c r="BEI61" s="188"/>
      <c r="BEJ61" s="188"/>
      <c r="BEK61" s="188"/>
      <c r="BEL61" s="188"/>
      <c r="BEM61" s="188"/>
      <c r="BEN61" s="188"/>
      <c r="BEO61" s="188"/>
      <c r="BEP61" s="188"/>
      <c r="BEQ61" s="188"/>
      <c r="BER61" s="188"/>
      <c r="BES61" s="188"/>
      <c r="BET61" s="188"/>
      <c r="BEU61" s="188"/>
      <c r="BEV61" s="188"/>
      <c r="BEW61" s="188"/>
      <c r="BEX61" s="188"/>
      <c r="BEY61" s="188"/>
      <c r="BEZ61" s="188"/>
      <c r="BFA61" s="188"/>
      <c r="BFB61" s="188"/>
      <c r="BFC61" s="188"/>
      <c r="BFD61" s="188"/>
      <c r="BFE61" s="188"/>
      <c r="BFF61" s="188"/>
      <c r="BFG61" s="188"/>
      <c r="BFH61" s="188"/>
      <c r="BFI61" s="188"/>
      <c r="BFJ61" s="188"/>
      <c r="BFK61" s="188"/>
      <c r="BFL61" s="188"/>
      <c r="BFM61" s="188"/>
      <c r="BFN61" s="188"/>
      <c r="BFO61" s="188"/>
      <c r="BFP61" s="188"/>
      <c r="BFQ61" s="188"/>
      <c r="BFR61" s="188"/>
      <c r="BFS61" s="188"/>
      <c r="BFT61" s="188"/>
      <c r="BFU61" s="188"/>
      <c r="BFV61" s="188"/>
      <c r="BFW61" s="188"/>
      <c r="BFX61" s="188"/>
      <c r="BFY61" s="188"/>
      <c r="BFZ61" s="188"/>
      <c r="BGA61" s="188"/>
      <c r="BGB61" s="188"/>
      <c r="BGC61" s="188"/>
      <c r="BGD61" s="188"/>
      <c r="BGE61" s="188"/>
      <c r="BGF61" s="188"/>
      <c r="BGG61" s="188"/>
      <c r="BGH61" s="188"/>
      <c r="BGI61" s="188"/>
      <c r="BGJ61" s="188"/>
      <c r="BGK61" s="188"/>
      <c r="BGL61" s="188"/>
      <c r="BGM61" s="188"/>
      <c r="BGN61" s="188"/>
      <c r="BGO61" s="188"/>
      <c r="BGP61" s="188"/>
      <c r="BGQ61" s="188"/>
      <c r="BGR61" s="188"/>
      <c r="BGS61" s="188"/>
      <c r="BGT61" s="188"/>
      <c r="BGU61" s="188"/>
      <c r="BGV61" s="188"/>
      <c r="BGW61" s="188"/>
      <c r="BGX61" s="188"/>
      <c r="BGY61" s="188"/>
      <c r="BGZ61" s="188"/>
      <c r="BHA61" s="188"/>
      <c r="BHB61" s="188"/>
      <c r="BHC61" s="188"/>
      <c r="BHD61" s="188"/>
      <c r="BHE61" s="188"/>
      <c r="BHF61" s="188"/>
      <c r="BHG61" s="188"/>
      <c r="BHH61" s="188"/>
      <c r="BHI61" s="188"/>
      <c r="BHJ61" s="188"/>
      <c r="BHK61" s="188"/>
      <c r="BHL61" s="188"/>
      <c r="BHM61" s="188"/>
      <c r="BHN61" s="188"/>
      <c r="BHO61" s="188"/>
      <c r="BHP61" s="188"/>
      <c r="BHQ61" s="188"/>
      <c r="BHR61" s="188"/>
      <c r="BHS61" s="188"/>
      <c r="BHT61" s="188"/>
      <c r="BHU61" s="188"/>
      <c r="BHV61" s="188"/>
      <c r="BHW61" s="188"/>
      <c r="BHX61" s="188"/>
      <c r="BHY61" s="188"/>
      <c r="BHZ61" s="188"/>
      <c r="BIA61" s="188"/>
      <c r="BIB61" s="188"/>
      <c r="BIC61" s="188"/>
      <c r="BID61" s="188"/>
      <c r="BIE61" s="188"/>
      <c r="BIF61" s="188"/>
      <c r="BIG61" s="188"/>
      <c r="BIH61" s="188"/>
      <c r="BII61" s="188"/>
      <c r="BIJ61" s="188"/>
      <c r="BIK61" s="188"/>
      <c r="BIL61" s="188"/>
      <c r="BIM61" s="188"/>
      <c r="BIN61" s="188"/>
      <c r="BIO61" s="188"/>
      <c r="BIP61" s="188"/>
      <c r="BIQ61" s="188"/>
      <c r="BIR61" s="188"/>
      <c r="BIS61" s="188"/>
      <c r="BIT61" s="188"/>
      <c r="BIU61" s="188"/>
      <c r="BIV61" s="188"/>
      <c r="BIW61" s="188"/>
      <c r="BIX61" s="188"/>
      <c r="BIY61" s="188"/>
      <c r="BIZ61" s="188"/>
      <c r="BJA61" s="188"/>
      <c r="BJB61" s="188"/>
      <c r="BJC61" s="188"/>
      <c r="BJD61" s="188"/>
      <c r="BJE61" s="188"/>
      <c r="BJF61" s="188"/>
      <c r="BJG61" s="188"/>
      <c r="BJH61" s="188"/>
      <c r="BJI61" s="188"/>
      <c r="BJJ61" s="188"/>
      <c r="BJK61" s="188"/>
      <c r="BJL61" s="188"/>
      <c r="BJM61" s="188"/>
      <c r="BJN61" s="188"/>
      <c r="BJO61" s="188"/>
      <c r="BJP61" s="188"/>
      <c r="BJQ61" s="188"/>
      <c r="BJR61" s="188"/>
      <c r="BJS61" s="188"/>
      <c r="BJT61" s="188"/>
      <c r="BJU61" s="188"/>
      <c r="BJV61" s="188"/>
      <c r="BJW61" s="188"/>
      <c r="BJX61" s="188"/>
      <c r="BJY61" s="188"/>
      <c r="BJZ61" s="188"/>
      <c r="BKA61" s="188"/>
      <c r="BKB61" s="188"/>
      <c r="BKC61" s="188"/>
      <c r="BKD61" s="188"/>
      <c r="BKE61" s="188"/>
      <c r="BKF61" s="188"/>
      <c r="BKG61" s="188"/>
      <c r="BKH61" s="188"/>
      <c r="BKI61" s="188"/>
      <c r="BKJ61" s="188"/>
      <c r="BKK61" s="188"/>
      <c r="BKL61" s="188"/>
      <c r="BKM61" s="188"/>
      <c r="BKN61" s="188"/>
    </row>
    <row r="62" spans="1:1652" s="21" customFormat="1" x14ac:dyDescent="0.3">
      <c r="A62" s="171"/>
      <c r="B62" s="189"/>
      <c r="C62" s="189"/>
      <c r="D62" s="189"/>
      <c r="E62" s="189"/>
      <c r="F62" s="189"/>
      <c r="G62" s="189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8"/>
      <c r="AE62" s="188"/>
      <c r="AF62" s="188"/>
      <c r="AG62" s="188"/>
      <c r="AH62" s="188"/>
      <c r="AI62" s="188"/>
      <c r="AJ62" s="188"/>
      <c r="AK62" s="188"/>
      <c r="AL62" s="188"/>
      <c r="AM62" s="188"/>
      <c r="AN62" s="188"/>
      <c r="AO62" s="188"/>
      <c r="AP62" s="188"/>
      <c r="AQ62" s="188"/>
      <c r="AR62" s="188"/>
      <c r="AS62" s="188"/>
      <c r="AT62" s="189"/>
      <c r="AU62" s="189"/>
      <c r="AV62" s="189"/>
      <c r="AW62" s="189"/>
      <c r="AX62" s="189"/>
      <c r="AY62" s="189"/>
      <c r="AZ62" s="189"/>
      <c r="BA62" s="189"/>
      <c r="BB62" s="189"/>
      <c r="BC62" s="189"/>
      <c r="BD62" s="189"/>
      <c r="BE62" s="188"/>
      <c r="BF62" s="188"/>
      <c r="BG62" s="188"/>
      <c r="BH62" s="188"/>
      <c r="BI62" s="188"/>
      <c r="BJ62" s="188"/>
      <c r="BK62" s="188"/>
      <c r="BL62" s="188"/>
      <c r="BM62" s="188"/>
      <c r="BN62" s="188"/>
      <c r="BO62" s="188"/>
      <c r="BP62" s="188"/>
      <c r="BQ62" s="188"/>
      <c r="BR62" s="188"/>
      <c r="BS62" s="188"/>
      <c r="BT62" s="188"/>
      <c r="BU62" s="188"/>
      <c r="BV62" s="188"/>
      <c r="BW62" s="188"/>
      <c r="BX62" s="188"/>
      <c r="BY62" s="188"/>
      <c r="BZ62" s="188"/>
      <c r="CA62" s="188"/>
      <c r="CB62" s="188"/>
      <c r="CC62" s="188"/>
      <c r="CD62" s="188"/>
      <c r="CE62" s="188"/>
      <c r="CF62" s="188"/>
      <c r="CG62" s="188"/>
      <c r="CH62" s="188"/>
      <c r="CI62" s="188"/>
      <c r="CJ62" s="188"/>
      <c r="CK62" s="188"/>
      <c r="CL62" s="188"/>
      <c r="CM62" s="188"/>
      <c r="CN62" s="188"/>
      <c r="CO62" s="188"/>
      <c r="CP62" s="188"/>
      <c r="CQ62" s="188"/>
      <c r="CR62" s="188"/>
      <c r="CS62" s="188"/>
      <c r="CT62" s="188"/>
      <c r="CU62" s="188"/>
      <c r="CV62" s="188"/>
      <c r="CW62" s="188"/>
      <c r="CX62" s="188"/>
      <c r="CY62" s="188"/>
      <c r="CZ62" s="188"/>
      <c r="DA62" s="188"/>
      <c r="DB62" s="188"/>
      <c r="DC62" s="188"/>
      <c r="DD62" s="188"/>
      <c r="DE62" s="188"/>
      <c r="DF62" s="188"/>
      <c r="DG62" s="188"/>
      <c r="DH62" s="188"/>
      <c r="DI62" s="188"/>
      <c r="DJ62" s="188"/>
      <c r="DK62" s="188"/>
      <c r="DL62" s="188"/>
      <c r="DM62" s="188"/>
      <c r="DN62" s="188"/>
      <c r="DO62" s="188"/>
      <c r="DP62" s="188"/>
      <c r="DQ62" s="188"/>
      <c r="DR62" s="188"/>
      <c r="DS62" s="188"/>
      <c r="DT62" s="188"/>
      <c r="DU62" s="188"/>
      <c r="DV62" s="188"/>
      <c r="DW62" s="188"/>
      <c r="DX62" s="188"/>
      <c r="DY62" s="188"/>
      <c r="DZ62" s="188"/>
      <c r="EA62" s="188"/>
      <c r="EB62" s="188"/>
      <c r="EC62" s="188"/>
      <c r="ED62" s="188"/>
      <c r="EE62" s="188"/>
      <c r="EF62" s="188"/>
      <c r="EG62" s="188"/>
      <c r="EH62" s="188"/>
      <c r="EI62" s="188"/>
      <c r="EJ62" s="188"/>
      <c r="EK62" s="188"/>
      <c r="EL62" s="188"/>
      <c r="EM62" s="188"/>
      <c r="EN62" s="188"/>
      <c r="EO62" s="188"/>
      <c r="EP62" s="188"/>
      <c r="EQ62" s="188"/>
      <c r="ER62" s="188"/>
      <c r="ES62" s="188"/>
      <c r="ET62" s="188"/>
      <c r="EU62" s="188"/>
      <c r="EV62" s="188"/>
      <c r="EW62" s="188"/>
      <c r="EX62" s="188"/>
      <c r="EY62" s="188"/>
      <c r="EZ62" s="188"/>
      <c r="FA62" s="188"/>
      <c r="FB62" s="188"/>
      <c r="FC62" s="188"/>
      <c r="FD62" s="188"/>
      <c r="FE62" s="188"/>
      <c r="FF62" s="188"/>
      <c r="FG62" s="188"/>
      <c r="FH62" s="188"/>
      <c r="FI62" s="188"/>
      <c r="FJ62" s="188"/>
      <c r="FK62" s="188"/>
      <c r="FL62" s="188"/>
      <c r="FM62" s="188"/>
      <c r="FN62" s="188"/>
      <c r="FO62" s="188"/>
      <c r="FP62" s="188"/>
      <c r="FQ62" s="188"/>
      <c r="FR62" s="188"/>
      <c r="FS62" s="188"/>
      <c r="FT62" s="188"/>
      <c r="FU62" s="188"/>
      <c r="FV62" s="188"/>
      <c r="FW62" s="188"/>
      <c r="FX62" s="188"/>
      <c r="FY62" s="188"/>
      <c r="FZ62" s="188"/>
      <c r="GA62" s="188"/>
      <c r="GB62" s="188"/>
      <c r="GC62" s="188"/>
      <c r="GD62" s="188"/>
      <c r="GE62" s="188"/>
      <c r="GF62" s="188"/>
      <c r="GG62" s="188"/>
      <c r="GH62" s="188"/>
      <c r="GI62" s="188"/>
      <c r="GJ62" s="188"/>
      <c r="GK62" s="188"/>
      <c r="GL62" s="188"/>
      <c r="GM62" s="188"/>
      <c r="GN62" s="188"/>
      <c r="GO62" s="188"/>
      <c r="GP62" s="188"/>
      <c r="GQ62" s="188"/>
      <c r="GR62" s="188"/>
      <c r="GS62" s="188"/>
      <c r="GT62" s="188"/>
      <c r="GU62" s="188"/>
      <c r="GV62" s="188"/>
      <c r="GW62" s="188"/>
      <c r="GX62" s="188"/>
      <c r="GY62" s="188"/>
      <c r="GZ62" s="188"/>
      <c r="HA62" s="188"/>
      <c r="HB62" s="188"/>
      <c r="HC62" s="188"/>
      <c r="HD62" s="188"/>
      <c r="HE62" s="188"/>
      <c r="HF62" s="188"/>
      <c r="HG62" s="188"/>
      <c r="HH62" s="188"/>
      <c r="HI62" s="188"/>
      <c r="HJ62" s="188"/>
      <c r="HK62" s="188"/>
      <c r="HL62" s="188"/>
      <c r="HM62" s="188"/>
      <c r="HN62" s="188"/>
      <c r="HO62" s="188"/>
      <c r="HP62" s="188"/>
      <c r="HQ62" s="188"/>
      <c r="HR62" s="188"/>
      <c r="HS62" s="188"/>
      <c r="HT62" s="188"/>
      <c r="HU62" s="188"/>
      <c r="HV62" s="188"/>
      <c r="HW62" s="188"/>
      <c r="HX62" s="188"/>
      <c r="HY62" s="188"/>
      <c r="HZ62" s="188"/>
      <c r="IA62" s="188"/>
      <c r="IB62" s="188"/>
      <c r="IC62" s="188"/>
      <c r="ID62" s="188"/>
      <c r="IE62" s="188"/>
      <c r="IF62" s="188"/>
      <c r="IG62" s="188"/>
      <c r="IH62" s="188"/>
      <c r="II62" s="188"/>
      <c r="IJ62" s="188"/>
      <c r="IK62" s="188"/>
      <c r="IL62" s="188"/>
      <c r="IM62" s="188"/>
      <c r="IN62" s="188"/>
      <c r="IO62" s="188"/>
      <c r="IP62" s="188"/>
      <c r="IQ62" s="188"/>
      <c r="IR62" s="188"/>
      <c r="IS62" s="188"/>
      <c r="IT62" s="188"/>
      <c r="IU62" s="188"/>
      <c r="IV62" s="188"/>
      <c r="IW62" s="188"/>
      <c r="IX62" s="188"/>
      <c r="IY62" s="188"/>
      <c r="IZ62" s="188"/>
      <c r="JA62" s="188"/>
      <c r="JB62" s="188"/>
      <c r="JC62" s="188"/>
      <c r="JD62" s="188"/>
      <c r="JE62" s="188"/>
      <c r="JF62" s="188"/>
      <c r="JG62" s="188"/>
      <c r="JH62" s="188"/>
      <c r="JI62" s="188"/>
      <c r="JJ62" s="188"/>
      <c r="JK62" s="188"/>
      <c r="JL62" s="188"/>
      <c r="JM62" s="188"/>
      <c r="JN62" s="188"/>
      <c r="JO62" s="188"/>
      <c r="JP62" s="188"/>
      <c r="JQ62" s="188"/>
      <c r="JR62" s="188"/>
      <c r="JS62" s="188"/>
      <c r="JT62" s="188"/>
      <c r="JU62" s="188"/>
      <c r="JV62" s="188"/>
      <c r="JW62" s="188"/>
      <c r="JX62" s="188"/>
      <c r="JY62" s="188"/>
      <c r="JZ62" s="188"/>
      <c r="KA62" s="188"/>
      <c r="KB62" s="188"/>
      <c r="KC62" s="188"/>
      <c r="KD62" s="188"/>
      <c r="KE62" s="188"/>
      <c r="KF62" s="188"/>
      <c r="KG62" s="188"/>
      <c r="KH62" s="188"/>
      <c r="KI62" s="188"/>
      <c r="KJ62" s="188"/>
      <c r="KK62" s="188"/>
      <c r="KL62" s="188"/>
      <c r="KM62" s="188"/>
      <c r="KN62" s="188"/>
      <c r="KO62" s="188"/>
      <c r="KP62" s="188"/>
      <c r="KQ62" s="188"/>
      <c r="KR62" s="188"/>
      <c r="KS62" s="188"/>
      <c r="KT62" s="188"/>
      <c r="KU62" s="188"/>
      <c r="KV62" s="188"/>
      <c r="KW62" s="188"/>
      <c r="KX62" s="188"/>
      <c r="KY62" s="188"/>
      <c r="KZ62" s="188"/>
      <c r="LA62" s="188"/>
      <c r="LB62" s="188"/>
      <c r="LC62" s="188"/>
      <c r="LD62" s="188"/>
      <c r="LE62" s="188"/>
      <c r="LF62" s="188"/>
      <c r="LG62" s="188"/>
      <c r="LH62" s="188"/>
      <c r="LI62" s="188"/>
      <c r="LJ62" s="188"/>
      <c r="LK62" s="188"/>
      <c r="LL62" s="188"/>
      <c r="LM62" s="188"/>
      <c r="LN62" s="188"/>
      <c r="LO62" s="188"/>
      <c r="LP62" s="188"/>
      <c r="LQ62" s="188"/>
      <c r="LR62" s="188"/>
      <c r="LS62" s="188"/>
      <c r="LT62" s="188"/>
      <c r="LU62" s="188"/>
      <c r="LV62" s="188"/>
      <c r="LW62" s="188"/>
      <c r="LX62" s="188"/>
      <c r="LY62" s="188"/>
      <c r="LZ62" s="188"/>
      <c r="MA62" s="188"/>
      <c r="MB62" s="188"/>
      <c r="MC62" s="188"/>
      <c r="MD62" s="188"/>
      <c r="ME62" s="188"/>
      <c r="MF62" s="188"/>
      <c r="MG62" s="188"/>
      <c r="MH62" s="188"/>
      <c r="MI62" s="188"/>
      <c r="MJ62" s="188"/>
      <c r="MK62" s="188"/>
      <c r="ML62" s="188"/>
      <c r="MM62" s="188"/>
      <c r="MN62" s="188"/>
      <c r="MO62" s="188"/>
      <c r="MP62" s="188"/>
      <c r="MQ62" s="188"/>
      <c r="MR62" s="188"/>
      <c r="MS62" s="188"/>
      <c r="MT62" s="188"/>
      <c r="MU62" s="188"/>
      <c r="MV62" s="188"/>
      <c r="MW62" s="188"/>
      <c r="MX62" s="188"/>
      <c r="MY62" s="188"/>
      <c r="MZ62" s="188"/>
      <c r="NA62" s="188"/>
      <c r="NB62" s="188"/>
      <c r="NC62" s="188"/>
      <c r="ND62" s="188"/>
      <c r="NE62" s="188"/>
      <c r="NF62" s="188"/>
      <c r="NG62" s="188"/>
      <c r="NH62" s="188"/>
      <c r="NI62" s="188"/>
      <c r="NJ62" s="188"/>
      <c r="NK62" s="188"/>
      <c r="NL62" s="188"/>
      <c r="NM62" s="188"/>
      <c r="NN62" s="188"/>
      <c r="NO62" s="188"/>
      <c r="NP62" s="188"/>
      <c r="NQ62" s="188"/>
      <c r="NR62" s="188"/>
      <c r="NS62" s="188"/>
      <c r="NT62" s="188"/>
      <c r="NU62" s="188"/>
      <c r="NV62" s="188"/>
      <c r="NW62" s="188"/>
      <c r="NX62" s="188"/>
      <c r="NY62" s="188"/>
      <c r="NZ62" s="188"/>
      <c r="OA62" s="188"/>
      <c r="OB62" s="188"/>
      <c r="OC62" s="188"/>
      <c r="OD62" s="188"/>
      <c r="OE62" s="188"/>
      <c r="OF62" s="188"/>
      <c r="OG62" s="188"/>
      <c r="OH62" s="188"/>
      <c r="OI62" s="188"/>
      <c r="OJ62" s="188"/>
      <c r="OK62" s="188"/>
      <c r="OL62" s="188"/>
      <c r="OM62" s="188"/>
      <c r="ON62" s="188"/>
      <c r="OO62" s="188"/>
      <c r="OP62" s="188"/>
      <c r="OQ62" s="188"/>
      <c r="OR62" s="188"/>
      <c r="OS62" s="188"/>
      <c r="OT62" s="188"/>
      <c r="OU62" s="188"/>
      <c r="OV62" s="188"/>
      <c r="OW62" s="188"/>
      <c r="OX62" s="188"/>
      <c r="OY62" s="188"/>
      <c r="OZ62" s="188"/>
      <c r="PA62" s="188"/>
      <c r="PB62" s="188"/>
      <c r="PC62" s="188"/>
      <c r="PD62" s="188"/>
      <c r="PE62" s="188"/>
      <c r="PF62" s="188"/>
      <c r="PG62" s="188"/>
      <c r="PH62" s="188"/>
      <c r="PI62" s="188"/>
      <c r="PJ62" s="188"/>
      <c r="PK62" s="188"/>
      <c r="PL62" s="188"/>
      <c r="PM62" s="188"/>
      <c r="PN62" s="188"/>
      <c r="PO62" s="188"/>
      <c r="PP62" s="188"/>
      <c r="PQ62" s="188"/>
      <c r="PR62" s="188"/>
      <c r="PS62" s="188"/>
      <c r="PT62" s="188"/>
      <c r="PU62" s="188"/>
      <c r="PV62" s="188"/>
      <c r="PW62" s="188"/>
      <c r="PX62" s="188"/>
      <c r="PY62" s="188"/>
      <c r="PZ62" s="188"/>
      <c r="QA62" s="188"/>
      <c r="QB62" s="188"/>
      <c r="QC62" s="188"/>
      <c r="QD62" s="188"/>
      <c r="QE62" s="188"/>
      <c r="QF62" s="188"/>
      <c r="QG62" s="188"/>
      <c r="QH62" s="188"/>
      <c r="QI62" s="188"/>
      <c r="QJ62" s="188"/>
      <c r="QK62" s="188"/>
      <c r="QL62" s="188"/>
      <c r="QM62" s="188"/>
      <c r="QN62" s="188"/>
      <c r="QO62" s="188"/>
      <c r="QP62" s="188"/>
      <c r="QQ62" s="188"/>
      <c r="QR62" s="188"/>
      <c r="QS62" s="188"/>
      <c r="QT62" s="188"/>
      <c r="QU62" s="188"/>
      <c r="QV62" s="188"/>
      <c r="QW62" s="188"/>
      <c r="QX62" s="188"/>
      <c r="QY62" s="188"/>
      <c r="QZ62" s="188"/>
      <c r="RA62" s="188"/>
      <c r="RB62" s="188"/>
      <c r="RC62" s="188"/>
      <c r="RD62" s="188"/>
      <c r="RE62" s="188"/>
      <c r="RF62" s="188"/>
      <c r="RG62" s="188"/>
      <c r="RH62" s="188"/>
      <c r="RI62" s="188"/>
      <c r="RJ62" s="188"/>
      <c r="RK62" s="188"/>
      <c r="RL62" s="188"/>
      <c r="RM62" s="188"/>
      <c r="RN62" s="188"/>
      <c r="RO62" s="188"/>
      <c r="RP62" s="188"/>
      <c r="RQ62" s="188"/>
      <c r="RR62" s="188"/>
      <c r="RS62" s="188"/>
      <c r="RT62" s="188"/>
      <c r="RU62" s="188"/>
      <c r="RV62" s="188"/>
      <c r="RW62" s="188"/>
      <c r="RX62" s="188"/>
      <c r="RY62" s="188"/>
      <c r="RZ62" s="188"/>
      <c r="SA62" s="188"/>
      <c r="SB62" s="188"/>
      <c r="SC62" s="188"/>
      <c r="SD62" s="188"/>
      <c r="SE62" s="188"/>
      <c r="SF62" s="188"/>
      <c r="SG62" s="188"/>
      <c r="SH62" s="188"/>
      <c r="SI62" s="188"/>
      <c r="SJ62" s="188"/>
      <c r="SK62" s="188"/>
      <c r="SL62" s="188"/>
      <c r="SM62" s="188"/>
      <c r="SN62" s="188"/>
      <c r="SO62" s="188"/>
      <c r="SP62" s="188"/>
      <c r="SQ62" s="188"/>
      <c r="SR62" s="188"/>
      <c r="SS62" s="188"/>
      <c r="ST62" s="188"/>
      <c r="SU62" s="188"/>
      <c r="SV62" s="188"/>
      <c r="SW62" s="188"/>
      <c r="SX62" s="188"/>
      <c r="SY62" s="188"/>
      <c r="SZ62" s="188"/>
      <c r="TA62" s="188"/>
      <c r="TB62" s="188"/>
      <c r="TC62" s="188"/>
      <c r="TD62" s="188"/>
      <c r="TE62" s="188"/>
      <c r="TF62" s="188"/>
      <c r="TG62" s="188"/>
      <c r="TH62" s="188"/>
      <c r="TI62" s="188"/>
      <c r="TJ62" s="188"/>
      <c r="TK62" s="188"/>
      <c r="TL62" s="188"/>
      <c r="TM62" s="188"/>
      <c r="TN62" s="188"/>
      <c r="TO62" s="188"/>
      <c r="TP62" s="188"/>
      <c r="TQ62" s="188"/>
      <c r="TR62" s="188"/>
      <c r="TS62" s="188"/>
      <c r="TT62" s="188"/>
      <c r="TU62" s="188"/>
      <c r="TV62" s="188"/>
      <c r="TW62" s="188"/>
      <c r="TX62" s="188"/>
      <c r="TY62" s="188"/>
      <c r="TZ62" s="188"/>
      <c r="UA62" s="188"/>
      <c r="UB62" s="188"/>
      <c r="UC62" s="188"/>
      <c r="UD62" s="188"/>
      <c r="UE62" s="188"/>
      <c r="UF62" s="188"/>
      <c r="UG62" s="188"/>
      <c r="UH62" s="188"/>
      <c r="UI62" s="188"/>
      <c r="UJ62" s="188"/>
      <c r="UK62" s="188"/>
      <c r="UL62" s="188"/>
      <c r="UM62" s="188"/>
      <c r="UN62" s="188"/>
      <c r="UO62" s="188"/>
      <c r="UP62" s="188"/>
      <c r="UQ62" s="188"/>
      <c r="UR62" s="188"/>
      <c r="US62" s="188"/>
      <c r="UT62" s="188"/>
      <c r="UU62" s="188"/>
      <c r="UV62" s="188"/>
      <c r="UW62" s="188"/>
      <c r="UX62" s="188"/>
      <c r="UY62" s="188"/>
      <c r="UZ62" s="188"/>
      <c r="VA62" s="188"/>
      <c r="VB62" s="188"/>
      <c r="VC62" s="188"/>
      <c r="VD62" s="188"/>
      <c r="VE62" s="188"/>
      <c r="VF62" s="188"/>
      <c r="VG62" s="188"/>
      <c r="VH62" s="188"/>
      <c r="VI62" s="188"/>
      <c r="VJ62" s="188"/>
      <c r="VK62" s="188"/>
      <c r="VL62" s="188"/>
      <c r="VM62" s="188"/>
      <c r="VN62" s="188"/>
      <c r="VO62" s="188"/>
      <c r="VP62" s="188"/>
      <c r="VQ62" s="188"/>
      <c r="VR62" s="188"/>
      <c r="VS62" s="188"/>
      <c r="VT62" s="188"/>
      <c r="VU62" s="188"/>
      <c r="VV62" s="188"/>
      <c r="VW62" s="188"/>
      <c r="VX62" s="188"/>
      <c r="VY62" s="188"/>
      <c r="VZ62" s="188"/>
      <c r="WA62" s="188"/>
      <c r="WB62" s="188"/>
      <c r="WC62" s="188"/>
      <c r="WD62" s="188"/>
      <c r="WE62" s="188"/>
      <c r="WF62" s="188"/>
      <c r="WG62" s="188"/>
      <c r="WH62" s="188"/>
      <c r="WI62" s="188"/>
      <c r="WJ62" s="188"/>
      <c r="WK62" s="188"/>
      <c r="WL62" s="188"/>
      <c r="WM62" s="188"/>
      <c r="WN62" s="188"/>
      <c r="WO62" s="188"/>
      <c r="WP62" s="188"/>
      <c r="WQ62" s="188"/>
      <c r="WR62" s="188"/>
      <c r="WS62" s="188"/>
      <c r="WT62" s="188"/>
      <c r="WU62" s="188"/>
      <c r="WV62" s="188"/>
      <c r="WW62" s="188"/>
      <c r="WX62" s="188"/>
      <c r="WY62" s="188"/>
      <c r="WZ62" s="188"/>
      <c r="XA62" s="188"/>
      <c r="XB62" s="188"/>
      <c r="XC62" s="188"/>
      <c r="XD62" s="188"/>
      <c r="XE62" s="188"/>
      <c r="XF62" s="188"/>
      <c r="XG62" s="188"/>
      <c r="XH62" s="188"/>
      <c r="XI62" s="188"/>
      <c r="XJ62" s="188"/>
      <c r="XK62" s="188"/>
      <c r="XL62" s="188"/>
      <c r="XM62" s="188"/>
      <c r="XN62" s="188"/>
      <c r="XO62" s="188"/>
      <c r="XP62" s="188"/>
      <c r="XQ62" s="188"/>
      <c r="XR62" s="188"/>
      <c r="XS62" s="188"/>
      <c r="XT62" s="188"/>
      <c r="XU62" s="188"/>
      <c r="XV62" s="188"/>
      <c r="XW62" s="188"/>
      <c r="XX62" s="188"/>
      <c r="XY62" s="188"/>
      <c r="XZ62" s="188"/>
      <c r="YA62" s="188"/>
      <c r="YB62" s="188"/>
      <c r="YC62" s="188"/>
      <c r="YD62" s="188"/>
      <c r="YE62" s="188"/>
      <c r="YF62" s="188"/>
      <c r="YG62" s="188"/>
      <c r="YH62" s="188"/>
      <c r="YI62" s="188"/>
      <c r="YJ62" s="188"/>
      <c r="YK62" s="188"/>
      <c r="YL62" s="188"/>
      <c r="YM62" s="188"/>
      <c r="YN62" s="188"/>
      <c r="YO62" s="188"/>
      <c r="YP62" s="188"/>
      <c r="YQ62" s="188"/>
      <c r="YR62" s="188"/>
      <c r="YS62" s="188"/>
      <c r="YT62" s="188"/>
      <c r="YU62" s="188"/>
      <c r="YV62" s="188"/>
      <c r="YW62" s="188"/>
      <c r="YX62" s="188"/>
      <c r="YY62" s="188"/>
      <c r="YZ62" s="188"/>
      <c r="ZA62" s="188"/>
      <c r="ZB62" s="188"/>
      <c r="ZC62" s="188"/>
      <c r="ZD62" s="188"/>
      <c r="ZE62" s="188"/>
      <c r="ZF62" s="188"/>
      <c r="ZG62" s="188"/>
      <c r="ZH62" s="188"/>
      <c r="ZI62" s="188"/>
      <c r="ZJ62" s="188"/>
      <c r="ZK62" s="188"/>
      <c r="ZL62" s="188"/>
      <c r="ZM62" s="188"/>
      <c r="ZN62" s="188"/>
      <c r="ZO62" s="188"/>
      <c r="ZP62" s="188"/>
      <c r="ZQ62" s="188"/>
      <c r="ZR62" s="188"/>
      <c r="ZS62" s="188"/>
      <c r="ZT62" s="188"/>
      <c r="ZU62" s="188"/>
      <c r="ZV62" s="188"/>
      <c r="ZW62" s="188"/>
      <c r="ZX62" s="188"/>
      <c r="ZY62" s="188"/>
      <c r="ZZ62" s="188"/>
      <c r="AAA62" s="188"/>
      <c r="AAB62" s="188"/>
      <c r="AAC62" s="188"/>
      <c r="AAD62" s="188"/>
      <c r="AAE62" s="188"/>
      <c r="AAF62" s="188"/>
      <c r="AAG62" s="188"/>
      <c r="AAH62" s="188"/>
      <c r="AAI62" s="188"/>
      <c r="AAJ62" s="188"/>
      <c r="AAK62" s="188"/>
      <c r="AAL62" s="188"/>
      <c r="AAM62" s="188"/>
      <c r="AAN62" s="188"/>
      <c r="AAO62" s="188"/>
      <c r="AAP62" s="188"/>
      <c r="AAQ62" s="188"/>
      <c r="AAR62" s="188"/>
      <c r="AAS62" s="188"/>
      <c r="AAT62" s="188"/>
      <c r="AAU62" s="188"/>
      <c r="AAV62" s="188"/>
      <c r="AAW62" s="188"/>
      <c r="AAX62" s="188"/>
      <c r="AAY62" s="188"/>
      <c r="AAZ62" s="188"/>
      <c r="ABA62" s="188"/>
      <c r="ABB62" s="188"/>
      <c r="ABC62" s="188"/>
      <c r="ABD62" s="188"/>
      <c r="ABE62" s="188"/>
      <c r="ABF62" s="188"/>
      <c r="ABG62" s="188"/>
      <c r="ABH62" s="188"/>
      <c r="ABI62" s="188"/>
      <c r="ABJ62" s="188"/>
      <c r="ABK62" s="188"/>
      <c r="ABL62" s="188"/>
      <c r="ABM62" s="188"/>
      <c r="ABN62" s="188"/>
      <c r="ABO62" s="188"/>
      <c r="ABP62" s="188"/>
      <c r="ABQ62" s="188"/>
      <c r="ABR62" s="188"/>
      <c r="ABS62" s="188"/>
      <c r="ABT62" s="188"/>
      <c r="ABU62" s="188"/>
      <c r="ABV62" s="188"/>
      <c r="ABW62" s="188"/>
      <c r="ABX62" s="188"/>
      <c r="ABY62" s="188"/>
      <c r="ABZ62" s="188"/>
      <c r="ACA62" s="188"/>
      <c r="ACB62" s="188"/>
      <c r="ACC62" s="188"/>
      <c r="ACD62" s="188"/>
      <c r="ACE62" s="188"/>
      <c r="ACF62" s="188"/>
      <c r="ACG62" s="188"/>
      <c r="ACH62" s="188"/>
      <c r="ACI62" s="188"/>
      <c r="ACJ62" s="188"/>
      <c r="ACK62" s="188"/>
      <c r="ACL62" s="188"/>
      <c r="ACM62" s="188"/>
      <c r="ACN62" s="188"/>
      <c r="ACO62" s="188"/>
      <c r="ACP62" s="188"/>
      <c r="ACQ62" s="188"/>
      <c r="ACR62" s="188"/>
      <c r="ACS62" s="188"/>
      <c r="ACT62" s="188"/>
      <c r="ACU62" s="188"/>
      <c r="ACV62" s="188"/>
      <c r="ACW62" s="188"/>
      <c r="ACX62" s="188"/>
      <c r="ACY62" s="188"/>
      <c r="ACZ62" s="188"/>
      <c r="ADA62" s="188"/>
      <c r="ADB62" s="188"/>
      <c r="ADC62" s="188"/>
      <c r="ADD62" s="188"/>
      <c r="ADE62" s="188"/>
      <c r="ADF62" s="188"/>
      <c r="ADG62" s="188"/>
      <c r="ADH62" s="188"/>
      <c r="ADI62" s="188"/>
      <c r="ADJ62" s="188"/>
      <c r="ADK62" s="188"/>
      <c r="ADL62" s="188"/>
      <c r="ADM62" s="188"/>
      <c r="ADN62" s="188"/>
      <c r="ADO62" s="188"/>
      <c r="ADP62" s="188"/>
      <c r="ADQ62" s="188"/>
      <c r="ADR62" s="188"/>
      <c r="ADS62" s="188"/>
      <c r="ADT62" s="188"/>
      <c r="ADU62" s="188"/>
      <c r="ADV62" s="188"/>
      <c r="ADW62" s="188"/>
      <c r="ADX62" s="188"/>
      <c r="ADY62" s="188"/>
      <c r="ADZ62" s="188"/>
      <c r="AEA62" s="188"/>
      <c r="AEB62" s="188"/>
      <c r="AEC62" s="188"/>
      <c r="AED62" s="188"/>
      <c r="AEE62" s="188"/>
      <c r="AEF62" s="188"/>
      <c r="AEG62" s="188"/>
      <c r="AEH62" s="188"/>
      <c r="AEI62" s="188"/>
      <c r="AEJ62" s="188"/>
      <c r="AEK62" s="188"/>
      <c r="AEL62" s="188"/>
      <c r="AEM62" s="188"/>
      <c r="AEN62" s="188"/>
      <c r="AEO62" s="188"/>
      <c r="AEP62" s="188"/>
      <c r="AEQ62" s="188"/>
      <c r="AER62" s="188"/>
      <c r="AES62" s="188"/>
      <c r="AET62" s="188"/>
      <c r="AEU62" s="188"/>
      <c r="AEV62" s="188"/>
      <c r="AEW62" s="188"/>
      <c r="AEX62" s="188"/>
      <c r="AEY62" s="188"/>
      <c r="AEZ62" s="188"/>
      <c r="AFA62" s="188"/>
      <c r="AFB62" s="188"/>
      <c r="AFC62" s="188"/>
      <c r="AFD62" s="188"/>
      <c r="AFE62" s="188"/>
      <c r="AFF62" s="188"/>
      <c r="AFG62" s="188"/>
      <c r="AFH62" s="188"/>
      <c r="AFI62" s="188"/>
      <c r="AFJ62" s="188"/>
      <c r="AFK62" s="188"/>
      <c r="AFL62" s="188"/>
      <c r="AFM62" s="188"/>
      <c r="AFN62" s="188"/>
      <c r="AFO62" s="188"/>
      <c r="AFP62" s="188"/>
      <c r="AFQ62" s="188"/>
      <c r="AFR62" s="188"/>
      <c r="AFS62" s="188"/>
      <c r="AFT62" s="188"/>
      <c r="AFU62" s="188"/>
      <c r="AFV62" s="188"/>
      <c r="AFW62" s="188"/>
      <c r="AFX62" s="188"/>
      <c r="AFY62" s="188"/>
      <c r="AFZ62" s="188"/>
      <c r="AGA62" s="188"/>
      <c r="AGB62" s="188"/>
      <c r="AGC62" s="188"/>
      <c r="AGD62" s="188"/>
      <c r="AGE62" s="188"/>
      <c r="AGF62" s="188"/>
      <c r="AGG62" s="188"/>
      <c r="AGH62" s="188"/>
      <c r="AGI62" s="188"/>
      <c r="AGJ62" s="188"/>
      <c r="AGK62" s="188"/>
      <c r="AGL62" s="188"/>
      <c r="AGM62" s="188"/>
      <c r="AGN62" s="188"/>
      <c r="AGO62" s="188"/>
      <c r="AGP62" s="188"/>
      <c r="AGQ62" s="188"/>
      <c r="AGR62" s="188"/>
      <c r="AGS62" s="188"/>
      <c r="AGT62" s="188"/>
      <c r="AGU62" s="188"/>
      <c r="AGV62" s="188"/>
      <c r="AGW62" s="188"/>
      <c r="AGX62" s="188"/>
      <c r="AGY62" s="188"/>
      <c r="AGZ62" s="188"/>
      <c r="AHA62" s="188"/>
      <c r="AHB62" s="188"/>
      <c r="AHC62" s="188"/>
      <c r="AHD62" s="188"/>
      <c r="AHE62" s="188"/>
      <c r="AHF62" s="188"/>
      <c r="AHG62" s="188"/>
      <c r="AHH62" s="188"/>
      <c r="AHI62" s="188"/>
      <c r="AHJ62" s="188"/>
      <c r="AHK62" s="188"/>
      <c r="AHL62" s="188"/>
      <c r="AHM62" s="188"/>
      <c r="AHN62" s="188"/>
      <c r="AHO62" s="188"/>
      <c r="AHP62" s="188"/>
      <c r="AHQ62" s="188"/>
      <c r="AHR62" s="188"/>
      <c r="AHS62" s="188"/>
      <c r="AHT62" s="188"/>
      <c r="AHU62" s="188"/>
      <c r="AHV62" s="188"/>
      <c r="AHW62" s="188"/>
      <c r="AHX62" s="188"/>
      <c r="AHY62" s="188"/>
      <c r="AHZ62" s="188"/>
      <c r="AIA62" s="188"/>
      <c r="AIB62" s="188"/>
      <c r="AIC62" s="188"/>
      <c r="AID62" s="188"/>
      <c r="AIE62" s="188"/>
      <c r="AIF62" s="188"/>
      <c r="AIG62" s="188"/>
      <c r="AIH62" s="188"/>
      <c r="AII62" s="188"/>
      <c r="AIJ62" s="188"/>
      <c r="AIK62" s="188"/>
      <c r="AIL62" s="188"/>
      <c r="AIM62" s="188"/>
      <c r="AIN62" s="188"/>
      <c r="AIO62" s="188"/>
      <c r="AIP62" s="188"/>
      <c r="AIQ62" s="188"/>
      <c r="AIR62" s="188"/>
      <c r="AIS62" s="188"/>
      <c r="AIT62" s="188"/>
      <c r="AIU62" s="188"/>
      <c r="AIV62" s="188"/>
      <c r="AIW62" s="188"/>
      <c r="AIX62" s="188"/>
      <c r="AIY62" s="188"/>
      <c r="AIZ62" s="188"/>
      <c r="AJA62" s="188"/>
      <c r="AJB62" s="188"/>
      <c r="AJC62" s="188"/>
      <c r="AJD62" s="188"/>
      <c r="AJE62" s="188"/>
      <c r="AJF62" s="188"/>
      <c r="AJG62" s="188"/>
      <c r="AJH62" s="188"/>
      <c r="AJI62" s="188"/>
      <c r="AJJ62" s="188"/>
      <c r="AJK62" s="188"/>
      <c r="AJL62" s="188"/>
      <c r="AJM62" s="188"/>
      <c r="AJN62" s="188"/>
      <c r="AJO62" s="188"/>
      <c r="AJP62" s="188"/>
      <c r="AJQ62" s="188"/>
      <c r="AJR62" s="188"/>
      <c r="AJS62" s="188"/>
      <c r="AJT62" s="188"/>
      <c r="AJU62" s="188"/>
      <c r="AJV62" s="188"/>
      <c r="AJW62" s="188"/>
      <c r="AJX62" s="188"/>
      <c r="AJY62" s="188"/>
      <c r="AJZ62" s="188"/>
      <c r="AKA62" s="188"/>
      <c r="AKB62" s="188"/>
      <c r="AKC62" s="188"/>
      <c r="AKD62" s="188"/>
      <c r="AKE62" s="188"/>
      <c r="AKF62" s="188"/>
      <c r="AKG62" s="188"/>
      <c r="AKH62" s="188"/>
      <c r="AKI62" s="188"/>
      <c r="AKJ62" s="188"/>
      <c r="AKK62" s="188"/>
      <c r="AKL62" s="188"/>
      <c r="AKM62" s="188"/>
      <c r="AKN62" s="188"/>
      <c r="AKO62" s="188"/>
      <c r="AKP62" s="188"/>
      <c r="AKQ62" s="188"/>
      <c r="AKR62" s="188"/>
      <c r="AKS62" s="188"/>
      <c r="AKT62" s="188"/>
      <c r="AKU62" s="188"/>
      <c r="AKV62" s="188"/>
      <c r="AKW62" s="188"/>
      <c r="AKX62" s="188"/>
      <c r="AKY62" s="188"/>
      <c r="AKZ62" s="188"/>
      <c r="ALA62" s="188"/>
      <c r="ALB62" s="188"/>
      <c r="ALC62" s="188"/>
      <c r="ALD62" s="188"/>
      <c r="ALE62" s="188"/>
      <c r="ALF62" s="188"/>
      <c r="ALG62" s="188"/>
      <c r="ALH62" s="188"/>
      <c r="ALI62" s="188"/>
      <c r="ALJ62" s="188"/>
      <c r="ALK62" s="188"/>
      <c r="ALL62" s="188"/>
      <c r="ALM62" s="188"/>
      <c r="ALN62" s="188"/>
      <c r="ALO62" s="188"/>
      <c r="ALP62" s="188"/>
      <c r="ALQ62" s="188"/>
      <c r="ALR62" s="188"/>
      <c r="ALS62" s="188"/>
      <c r="ALT62" s="188"/>
      <c r="ALU62" s="188"/>
      <c r="ALV62" s="188"/>
      <c r="ALW62" s="188"/>
      <c r="ALX62" s="188"/>
      <c r="ALY62" s="188"/>
      <c r="ALZ62" s="188"/>
      <c r="AMA62" s="188"/>
      <c r="AMB62" s="188"/>
      <c r="AMC62" s="188"/>
      <c r="AMD62" s="188"/>
      <c r="AME62" s="188"/>
      <c r="AMF62" s="188"/>
      <c r="AMG62" s="188"/>
      <c r="AMH62" s="188"/>
      <c r="AMI62" s="188"/>
      <c r="AMJ62" s="188"/>
      <c r="AMK62" s="188"/>
      <c r="AML62" s="188"/>
      <c r="AMM62" s="188"/>
      <c r="AMN62" s="188"/>
      <c r="AMO62" s="188"/>
      <c r="AMP62" s="188"/>
      <c r="AMQ62" s="188"/>
      <c r="AMR62" s="188"/>
      <c r="AMS62" s="188"/>
      <c r="AMT62" s="188"/>
      <c r="AMU62" s="188"/>
      <c r="AMV62" s="188"/>
      <c r="AMW62" s="188"/>
      <c r="AMX62" s="188"/>
      <c r="AMY62" s="188"/>
      <c r="AMZ62" s="188"/>
      <c r="ANA62" s="188"/>
      <c r="ANB62" s="188"/>
      <c r="ANC62" s="188"/>
      <c r="AND62" s="188"/>
      <c r="ANE62" s="188"/>
      <c r="ANF62" s="188"/>
      <c r="ANG62" s="188"/>
      <c r="ANH62" s="188"/>
      <c r="ANI62" s="188"/>
      <c r="ANJ62" s="188"/>
      <c r="ANK62" s="188"/>
      <c r="ANL62" s="188"/>
      <c r="ANM62" s="188"/>
      <c r="ANN62" s="188"/>
      <c r="ANO62" s="188"/>
      <c r="ANP62" s="188"/>
      <c r="ANQ62" s="188"/>
      <c r="ANR62" s="188"/>
      <c r="ANS62" s="188"/>
      <c r="ANT62" s="188"/>
      <c r="ANU62" s="188"/>
      <c r="ANV62" s="188"/>
      <c r="ANW62" s="188"/>
      <c r="ANX62" s="188"/>
      <c r="ANY62" s="188"/>
      <c r="ANZ62" s="188"/>
      <c r="AOA62" s="188"/>
      <c r="AOB62" s="188"/>
      <c r="AOC62" s="188"/>
      <c r="AOD62" s="188"/>
      <c r="AOE62" s="188"/>
      <c r="AOF62" s="188"/>
      <c r="AOG62" s="188"/>
      <c r="AOH62" s="188"/>
      <c r="AOI62" s="188"/>
      <c r="AOJ62" s="188"/>
      <c r="AOK62" s="188"/>
      <c r="AOL62" s="188"/>
      <c r="AOM62" s="188"/>
      <c r="AON62" s="188"/>
      <c r="AOO62" s="188"/>
      <c r="AOP62" s="188"/>
      <c r="AOQ62" s="188"/>
      <c r="AOR62" s="188"/>
      <c r="AOS62" s="188"/>
      <c r="AOT62" s="188"/>
      <c r="AOU62" s="188"/>
      <c r="AOV62" s="188"/>
      <c r="AOW62" s="188"/>
      <c r="AOX62" s="188"/>
      <c r="AOY62" s="188"/>
      <c r="AOZ62" s="188"/>
      <c r="APA62" s="188"/>
      <c r="APB62" s="188"/>
      <c r="APC62" s="188"/>
      <c r="APD62" s="188"/>
      <c r="APE62" s="188"/>
      <c r="APF62" s="188"/>
      <c r="APG62" s="188"/>
      <c r="APH62" s="188"/>
      <c r="API62" s="188"/>
      <c r="APJ62" s="188"/>
      <c r="APK62" s="188"/>
      <c r="APL62" s="188"/>
      <c r="APM62" s="188"/>
      <c r="APN62" s="188"/>
      <c r="APO62" s="188"/>
      <c r="APP62" s="188"/>
      <c r="APQ62" s="188"/>
      <c r="APR62" s="188"/>
      <c r="APS62" s="188"/>
      <c r="APT62" s="188"/>
      <c r="APU62" s="188"/>
      <c r="APV62" s="188"/>
      <c r="APW62" s="188"/>
      <c r="APX62" s="188"/>
      <c r="APY62" s="188"/>
      <c r="APZ62" s="188"/>
      <c r="AQA62" s="188"/>
      <c r="AQB62" s="188"/>
      <c r="AQC62" s="188"/>
      <c r="AQD62" s="188"/>
      <c r="AQE62" s="188"/>
      <c r="AQF62" s="188"/>
      <c r="AQG62" s="188"/>
      <c r="AQH62" s="188"/>
      <c r="AQI62" s="188"/>
      <c r="AQJ62" s="188"/>
      <c r="AQK62" s="188"/>
      <c r="AQL62" s="188"/>
      <c r="AQM62" s="188"/>
      <c r="AQN62" s="188"/>
      <c r="AQO62" s="188"/>
      <c r="AQP62" s="188"/>
      <c r="AQQ62" s="188"/>
      <c r="AQR62" s="188"/>
      <c r="AQS62" s="188"/>
      <c r="AQT62" s="188"/>
      <c r="AQU62" s="188"/>
      <c r="AQV62" s="188"/>
      <c r="AQW62" s="188"/>
      <c r="AQX62" s="188"/>
      <c r="AQY62" s="188"/>
      <c r="AQZ62" s="188"/>
      <c r="ARA62" s="188"/>
      <c r="ARB62" s="188"/>
      <c r="ARC62" s="188"/>
      <c r="ARD62" s="188"/>
      <c r="ARE62" s="188"/>
      <c r="ARF62" s="188"/>
      <c r="ARG62" s="188"/>
      <c r="ARH62" s="188"/>
      <c r="ARI62" s="188"/>
      <c r="ARJ62" s="188"/>
      <c r="ARK62" s="188"/>
      <c r="ARL62" s="188"/>
      <c r="ARM62" s="188"/>
      <c r="ARN62" s="188"/>
      <c r="ARO62" s="188"/>
      <c r="ARP62" s="188"/>
      <c r="ARQ62" s="188"/>
      <c r="ARR62" s="188"/>
      <c r="ARS62" s="188"/>
      <c r="ART62" s="188"/>
      <c r="ARU62" s="188"/>
      <c r="ARV62" s="188"/>
      <c r="ARW62" s="188"/>
      <c r="ARX62" s="188"/>
      <c r="ARY62" s="188"/>
      <c r="ARZ62" s="188"/>
      <c r="ASA62" s="188"/>
      <c r="ASB62" s="188"/>
      <c r="ASC62" s="188"/>
      <c r="ASD62" s="188"/>
      <c r="ASE62" s="188"/>
      <c r="ASF62" s="188"/>
      <c r="ASG62" s="188"/>
      <c r="ASH62" s="188"/>
      <c r="ASI62" s="188"/>
      <c r="ASJ62" s="188"/>
      <c r="ASK62" s="188"/>
      <c r="ASL62" s="188"/>
      <c r="ASM62" s="188"/>
      <c r="ASN62" s="188"/>
      <c r="ASO62" s="188"/>
      <c r="ASP62" s="188"/>
      <c r="ASQ62" s="188"/>
      <c r="ASR62" s="188"/>
      <c r="ASS62" s="188"/>
      <c r="AST62" s="188"/>
      <c r="ASU62" s="188"/>
      <c r="ASV62" s="188"/>
      <c r="ASW62" s="188"/>
      <c r="ASX62" s="188"/>
      <c r="ASY62" s="188"/>
      <c r="ASZ62" s="188"/>
      <c r="ATA62" s="188"/>
      <c r="ATB62" s="188"/>
      <c r="ATC62" s="188"/>
      <c r="ATD62" s="188"/>
      <c r="ATE62" s="188"/>
      <c r="ATF62" s="188"/>
      <c r="ATG62" s="188"/>
      <c r="ATH62" s="188"/>
      <c r="ATI62" s="188"/>
      <c r="ATJ62" s="188"/>
      <c r="ATK62" s="188"/>
      <c r="ATL62" s="188"/>
      <c r="ATM62" s="188"/>
      <c r="ATN62" s="188"/>
      <c r="ATO62" s="188"/>
      <c r="ATP62" s="188"/>
      <c r="ATQ62" s="188"/>
      <c r="ATR62" s="188"/>
      <c r="ATS62" s="188"/>
      <c r="ATT62" s="188"/>
      <c r="ATU62" s="188"/>
      <c r="ATV62" s="188"/>
      <c r="ATW62" s="188"/>
      <c r="ATX62" s="188"/>
      <c r="ATY62" s="188"/>
      <c r="ATZ62" s="188"/>
      <c r="AUA62" s="188"/>
      <c r="AUB62" s="188"/>
      <c r="AUC62" s="188"/>
      <c r="AUD62" s="188"/>
      <c r="AUE62" s="188"/>
      <c r="AUF62" s="188"/>
      <c r="AUG62" s="188"/>
      <c r="AUH62" s="188"/>
      <c r="AUI62" s="188"/>
      <c r="AUJ62" s="188"/>
      <c r="AUK62" s="188"/>
      <c r="AUL62" s="188"/>
      <c r="AUM62" s="188"/>
      <c r="AUN62" s="188"/>
      <c r="AUO62" s="188"/>
      <c r="AUP62" s="188"/>
      <c r="AUQ62" s="188"/>
      <c r="AUR62" s="188"/>
      <c r="AUS62" s="188"/>
      <c r="AUT62" s="188"/>
      <c r="AUU62" s="188"/>
      <c r="AUV62" s="188"/>
      <c r="AUW62" s="188"/>
      <c r="AUX62" s="188"/>
      <c r="AUY62" s="188"/>
      <c r="AUZ62" s="188"/>
      <c r="AVA62" s="188"/>
      <c r="AVB62" s="188"/>
      <c r="AVC62" s="188"/>
      <c r="AVD62" s="188"/>
      <c r="AVE62" s="188"/>
      <c r="AVF62" s="188"/>
      <c r="AVG62" s="188"/>
      <c r="AVH62" s="188"/>
      <c r="AVI62" s="188"/>
      <c r="AVJ62" s="188"/>
      <c r="AVK62" s="188"/>
      <c r="AVL62" s="188"/>
      <c r="AVM62" s="188"/>
      <c r="AVN62" s="188"/>
      <c r="AVO62" s="188"/>
      <c r="AVP62" s="188"/>
      <c r="AVQ62" s="188"/>
      <c r="AVR62" s="188"/>
      <c r="AVS62" s="188"/>
      <c r="AVT62" s="188"/>
      <c r="AVU62" s="188"/>
      <c r="AVV62" s="188"/>
      <c r="AVW62" s="188"/>
      <c r="AVX62" s="188"/>
      <c r="AVY62" s="188"/>
      <c r="AVZ62" s="188"/>
      <c r="AWA62" s="188"/>
      <c r="AWB62" s="188"/>
      <c r="AWC62" s="188"/>
      <c r="AWD62" s="188"/>
      <c r="AWE62" s="188"/>
      <c r="AWF62" s="188"/>
      <c r="AWG62" s="188"/>
      <c r="AWH62" s="188"/>
      <c r="AWI62" s="188"/>
      <c r="AWJ62" s="188"/>
      <c r="AWK62" s="188"/>
      <c r="AWL62" s="188"/>
      <c r="AWM62" s="188"/>
      <c r="AWN62" s="188"/>
      <c r="AWO62" s="188"/>
      <c r="AWP62" s="188"/>
      <c r="AWQ62" s="188"/>
      <c r="AWR62" s="188"/>
      <c r="AWS62" s="188"/>
      <c r="AWT62" s="188"/>
      <c r="AWU62" s="188"/>
      <c r="AWV62" s="188"/>
      <c r="AWW62" s="188"/>
      <c r="AWX62" s="188"/>
      <c r="AWY62" s="188"/>
      <c r="AWZ62" s="188"/>
      <c r="AXA62" s="188"/>
      <c r="AXB62" s="188"/>
      <c r="AXC62" s="188"/>
      <c r="AXD62" s="188"/>
      <c r="AXE62" s="188"/>
      <c r="AXF62" s="188"/>
      <c r="AXG62" s="188"/>
      <c r="AXH62" s="188"/>
      <c r="AXI62" s="188"/>
      <c r="AXJ62" s="188"/>
      <c r="AXK62" s="188"/>
      <c r="AXL62" s="188"/>
      <c r="AXM62" s="188"/>
      <c r="AXN62" s="188"/>
      <c r="AXO62" s="188"/>
      <c r="AXP62" s="188"/>
      <c r="AXQ62" s="188"/>
      <c r="AXR62" s="188"/>
      <c r="AXS62" s="188"/>
      <c r="AXT62" s="188"/>
      <c r="AXU62" s="188"/>
      <c r="AXV62" s="188"/>
      <c r="AXW62" s="188"/>
      <c r="AXX62" s="188"/>
      <c r="AXY62" s="188"/>
      <c r="AXZ62" s="188"/>
      <c r="AYA62" s="188"/>
      <c r="AYB62" s="188"/>
      <c r="AYC62" s="188"/>
      <c r="AYD62" s="188"/>
      <c r="AYE62" s="188"/>
      <c r="AYF62" s="188"/>
      <c r="AYG62" s="188"/>
      <c r="AYH62" s="188"/>
      <c r="AYI62" s="188"/>
      <c r="AYJ62" s="188"/>
      <c r="AYK62" s="188"/>
      <c r="AYL62" s="188"/>
      <c r="AYM62" s="188"/>
      <c r="AYN62" s="188"/>
      <c r="AYO62" s="188"/>
      <c r="AYP62" s="188"/>
      <c r="AYQ62" s="188"/>
      <c r="AYR62" s="188"/>
      <c r="AYS62" s="188"/>
      <c r="AYT62" s="188"/>
      <c r="AYU62" s="188"/>
      <c r="AYV62" s="188"/>
      <c r="AYW62" s="188"/>
      <c r="AYX62" s="188"/>
      <c r="AYY62" s="188"/>
      <c r="AYZ62" s="188"/>
      <c r="AZA62" s="188"/>
      <c r="AZB62" s="188"/>
      <c r="AZC62" s="188"/>
      <c r="AZD62" s="188"/>
      <c r="AZE62" s="188"/>
      <c r="AZF62" s="188"/>
      <c r="AZG62" s="188"/>
      <c r="AZH62" s="188"/>
      <c r="AZI62" s="188"/>
      <c r="AZJ62" s="188"/>
      <c r="AZK62" s="188"/>
      <c r="AZL62" s="188"/>
      <c r="AZM62" s="188"/>
      <c r="AZN62" s="188"/>
      <c r="AZO62" s="188"/>
      <c r="AZP62" s="188"/>
      <c r="AZQ62" s="188"/>
      <c r="AZR62" s="188"/>
      <c r="AZS62" s="188"/>
      <c r="AZT62" s="188"/>
      <c r="AZU62" s="188"/>
      <c r="AZV62" s="188"/>
      <c r="AZW62" s="188"/>
      <c r="AZX62" s="188"/>
      <c r="AZY62" s="188"/>
      <c r="AZZ62" s="188"/>
      <c r="BAA62" s="188"/>
      <c r="BAB62" s="188"/>
      <c r="BAC62" s="188"/>
      <c r="BAD62" s="188"/>
      <c r="BAE62" s="188"/>
      <c r="BAF62" s="188"/>
      <c r="BAG62" s="188"/>
      <c r="BAH62" s="188"/>
      <c r="BAI62" s="188"/>
      <c r="BAJ62" s="188"/>
      <c r="BAK62" s="188"/>
      <c r="BAL62" s="188"/>
      <c r="BAM62" s="188"/>
      <c r="BAN62" s="188"/>
      <c r="BAO62" s="188"/>
      <c r="BAP62" s="188"/>
      <c r="BAQ62" s="188"/>
      <c r="BAR62" s="188"/>
      <c r="BAS62" s="188"/>
      <c r="BAT62" s="188"/>
      <c r="BAU62" s="188"/>
      <c r="BAV62" s="188"/>
      <c r="BAW62" s="188"/>
      <c r="BAX62" s="188"/>
      <c r="BAY62" s="188"/>
      <c r="BAZ62" s="188"/>
      <c r="BBA62" s="188"/>
      <c r="BBB62" s="188"/>
      <c r="BBC62" s="188"/>
      <c r="BBD62" s="188"/>
      <c r="BBE62" s="188"/>
      <c r="BBF62" s="188"/>
      <c r="BBG62" s="188"/>
      <c r="BBH62" s="188"/>
      <c r="BBI62" s="188"/>
      <c r="BBJ62" s="188"/>
      <c r="BBK62" s="188"/>
      <c r="BBL62" s="188"/>
      <c r="BBM62" s="188"/>
      <c r="BBN62" s="188"/>
      <c r="BBO62" s="188"/>
      <c r="BBP62" s="188"/>
      <c r="BBQ62" s="188"/>
      <c r="BBR62" s="188"/>
      <c r="BBS62" s="188"/>
      <c r="BBT62" s="188"/>
      <c r="BBU62" s="188"/>
      <c r="BBV62" s="188"/>
      <c r="BBW62" s="188"/>
      <c r="BBX62" s="188"/>
      <c r="BBY62" s="188"/>
      <c r="BBZ62" s="188"/>
      <c r="BCA62" s="188"/>
      <c r="BCB62" s="188"/>
      <c r="BCC62" s="188"/>
      <c r="BCD62" s="188"/>
      <c r="BCE62" s="188"/>
      <c r="BCF62" s="188"/>
      <c r="BCG62" s="188"/>
      <c r="BCH62" s="188"/>
      <c r="BCI62" s="188"/>
      <c r="BCJ62" s="188"/>
      <c r="BCK62" s="188"/>
      <c r="BCL62" s="188"/>
      <c r="BCM62" s="188"/>
      <c r="BCN62" s="188"/>
      <c r="BCO62" s="188"/>
      <c r="BCP62" s="188"/>
      <c r="BCQ62" s="188"/>
      <c r="BCR62" s="188"/>
      <c r="BCS62" s="188"/>
      <c r="BCT62" s="188"/>
      <c r="BCU62" s="188"/>
      <c r="BCV62" s="188"/>
      <c r="BCW62" s="188"/>
      <c r="BCX62" s="188"/>
      <c r="BCY62" s="188"/>
      <c r="BCZ62" s="188"/>
      <c r="BDA62" s="188"/>
      <c r="BDB62" s="188"/>
      <c r="BDC62" s="188"/>
      <c r="BDD62" s="188"/>
      <c r="BDE62" s="188"/>
      <c r="BDF62" s="188"/>
      <c r="BDG62" s="188"/>
      <c r="BDH62" s="188"/>
      <c r="BDI62" s="188"/>
      <c r="BDJ62" s="188"/>
      <c r="BDK62" s="188"/>
      <c r="BDL62" s="188"/>
      <c r="BDM62" s="188"/>
      <c r="BDN62" s="188"/>
      <c r="BDO62" s="188"/>
      <c r="BDP62" s="188"/>
      <c r="BDQ62" s="188"/>
      <c r="BDR62" s="188"/>
      <c r="BDS62" s="188"/>
      <c r="BDT62" s="188"/>
      <c r="BDU62" s="188"/>
      <c r="BDV62" s="188"/>
      <c r="BDW62" s="188"/>
      <c r="BDX62" s="188"/>
      <c r="BDY62" s="188"/>
      <c r="BDZ62" s="188"/>
      <c r="BEA62" s="188"/>
      <c r="BEB62" s="188"/>
      <c r="BEC62" s="188"/>
      <c r="BED62" s="188"/>
      <c r="BEE62" s="188"/>
      <c r="BEF62" s="188"/>
      <c r="BEG62" s="188"/>
      <c r="BEH62" s="188"/>
      <c r="BEI62" s="188"/>
      <c r="BEJ62" s="188"/>
      <c r="BEK62" s="188"/>
      <c r="BEL62" s="188"/>
      <c r="BEM62" s="188"/>
      <c r="BEN62" s="188"/>
      <c r="BEO62" s="188"/>
      <c r="BEP62" s="188"/>
      <c r="BEQ62" s="188"/>
      <c r="BER62" s="188"/>
      <c r="BES62" s="188"/>
      <c r="BET62" s="188"/>
      <c r="BEU62" s="188"/>
      <c r="BEV62" s="188"/>
      <c r="BEW62" s="188"/>
      <c r="BEX62" s="188"/>
      <c r="BEY62" s="188"/>
      <c r="BEZ62" s="188"/>
      <c r="BFA62" s="188"/>
      <c r="BFB62" s="188"/>
      <c r="BFC62" s="188"/>
      <c r="BFD62" s="188"/>
      <c r="BFE62" s="188"/>
      <c r="BFF62" s="188"/>
      <c r="BFG62" s="188"/>
      <c r="BFH62" s="188"/>
      <c r="BFI62" s="188"/>
      <c r="BFJ62" s="188"/>
      <c r="BFK62" s="188"/>
      <c r="BFL62" s="188"/>
      <c r="BFM62" s="188"/>
      <c r="BFN62" s="188"/>
      <c r="BFO62" s="188"/>
      <c r="BFP62" s="188"/>
      <c r="BFQ62" s="188"/>
      <c r="BFR62" s="188"/>
      <c r="BFS62" s="188"/>
      <c r="BFT62" s="188"/>
      <c r="BFU62" s="188"/>
      <c r="BFV62" s="188"/>
      <c r="BFW62" s="188"/>
      <c r="BFX62" s="188"/>
      <c r="BFY62" s="188"/>
      <c r="BFZ62" s="188"/>
      <c r="BGA62" s="188"/>
      <c r="BGB62" s="188"/>
      <c r="BGC62" s="188"/>
      <c r="BGD62" s="188"/>
      <c r="BGE62" s="188"/>
      <c r="BGF62" s="188"/>
      <c r="BGG62" s="188"/>
      <c r="BGH62" s="188"/>
      <c r="BGI62" s="188"/>
      <c r="BGJ62" s="188"/>
      <c r="BGK62" s="188"/>
      <c r="BGL62" s="188"/>
      <c r="BGM62" s="188"/>
      <c r="BGN62" s="188"/>
      <c r="BGO62" s="188"/>
      <c r="BGP62" s="188"/>
      <c r="BGQ62" s="188"/>
      <c r="BGR62" s="188"/>
      <c r="BGS62" s="188"/>
      <c r="BGT62" s="188"/>
      <c r="BGU62" s="188"/>
      <c r="BGV62" s="188"/>
      <c r="BGW62" s="188"/>
      <c r="BGX62" s="188"/>
      <c r="BGY62" s="188"/>
      <c r="BGZ62" s="188"/>
      <c r="BHA62" s="188"/>
      <c r="BHB62" s="188"/>
      <c r="BHC62" s="188"/>
      <c r="BHD62" s="188"/>
      <c r="BHE62" s="188"/>
      <c r="BHF62" s="188"/>
      <c r="BHG62" s="188"/>
      <c r="BHH62" s="188"/>
      <c r="BHI62" s="188"/>
      <c r="BHJ62" s="188"/>
      <c r="BHK62" s="188"/>
      <c r="BHL62" s="188"/>
      <c r="BHM62" s="188"/>
      <c r="BHN62" s="188"/>
      <c r="BHO62" s="188"/>
      <c r="BHP62" s="188"/>
      <c r="BHQ62" s="188"/>
      <c r="BHR62" s="188"/>
      <c r="BHS62" s="188"/>
      <c r="BHT62" s="188"/>
      <c r="BHU62" s="188"/>
      <c r="BHV62" s="188"/>
      <c r="BHW62" s="188"/>
      <c r="BHX62" s="188"/>
      <c r="BHY62" s="188"/>
      <c r="BHZ62" s="188"/>
      <c r="BIA62" s="188"/>
      <c r="BIB62" s="188"/>
      <c r="BIC62" s="188"/>
      <c r="BID62" s="188"/>
      <c r="BIE62" s="188"/>
      <c r="BIF62" s="188"/>
      <c r="BIG62" s="188"/>
      <c r="BIH62" s="188"/>
      <c r="BII62" s="188"/>
      <c r="BIJ62" s="188"/>
      <c r="BIK62" s="188"/>
      <c r="BIL62" s="188"/>
      <c r="BIM62" s="188"/>
      <c r="BIN62" s="188"/>
      <c r="BIO62" s="188"/>
      <c r="BIP62" s="188"/>
      <c r="BIQ62" s="188"/>
      <c r="BIR62" s="188"/>
      <c r="BIS62" s="188"/>
      <c r="BIT62" s="188"/>
      <c r="BIU62" s="188"/>
      <c r="BIV62" s="188"/>
      <c r="BIW62" s="188"/>
      <c r="BIX62" s="188"/>
      <c r="BIY62" s="188"/>
      <c r="BIZ62" s="188"/>
      <c r="BJA62" s="188"/>
      <c r="BJB62" s="188"/>
      <c r="BJC62" s="188"/>
      <c r="BJD62" s="188"/>
      <c r="BJE62" s="188"/>
      <c r="BJF62" s="188"/>
      <c r="BJG62" s="188"/>
      <c r="BJH62" s="188"/>
      <c r="BJI62" s="188"/>
      <c r="BJJ62" s="188"/>
      <c r="BJK62" s="188"/>
      <c r="BJL62" s="188"/>
      <c r="BJM62" s="188"/>
      <c r="BJN62" s="188"/>
      <c r="BJO62" s="188"/>
      <c r="BJP62" s="188"/>
      <c r="BJQ62" s="188"/>
      <c r="BJR62" s="188"/>
      <c r="BJS62" s="188"/>
      <c r="BJT62" s="188"/>
      <c r="BJU62" s="188"/>
      <c r="BJV62" s="188"/>
      <c r="BJW62" s="188"/>
      <c r="BJX62" s="188"/>
      <c r="BJY62" s="188"/>
      <c r="BJZ62" s="188"/>
      <c r="BKA62" s="188"/>
      <c r="BKB62" s="188"/>
      <c r="BKC62" s="188"/>
      <c r="BKD62" s="188"/>
      <c r="BKE62" s="188"/>
      <c r="BKF62" s="188"/>
      <c r="BKG62" s="188"/>
      <c r="BKH62" s="188"/>
      <c r="BKI62" s="188"/>
      <c r="BKJ62" s="188"/>
      <c r="BKK62" s="188"/>
      <c r="BKL62" s="188"/>
      <c r="BKM62" s="188"/>
      <c r="BKN62" s="188"/>
    </row>
    <row r="63" spans="1:1652" s="21" customFormat="1" x14ac:dyDescent="0.3">
      <c r="A63" s="171"/>
      <c r="B63" s="189"/>
      <c r="C63" s="189"/>
      <c r="D63" s="189"/>
      <c r="E63" s="189"/>
      <c r="F63" s="189"/>
      <c r="G63" s="189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8"/>
      <c r="AE63" s="188"/>
      <c r="AF63" s="188"/>
      <c r="AG63" s="188"/>
      <c r="AH63" s="188"/>
      <c r="AI63" s="188"/>
      <c r="AJ63" s="188"/>
      <c r="AK63" s="188"/>
      <c r="AL63" s="188"/>
      <c r="AM63" s="188"/>
      <c r="AN63" s="188"/>
      <c r="AO63" s="188"/>
      <c r="AP63" s="188"/>
      <c r="AQ63" s="188"/>
      <c r="AR63" s="188"/>
      <c r="AS63" s="188"/>
      <c r="AT63" s="189"/>
      <c r="AU63" s="189"/>
      <c r="AV63" s="189"/>
      <c r="AW63" s="189"/>
      <c r="AX63" s="189"/>
      <c r="AY63" s="189"/>
      <c r="AZ63" s="189"/>
      <c r="BA63" s="189"/>
      <c r="BB63" s="189"/>
      <c r="BC63" s="189"/>
      <c r="BD63" s="189"/>
      <c r="BE63" s="188"/>
      <c r="BF63" s="188"/>
      <c r="BG63" s="188"/>
      <c r="BH63" s="188"/>
      <c r="BI63" s="188"/>
      <c r="BJ63" s="188"/>
      <c r="BK63" s="188"/>
      <c r="BL63" s="188"/>
      <c r="BM63" s="188"/>
      <c r="BN63" s="188"/>
      <c r="BO63" s="188"/>
      <c r="BP63" s="188"/>
      <c r="BQ63" s="188"/>
      <c r="BR63" s="188"/>
      <c r="BS63" s="188"/>
      <c r="BT63" s="188"/>
      <c r="BU63" s="188"/>
      <c r="BV63" s="188"/>
      <c r="BW63" s="188"/>
      <c r="BX63" s="188"/>
      <c r="BY63" s="188"/>
      <c r="BZ63" s="188"/>
      <c r="CA63" s="188"/>
      <c r="CB63" s="188"/>
      <c r="CC63" s="188"/>
      <c r="CD63" s="188"/>
      <c r="CE63" s="188"/>
      <c r="CF63" s="188"/>
      <c r="CG63" s="188"/>
      <c r="CH63" s="188"/>
      <c r="CI63" s="188"/>
      <c r="CJ63" s="188"/>
      <c r="CK63" s="188"/>
      <c r="CL63" s="188"/>
      <c r="CM63" s="188"/>
      <c r="CN63" s="188"/>
      <c r="CO63" s="188"/>
      <c r="CP63" s="188"/>
      <c r="CQ63" s="188"/>
      <c r="CR63" s="188"/>
      <c r="CS63" s="188"/>
      <c r="CT63" s="188"/>
      <c r="CU63" s="188"/>
      <c r="CV63" s="188"/>
      <c r="CW63" s="188"/>
      <c r="CX63" s="188"/>
      <c r="CY63" s="188"/>
      <c r="CZ63" s="188"/>
      <c r="DA63" s="188"/>
      <c r="DB63" s="188"/>
      <c r="DC63" s="188"/>
      <c r="DD63" s="188"/>
      <c r="DE63" s="188"/>
      <c r="DF63" s="188"/>
      <c r="DG63" s="188"/>
      <c r="DH63" s="188"/>
      <c r="DI63" s="188"/>
      <c r="DJ63" s="188"/>
      <c r="DK63" s="188"/>
      <c r="DL63" s="188"/>
      <c r="DM63" s="188"/>
      <c r="DN63" s="188"/>
      <c r="DO63" s="188"/>
      <c r="DP63" s="188"/>
      <c r="DQ63" s="188"/>
      <c r="DR63" s="188"/>
      <c r="DS63" s="188"/>
      <c r="DT63" s="188"/>
      <c r="DU63" s="188"/>
      <c r="DV63" s="188"/>
      <c r="DW63" s="188"/>
      <c r="DX63" s="188"/>
      <c r="DY63" s="188"/>
      <c r="DZ63" s="188"/>
      <c r="EA63" s="188"/>
      <c r="EB63" s="188"/>
      <c r="EC63" s="188"/>
      <c r="ED63" s="188"/>
      <c r="EE63" s="188"/>
      <c r="EF63" s="188"/>
      <c r="EG63" s="188"/>
      <c r="EH63" s="188"/>
      <c r="EI63" s="188"/>
      <c r="EJ63" s="188"/>
      <c r="EK63" s="188"/>
      <c r="EL63" s="188"/>
      <c r="EM63" s="188"/>
      <c r="EN63" s="188"/>
      <c r="EO63" s="188"/>
      <c r="EP63" s="188"/>
      <c r="EQ63" s="188"/>
      <c r="ER63" s="188"/>
      <c r="ES63" s="188"/>
      <c r="ET63" s="188"/>
      <c r="EU63" s="188"/>
      <c r="EV63" s="188"/>
      <c r="EW63" s="188"/>
      <c r="EX63" s="188"/>
      <c r="EY63" s="188"/>
      <c r="EZ63" s="188"/>
      <c r="FA63" s="188"/>
      <c r="FB63" s="188"/>
      <c r="FC63" s="188"/>
      <c r="FD63" s="188"/>
      <c r="FE63" s="188"/>
      <c r="FF63" s="188"/>
      <c r="FG63" s="188"/>
      <c r="FH63" s="188"/>
      <c r="FI63" s="188"/>
      <c r="FJ63" s="188"/>
      <c r="FK63" s="188"/>
      <c r="FL63" s="188"/>
      <c r="FM63" s="188"/>
      <c r="FN63" s="188"/>
      <c r="FO63" s="188"/>
      <c r="FP63" s="188"/>
      <c r="FQ63" s="188"/>
      <c r="FR63" s="188"/>
      <c r="FS63" s="188"/>
      <c r="FT63" s="188"/>
      <c r="FU63" s="188"/>
      <c r="FV63" s="188"/>
      <c r="FW63" s="188"/>
      <c r="FX63" s="188"/>
      <c r="FY63" s="188"/>
      <c r="FZ63" s="188"/>
      <c r="GA63" s="188"/>
      <c r="GB63" s="188"/>
      <c r="GC63" s="188"/>
      <c r="GD63" s="188"/>
      <c r="GE63" s="188"/>
      <c r="GF63" s="188"/>
      <c r="GG63" s="188"/>
      <c r="GH63" s="188"/>
      <c r="GI63" s="188"/>
      <c r="GJ63" s="188"/>
      <c r="GK63" s="188"/>
      <c r="GL63" s="188"/>
      <c r="GM63" s="188"/>
      <c r="GN63" s="188"/>
      <c r="GO63" s="188"/>
      <c r="GP63" s="188"/>
      <c r="GQ63" s="188"/>
      <c r="GR63" s="188"/>
      <c r="GS63" s="188"/>
      <c r="GT63" s="188"/>
      <c r="GU63" s="188"/>
      <c r="GV63" s="188"/>
      <c r="GW63" s="188"/>
      <c r="GX63" s="188"/>
      <c r="GY63" s="188"/>
      <c r="GZ63" s="188"/>
      <c r="HA63" s="188"/>
      <c r="HB63" s="188"/>
      <c r="HC63" s="188"/>
      <c r="HD63" s="188"/>
      <c r="HE63" s="188"/>
      <c r="HF63" s="188"/>
      <c r="HG63" s="188"/>
      <c r="HH63" s="188"/>
      <c r="HI63" s="188"/>
      <c r="HJ63" s="188"/>
      <c r="HK63" s="188"/>
      <c r="HL63" s="188"/>
      <c r="HM63" s="188"/>
      <c r="HN63" s="188"/>
      <c r="HO63" s="188"/>
      <c r="HP63" s="188"/>
      <c r="HQ63" s="188"/>
      <c r="HR63" s="188"/>
      <c r="HS63" s="188"/>
      <c r="HT63" s="188"/>
      <c r="HU63" s="188"/>
      <c r="HV63" s="188"/>
      <c r="HW63" s="188"/>
      <c r="HX63" s="188"/>
      <c r="HY63" s="188"/>
      <c r="HZ63" s="188"/>
      <c r="IA63" s="188"/>
      <c r="IB63" s="188"/>
      <c r="IC63" s="188"/>
      <c r="ID63" s="188"/>
      <c r="IE63" s="188"/>
      <c r="IF63" s="188"/>
      <c r="IG63" s="188"/>
      <c r="IH63" s="188"/>
      <c r="II63" s="188"/>
      <c r="IJ63" s="188"/>
      <c r="IK63" s="188"/>
      <c r="IL63" s="188"/>
      <c r="IM63" s="188"/>
      <c r="IN63" s="188"/>
      <c r="IO63" s="188"/>
      <c r="IP63" s="188"/>
      <c r="IQ63" s="188"/>
      <c r="IR63" s="188"/>
      <c r="IS63" s="188"/>
      <c r="IT63" s="188"/>
      <c r="IU63" s="188"/>
      <c r="IV63" s="188"/>
      <c r="IW63" s="188"/>
      <c r="IX63" s="188"/>
      <c r="IY63" s="188"/>
      <c r="IZ63" s="188"/>
      <c r="JA63" s="188"/>
      <c r="JB63" s="188"/>
      <c r="JC63" s="188"/>
      <c r="JD63" s="188"/>
      <c r="JE63" s="188"/>
      <c r="JF63" s="188"/>
      <c r="JG63" s="188"/>
      <c r="JH63" s="188"/>
      <c r="JI63" s="188"/>
      <c r="JJ63" s="188"/>
      <c r="JK63" s="188"/>
      <c r="JL63" s="188"/>
      <c r="JM63" s="188"/>
      <c r="JN63" s="188"/>
      <c r="JO63" s="188"/>
      <c r="JP63" s="188"/>
      <c r="JQ63" s="188"/>
      <c r="JR63" s="188"/>
      <c r="JS63" s="188"/>
      <c r="JT63" s="188"/>
      <c r="JU63" s="188"/>
      <c r="JV63" s="188"/>
      <c r="JW63" s="188"/>
      <c r="JX63" s="188"/>
      <c r="JY63" s="188"/>
      <c r="JZ63" s="188"/>
      <c r="KA63" s="188"/>
      <c r="KB63" s="188"/>
      <c r="KC63" s="188"/>
      <c r="KD63" s="188"/>
      <c r="KE63" s="188"/>
      <c r="KF63" s="188"/>
      <c r="KG63" s="188"/>
      <c r="KH63" s="188"/>
      <c r="KI63" s="188"/>
      <c r="KJ63" s="188"/>
      <c r="KK63" s="188"/>
      <c r="KL63" s="188"/>
      <c r="KM63" s="188"/>
      <c r="KN63" s="188"/>
      <c r="KO63" s="188"/>
      <c r="KP63" s="188"/>
      <c r="KQ63" s="188"/>
      <c r="KR63" s="188"/>
      <c r="KS63" s="188"/>
      <c r="KT63" s="188"/>
      <c r="KU63" s="188"/>
      <c r="KV63" s="188"/>
      <c r="KW63" s="188"/>
      <c r="KX63" s="188"/>
      <c r="KY63" s="188"/>
      <c r="KZ63" s="188"/>
      <c r="LA63" s="188"/>
      <c r="LB63" s="188"/>
      <c r="LC63" s="188"/>
      <c r="LD63" s="188"/>
      <c r="LE63" s="188"/>
      <c r="LF63" s="188"/>
      <c r="LG63" s="188"/>
      <c r="LH63" s="188"/>
      <c r="LI63" s="188"/>
      <c r="LJ63" s="188"/>
      <c r="LK63" s="188"/>
      <c r="LL63" s="188"/>
      <c r="LM63" s="188"/>
      <c r="LN63" s="188"/>
      <c r="LO63" s="188"/>
      <c r="LP63" s="188"/>
      <c r="LQ63" s="188"/>
      <c r="LR63" s="188"/>
      <c r="LS63" s="188"/>
      <c r="LT63" s="188"/>
      <c r="LU63" s="188"/>
      <c r="LV63" s="188"/>
      <c r="LW63" s="188"/>
      <c r="LX63" s="188"/>
      <c r="LY63" s="188"/>
      <c r="LZ63" s="188"/>
      <c r="MA63" s="188"/>
      <c r="MB63" s="188"/>
      <c r="MC63" s="188"/>
      <c r="MD63" s="188"/>
      <c r="ME63" s="188"/>
      <c r="MF63" s="188"/>
      <c r="MG63" s="188"/>
      <c r="MH63" s="188"/>
      <c r="MI63" s="188"/>
      <c r="MJ63" s="188"/>
      <c r="MK63" s="188"/>
      <c r="ML63" s="188"/>
      <c r="MM63" s="188"/>
      <c r="MN63" s="188"/>
      <c r="MO63" s="188"/>
      <c r="MP63" s="188"/>
      <c r="MQ63" s="188"/>
      <c r="MR63" s="188"/>
      <c r="MS63" s="188"/>
      <c r="MT63" s="188"/>
      <c r="MU63" s="188"/>
      <c r="MV63" s="188"/>
      <c r="MW63" s="188"/>
      <c r="MX63" s="188"/>
      <c r="MY63" s="188"/>
      <c r="MZ63" s="188"/>
      <c r="NA63" s="188"/>
      <c r="NB63" s="188"/>
      <c r="NC63" s="188"/>
      <c r="ND63" s="188"/>
      <c r="NE63" s="188"/>
      <c r="NF63" s="188"/>
      <c r="NG63" s="188"/>
      <c r="NH63" s="188"/>
      <c r="NI63" s="188"/>
      <c r="NJ63" s="188"/>
      <c r="NK63" s="188"/>
      <c r="NL63" s="188"/>
      <c r="NM63" s="188"/>
      <c r="NN63" s="188"/>
      <c r="NO63" s="188"/>
      <c r="NP63" s="188"/>
      <c r="NQ63" s="188"/>
      <c r="NR63" s="188"/>
      <c r="NS63" s="188"/>
      <c r="NT63" s="188"/>
      <c r="NU63" s="188"/>
      <c r="NV63" s="188"/>
      <c r="NW63" s="188"/>
      <c r="NX63" s="188"/>
      <c r="NY63" s="188"/>
      <c r="NZ63" s="188"/>
      <c r="OA63" s="188"/>
      <c r="OB63" s="188"/>
      <c r="OC63" s="188"/>
      <c r="OD63" s="188"/>
      <c r="OE63" s="188"/>
      <c r="OF63" s="188"/>
      <c r="OG63" s="188"/>
      <c r="OH63" s="188"/>
      <c r="OI63" s="188"/>
      <c r="OJ63" s="188"/>
      <c r="OK63" s="188"/>
      <c r="OL63" s="188"/>
      <c r="OM63" s="188"/>
      <c r="ON63" s="188"/>
      <c r="OO63" s="188"/>
      <c r="OP63" s="188"/>
      <c r="OQ63" s="188"/>
      <c r="OR63" s="188"/>
      <c r="OS63" s="188"/>
      <c r="OT63" s="188"/>
      <c r="OU63" s="188"/>
      <c r="OV63" s="188"/>
      <c r="OW63" s="188"/>
      <c r="OX63" s="188"/>
      <c r="OY63" s="188"/>
      <c r="OZ63" s="188"/>
      <c r="PA63" s="188"/>
      <c r="PB63" s="188"/>
      <c r="PC63" s="188"/>
      <c r="PD63" s="188"/>
      <c r="PE63" s="188"/>
      <c r="PF63" s="188"/>
      <c r="PG63" s="188"/>
      <c r="PH63" s="188"/>
      <c r="PI63" s="188"/>
      <c r="PJ63" s="188"/>
      <c r="PK63" s="188"/>
      <c r="PL63" s="188"/>
      <c r="PM63" s="188"/>
      <c r="PN63" s="188"/>
      <c r="PO63" s="188"/>
      <c r="PP63" s="188"/>
      <c r="PQ63" s="188"/>
      <c r="PR63" s="188"/>
      <c r="PS63" s="188"/>
      <c r="PT63" s="188"/>
      <c r="PU63" s="188"/>
      <c r="PV63" s="188"/>
      <c r="PW63" s="188"/>
      <c r="PX63" s="188"/>
      <c r="PY63" s="188"/>
      <c r="PZ63" s="188"/>
      <c r="QA63" s="188"/>
      <c r="QB63" s="188"/>
      <c r="QC63" s="188"/>
      <c r="QD63" s="188"/>
      <c r="QE63" s="188"/>
      <c r="QF63" s="188"/>
      <c r="QG63" s="188"/>
      <c r="QH63" s="188"/>
      <c r="QI63" s="188"/>
      <c r="QJ63" s="188"/>
      <c r="QK63" s="188"/>
      <c r="QL63" s="188"/>
      <c r="QM63" s="188"/>
      <c r="QN63" s="188"/>
      <c r="QO63" s="188"/>
      <c r="QP63" s="188"/>
      <c r="QQ63" s="188"/>
      <c r="QR63" s="188"/>
      <c r="QS63" s="188"/>
      <c r="QT63" s="188"/>
      <c r="QU63" s="188"/>
      <c r="QV63" s="188"/>
      <c r="QW63" s="188"/>
      <c r="QX63" s="188"/>
      <c r="QY63" s="188"/>
      <c r="QZ63" s="188"/>
      <c r="RA63" s="188"/>
      <c r="RB63" s="188"/>
      <c r="RC63" s="188"/>
      <c r="RD63" s="188"/>
      <c r="RE63" s="188"/>
      <c r="RF63" s="188"/>
      <c r="RG63" s="188"/>
      <c r="RH63" s="188"/>
      <c r="RI63" s="188"/>
      <c r="RJ63" s="188"/>
      <c r="RK63" s="188"/>
      <c r="RL63" s="188"/>
      <c r="RM63" s="188"/>
      <c r="RN63" s="188"/>
      <c r="RO63" s="188"/>
      <c r="RP63" s="188"/>
      <c r="RQ63" s="188"/>
      <c r="RR63" s="188"/>
      <c r="RS63" s="188"/>
      <c r="RT63" s="188"/>
      <c r="RU63" s="188"/>
      <c r="RV63" s="188"/>
      <c r="RW63" s="188"/>
      <c r="RX63" s="188"/>
      <c r="RY63" s="188"/>
      <c r="RZ63" s="188"/>
      <c r="SA63" s="188"/>
      <c r="SB63" s="188"/>
      <c r="SC63" s="188"/>
      <c r="SD63" s="188"/>
      <c r="SE63" s="188"/>
      <c r="SF63" s="188"/>
      <c r="SG63" s="188"/>
      <c r="SH63" s="188"/>
      <c r="SI63" s="188"/>
      <c r="SJ63" s="188"/>
      <c r="SK63" s="188"/>
      <c r="SL63" s="188"/>
      <c r="SM63" s="188"/>
      <c r="SN63" s="188"/>
      <c r="SO63" s="188"/>
      <c r="SP63" s="188"/>
      <c r="SQ63" s="188"/>
      <c r="SR63" s="188"/>
      <c r="SS63" s="188"/>
      <c r="ST63" s="188"/>
      <c r="SU63" s="188"/>
      <c r="SV63" s="188"/>
      <c r="SW63" s="188"/>
      <c r="SX63" s="188"/>
      <c r="SY63" s="188"/>
      <c r="SZ63" s="188"/>
      <c r="TA63" s="188"/>
      <c r="TB63" s="188"/>
      <c r="TC63" s="188"/>
      <c r="TD63" s="188"/>
      <c r="TE63" s="188"/>
      <c r="TF63" s="188"/>
      <c r="TG63" s="188"/>
      <c r="TH63" s="188"/>
      <c r="TI63" s="188"/>
      <c r="TJ63" s="188"/>
      <c r="TK63" s="188"/>
      <c r="TL63" s="188"/>
      <c r="TM63" s="188"/>
      <c r="TN63" s="188"/>
      <c r="TO63" s="188"/>
      <c r="TP63" s="188"/>
      <c r="TQ63" s="188"/>
      <c r="TR63" s="188"/>
      <c r="TS63" s="188"/>
      <c r="TT63" s="188"/>
      <c r="TU63" s="188"/>
      <c r="TV63" s="188"/>
      <c r="TW63" s="188"/>
      <c r="TX63" s="188"/>
      <c r="TY63" s="188"/>
      <c r="TZ63" s="188"/>
      <c r="UA63" s="188"/>
      <c r="UB63" s="188"/>
      <c r="UC63" s="188"/>
      <c r="UD63" s="188"/>
      <c r="UE63" s="188"/>
      <c r="UF63" s="188"/>
      <c r="UG63" s="188"/>
      <c r="UH63" s="188"/>
      <c r="UI63" s="188"/>
      <c r="UJ63" s="188"/>
      <c r="UK63" s="188"/>
      <c r="UL63" s="188"/>
      <c r="UM63" s="188"/>
      <c r="UN63" s="188"/>
      <c r="UO63" s="188"/>
      <c r="UP63" s="188"/>
      <c r="UQ63" s="188"/>
      <c r="UR63" s="188"/>
      <c r="US63" s="188"/>
      <c r="UT63" s="188"/>
      <c r="UU63" s="188"/>
      <c r="UV63" s="188"/>
      <c r="UW63" s="188"/>
      <c r="UX63" s="188"/>
      <c r="UY63" s="188"/>
      <c r="UZ63" s="188"/>
      <c r="VA63" s="188"/>
      <c r="VB63" s="188"/>
      <c r="VC63" s="188"/>
      <c r="VD63" s="188"/>
      <c r="VE63" s="188"/>
      <c r="VF63" s="188"/>
      <c r="VG63" s="188"/>
      <c r="VH63" s="188"/>
      <c r="VI63" s="188"/>
      <c r="VJ63" s="188"/>
      <c r="VK63" s="188"/>
      <c r="VL63" s="188"/>
      <c r="VM63" s="188"/>
      <c r="VN63" s="188"/>
      <c r="VO63" s="188"/>
      <c r="VP63" s="188"/>
      <c r="VQ63" s="188"/>
      <c r="VR63" s="188"/>
      <c r="VS63" s="188"/>
      <c r="VT63" s="188"/>
      <c r="VU63" s="188"/>
      <c r="VV63" s="188"/>
      <c r="VW63" s="188"/>
      <c r="VX63" s="188"/>
      <c r="VY63" s="188"/>
      <c r="VZ63" s="188"/>
      <c r="WA63" s="188"/>
      <c r="WB63" s="188"/>
      <c r="WC63" s="188"/>
      <c r="WD63" s="188"/>
      <c r="WE63" s="188"/>
      <c r="WF63" s="188"/>
      <c r="WG63" s="188"/>
      <c r="WH63" s="188"/>
      <c r="WI63" s="188"/>
      <c r="WJ63" s="188"/>
      <c r="WK63" s="188"/>
      <c r="WL63" s="188"/>
      <c r="WM63" s="188"/>
      <c r="WN63" s="188"/>
      <c r="WO63" s="188"/>
      <c r="WP63" s="188"/>
      <c r="WQ63" s="188"/>
      <c r="WR63" s="188"/>
      <c r="WS63" s="188"/>
      <c r="WT63" s="188"/>
      <c r="WU63" s="188"/>
      <c r="WV63" s="188"/>
      <c r="WW63" s="188"/>
      <c r="WX63" s="188"/>
      <c r="WY63" s="188"/>
      <c r="WZ63" s="188"/>
      <c r="XA63" s="188"/>
      <c r="XB63" s="188"/>
      <c r="XC63" s="188"/>
      <c r="XD63" s="188"/>
      <c r="XE63" s="188"/>
      <c r="XF63" s="188"/>
      <c r="XG63" s="188"/>
      <c r="XH63" s="188"/>
      <c r="XI63" s="188"/>
      <c r="XJ63" s="188"/>
      <c r="XK63" s="188"/>
      <c r="XL63" s="188"/>
      <c r="XM63" s="188"/>
      <c r="XN63" s="188"/>
      <c r="XO63" s="188"/>
      <c r="XP63" s="188"/>
      <c r="XQ63" s="188"/>
      <c r="XR63" s="188"/>
      <c r="XS63" s="188"/>
      <c r="XT63" s="188"/>
      <c r="XU63" s="188"/>
      <c r="XV63" s="188"/>
      <c r="XW63" s="188"/>
      <c r="XX63" s="188"/>
      <c r="XY63" s="188"/>
      <c r="XZ63" s="188"/>
      <c r="YA63" s="188"/>
      <c r="YB63" s="188"/>
      <c r="YC63" s="188"/>
      <c r="YD63" s="188"/>
      <c r="YE63" s="188"/>
      <c r="YF63" s="188"/>
      <c r="YG63" s="188"/>
      <c r="YH63" s="188"/>
      <c r="YI63" s="188"/>
      <c r="YJ63" s="188"/>
      <c r="YK63" s="188"/>
      <c r="YL63" s="188"/>
      <c r="YM63" s="188"/>
      <c r="YN63" s="188"/>
      <c r="YO63" s="188"/>
      <c r="YP63" s="188"/>
      <c r="YQ63" s="188"/>
      <c r="YR63" s="188"/>
      <c r="YS63" s="188"/>
      <c r="YT63" s="188"/>
      <c r="YU63" s="188"/>
      <c r="YV63" s="188"/>
      <c r="YW63" s="188"/>
      <c r="YX63" s="188"/>
      <c r="YY63" s="188"/>
      <c r="YZ63" s="188"/>
      <c r="ZA63" s="188"/>
      <c r="ZB63" s="188"/>
      <c r="ZC63" s="188"/>
      <c r="ZD63" s="188"/>
      <c r="ZE63" s="188"/>
      <c r="ZF63" s="188"/>
      <c r="ZG63" s="188"/>
      <c r="ZH63" s="188"/>
      <c r="ZI63" s="188"/>
      <c r="ZJ63" s="188"/>
      <c r="ZK63" s="188"/>
      <c r="ZL63" s="188"/>
      <c r="ZM63" s="188"/>
      <c r="ZN63" s="188"/>
      <c r="ZO63" s="188"/>
      <c r="ZP63" s="188"/>
      <c r="ZQ63" s="188"/>
      <c r="ZR63" s="188"/>
      <c r="ZS63" s="188"/>
      <c r="ZT63" s="188"/>
      <c r="ZU63" s="188"/>
      <c r="ZV63" s="188"/>
      <c r="ZW63" s="188"/>
      <c r="ZX63" s="188"/>
      <c r="ZY63" s="188"/>
      <c r="ZZ63" s="188"/>
      <c r="AAA63" s="188"/>
      <c r="AAB63" s="188"/>
      <c r="AAC63" s="188"/>
      <c r="AAD63" s="188"/>
      <c r="AAE63" s="188"/>
      <c r="AAF63" s="188"/>
      <c r="AAG63" s="188"/>
      <c r="AAH63" s="188"/>
      <c r="AAI63" s="188"/>
      <c r="AAJ63" s="188"/>
      <c r="AAK63" s="188"/>
      <c r="AAL63" s="188"/>
      <c r="AAM63" s="188"/>
      <c r="AAN63" s="188"/>
      <c r="AAO63" s="188"/>
      <c r="AAP63" s="188"/>
      <c r="AAQ63" s="188"/>
      <c r="AAR63" s="188"/>
      <c r="AAS63" s="188"/>
      <c r="AAT63" s="188"/>
      <c r="AAU63" s="188"/>
      <c r="AAV63" s="188"/>
      <c r="AAW63" s="188"/>
      <c r="AAX63" s="188"/>
      <c r="AAY63" s="188"/>
      <c r="AAZ63" s="188"/>
      <c r="ABA63" s="188"/>
      <c r="ABB63" s="188"/>
      <c r="ABC63" s="188"/>
      <c r="ABD63" s="188"/>
      <c r="ABE63" s="188"/>
      <c r="ABF63" s="188"/>
      <c r="ABG63" s="188"/>
      <c r="ABH63" s="188"/>
      <c r="ABI63" s="188"/>
      <c r="ABJ63" s="188"/>
      <c r="ABK63" s="188"/>
      <c r="ABL63" s="188"/>
      <c r="ABM63" s="188"/>
      <c r="ABN63" s="188"/>
      <c r="ABO63" s="188"/>
      <c r="ABP63" s="188"/>
      <c r="ABQ63" s="188"/>
      <c r="ABR63" s="188"/>
      <c r="ABS63" s="188"/>
      <c r="ABT63" s="188"/>
      <c r="ABU63" s="188"/>
      <c r="ABV63" s="188"/>
      <c r="ABW63" s="188"/>
      <c r="ABX63" s="188"/>
      <c r="ABY63" s="188"/>
      <c r="ABZ63" s="188"/>
      <c r="ACA63" s="188"/>
      <c r="ACB63" s="188"/>
      <c r="ACC63" s="188"/>
      <c r="ACD63" s="188"/>
      <c r="ACE63" s="188"/>
      <c r="ACF63" s="188"/>
      <c r="ACG63" s="188"/>
      <c r="ACH63" s="188"/>
      <c r="ACI63" s="188"/>
      <c r="ACJ63" s="188"/>
      <c r="ACK63" s="188"/>
      <c r="ACL63" s="188"/>
      <c r="ACM63" s="188"/>
      <c r="ACN63" s="188"/>
      <c r="ACO63" s="188"/>
      <c r="ACP63" s="188"/>
      <c r="ACQ63" s="188"/>
      <c r="ACR63" s="188"/>
      <c r="ACS63" s="188"/>
      <c r="ACT63" s="188"/>
      <c r="ACU63" s="188"/>
      <c r="ACV63" s="188"/>
      <c r="ACW63" s="188"/>
      <c r="ACX63" s="188"/>
      <c r="ACY63" s="188"/>
      <c r="ACZ63" s="188"/>
      <c r="ADA63" s="188"/>
      <c r="ADB63" s="188"/>
      <c r="ADC63" s="188"/>
      <c r="ADD63" s="188"/>
      <c r="ADE63" s="188"/>
      <c r="ADF63" s="188"/>
      <c r="ADG63" s="188"/>
      <c r="ADH63" s="188"/>
      <c r="ADI63" s="188"/>
      <c r="ADJ63" s="188"/>
      <c r="ADK63" s="188"/>
      <c r="ADL63" s="188"/>
      <c r="ADM63" s="188"/>
      <c r="ADN63" s="188"/>
      <c r="ADO63" s="188"/>
      <c r="ADP63" s="188"/>
      <c r="ADQ63" s="188"/>
      <c r="ADR63" s="188"/>
      <c r="ADS63" s="188"/>
      <c r="ADT63" s="188"/>
      <c r="ADU63" s="188"/>
      <c r="ADV63" s="188"/>
      <c r="ADW63" s="188"/>
      <c r="ADX63" s="188"/>
      <c r="ADY63" s="188"/>
      <c r="ADZ63" s="188"/>
      <c r="AEA63" s="188"/>
      <c r="AEB63" s="188"/>
      <c r="AEC63" s="188"/>
      <c r="AED63" s="188"/>
      <c r="AEE63" s="188"/>
      <c r="AEF63" s="188"/>
      <c r="AEG63" s="188"/>
      <c r="AEH63" s="188"/>
      <c r="AEI63" s="188"/>
      <c r="AEJ63" s="188"/>
      <c r="AEK63" s="188"/>
      <c r="AEL63" s="188"/>
      <c r="AEM63" s="188"/>
      <c r="AEN63" s="188"/>
      <c r="AEO63" s="188"/>
      <c r="AEP63" s="188"/>
      <c r="AEQ63" s="188"/>
      <c r="AER63" s="188"/>
      <c r="AES63" s="188"/>
      <c r="AET63" s="188"/>
      <c r="AEU63" s="188"/>
      <c r="AEV63" s="188"/>
      <c r="AEW63" s="188"/>
      <c r="AEX63" s="188"/>
      <c r="AEY63" s="188"/>
      <c r="AEZ63" s="188"/>
      <c r="AFA63" s="188"/>
      <c r="AFB63" s="188"/>
      <c r="AFC63" s="188"/>
      <c r="AFD63" s="188"/>
      <c r="AFE63" s="188"/>
      <c r="AFF63" s="188"/>
      <c r="AFG63" s="188"/>
      <c r="AFH63" s="188"/>
      <c r="AFI63" s="188"/>
      <c r="AFJ63" s="188"/>
      <c r="AFK63" s="188"/>
      <c r="AFL63" s="188"/>
      <c r="AFM63" s="188"/>
      <c r="AFN63" s="188"/>
      <c r="AFO63" s="188"/>
      <c r="AFP63" s="188"/>
      <c r="AFQ63" s="188"/>
      <c r="AFR63" s="188"/>
      <c r="AFS63" s="188"/>
      <c r="AFT63" s="188"/>
      <c r="AFU63" s="188"/>
      <c r="AFV63" s="188"/>
      <c r="AFW63" s="188"/>
      <c r="AFX63" s="188"/>
      <c r="AFY63" s="188"/>
      <c r="AFZ63" s="188"/>
      <c r="AGA63" s="188"/>
      <c r="AGB63" s="188"/>
      <c r="AGC63" s="188"/>
      <c r="AGD63" s="188"/>
      <c r="AGE63" s="188"/>
      <c r="AGF63" s="188"/>
      <c r="AGG63" s="188"/>
      <c r="AGH63" s="188"/>
      <c r="AGI63" s="188"/>
      <c r="AGJ63" s="188"/>
      <c r="AGK63" s="188"/>
      <c r="AGL63" s="188"/>
      <c r="AGM63" s="188"/>
      <c r="AGN63" s="188"/>
      <c r="AGO63" s="188"/>
      <c r="AGP63" s="188"/>
      <c r="AGQ63" s="188"/>
      <c r="AGR63" s="188"/>
      <c r="AGS63" s="188"/>
      <c r="AGT63" s="188"/>
      <c r="AGU63" s="188"/>
      <c r="AGV63" s="188"/>
      <c r="AGW63" s="188"/>
      <c r="AGX63" s="188"/>
      <c r="AGY63" s="188"/>
      <c r="AGZ63" s="188"/>
      <c r="AHA63" s="188"/>
      <c r="AHB63" s="188"/>
      <c r="AHC63" s="188"/>
      <c r="AHD63" s="188"/>
      <c r="AHE63" s="188"/>
      <c r="AHF63" s="188"/>
      <c r="AHG63" s="188"/>
      <c r="AHH63" s="188"/>
      <c r="AHI63" s="188"/>
      <c r="AHJ63" s="188"/>
      <c r="AHK63" s="188"/>
      <c r="AHL63" s="188"/>
      <c r="AHM63" s="188"/>
      <c r="AHN63" s="188"/>
      <c r="AHO63" s="188"/>
      <c r="AHP63" s="188"/>
      <c r="AHQ63" s="188"/>
      <c r="AHR63" s="188"/>
      <c r="AHS63" s="188"/>
      <c r="AHT63" s="188"/>
      <c r="AHU63" s="188"/>
      <c r="AHV63" s="188"/>
      <c r="AHW63" s="188"/>
      <c r="AHX63" s="188"/>
      <c r="AHY63" s="188"/>
      <c r="AHZ63" s="188"/>
      <c r="AIA63" s="188"/>
      <c r="AIB63" s="188"/>
      <c r="AIC63" s="188"/>
      <c r="AID63" s="188"/>
      <c r="AIE63" s="188"/>
      <c r="AIF63" s="188"/>
      <c r="AIG63" s="188"/>
      <c r="AIH63" s="188"/>
      <c r="AII63" s="188"/>
      <c r="AIJ63" s="188"/>
      <c r="AIK63" s="188"/>
      <c r="AIL63" s="188"/>
      <c r="AIM63" s="188"/>
      <c r="AIN63" s="188"/>
      <c r="AIO63" s="188"/>
      <c r="AIP63" s="188"/>
      <c r="AIQ63" s="188"/>
      <c r="AIR63" s="188"/>
      <c r="AIS63" s="188"/>
      <c r="AIT63" s="188"/>
      <c r="AIU63" s="188"/>
      <c r="AIV63" s="188"/>
      <c r="AIW63" s="188"/>
      <c r="AIX63" s="188"/>
      <c r="AIY63" s="188"/>
      <c r="AIZ63" s="188"/>
      <c r="AJA63" s="188"/>
      <c r="AJB63" s="188"/>
      <c r="AJC63" s="188"/>
      <c r="AJD63" s="188"/>
      <c r="AJE63" s="188"/>
      <c r="AJF63" s="188"/>
      <c r="AJG63" s="188"/>
      <c r="AJH63" s="188"/>
      <c r="AJI63" s="188"/>
      <c r="AJJ63" s="188"/>
      <c r="AJK63" s="188"/>
      <c r="AJL63" s="188"/>
      <c r="AJM63" s="188"/>
      <c r="AJN63" s="188"/>
      <c r="AJO63" s="188"/>
      <c r="AJP63" s="188"/>
      <c r="AJQ63" s="188"/>
      <c r="AJR63" s="188"/>
      <c r="AJS63" s="188"/>
      <c r="AJT63" s="188"/>
      <c r="AJU63" s="188"/>
      <c r="AJV63" s="188"/>
      <c r="AJW63" s="188"/>
      <c r="AJX63" s="188"/>
      <c r="AJY63" s="188"/>
      <c r="AJZ63" s="188"/>
      <c r="AKA63" s="188"/>
      <c r="AKB63" s="188"/>
      <c r="AKC63" s="188"/>
      <c r="AKD63" s="188"/>
      <c r="AKE63" s="188"/>
      <c r="AKF63" s="188"/>
      <c r="AKG63" s="188"/>
      <c r="AKH63" s="188"/>
      <c r="AKI63" s="188"/>
      <c r="AKJ63" s="188"/>
      <c r="AKK63" s="188"/>
      <c r="AKL63" s="188"/>
      <c r="AKM63" s="188"/>
      <c r="AKN63" s="188"/>
      <c r="AKO63" s="188"/>
      <c r="AKP63" s="188"/>
      <c r="AKQ63" s="188"/>
      <c r="AKR63" s="188"/>
      <c r="AKS63" s="188"/>
      <c r="AKT63" s="188"/>
      <c r="AKU63" s="188"/>
      <c r="AKV63" s="188"/>
      <c r="AKW63" s="188"/>
      <c r="AKX63" s="188"/>
      <c r="AKY63" s="188"/>
      <c r="AKZ63" s="188"/>
      <c r="ALA63" s="188"/>
      <c r="ALB63" s="188"/>
      <c r="ALC63" s="188"/>
      <c r="ALD63" s="188"/>
      <c r="ALE63" s="188"/>
      <c r="ALF63" s="188"/>
      <c r="ALG63" s="188"/>
      <c r="ALH63" s="188"/>
      <c r="ALI63" s="188"/>
      <c r="ALJ63" s="188"/>
      <c r="ALK63" s="188"/>
      <c r="ALL63" s="188"/>
      <c r="ALM63" s="188"/>
      <c r="ALN63" s="188"/>
      <c r="ALO63" s="188"/>
      <c r="ALP63" s="188"/>
      <c r="ALQ63" s="188"/>
      <c r="ALR63" s="188"/>
      <c r="ALS63" s="188"/>
      <c r="ALT63" s="188"/>
      <c r="ALU63" s="188"/>
      <c r="ALV63" s="188"/>
      <c r="ALW63" s="188"/>
      <c r="ALX63" s="188"/>
      <c r="ALY63" s="188"/>
      <c r="ALZ63" s="188"/>
      <c r="AMA63" s="188"/>
      <c r="AMB63" s="188"/>
      <c r="AMC63" s="188"/>
      <c r="AMD63" s="188"/>
      <c r="AME63" s="188"/>
      <c r="AMF63" s="188"/>
      <c r="AMG63" s="188"/>
      <c r="AMH63" s="188"/>
      <c r="AMI63" s="188"/>
      <c r="AMJ63" s="188"/>
      <c r="AMK63" s="188"/>
      <c r="AML63" s="188"/>
      <c r="AMM63" s="188"/>
      <c r="AMN63" s="188"/>
      <c r="AMO63" s="188"/>
      <c r="AMP63" s="188"/>
      <c r="AMQ63" s="188"/>
      <c r="AMR63" s="188"/>
      <c r="AMS63" s="188"/>
      <c r="AMT63" s="188"/>
      <c r="AMU63" s="188"/>
      <c r="AMV63" s="188"/>
      <c r="AMW63" s="188"/>
      <c r="AMX63" s="188"/>
      <c r="AMY63" s="188"/>
      <c r="AMZ63" s="188"/>
      <c r="ANA63" s="188"/>
      <c r="ANB63" s="188"/>
      <c r="ANC63" s="188"/>
      <c r="AND63" s="188"/>
      <c r="ANE63" s="188"/>
      <c r="ANF63" s="188"/>
      <c r="ANG63" s="188"/>
      <c r="ANH63" s="188"/>
      <c r="ANI63" s="188"/>
      <c r="ANJ63" s="188"/>
      <c r="ANK63" s="188"/>
      <c r="ANL63" s="188"/>
      <c r="ANM63" s="188"/>
      <c r="ANN63" s="188"/>
      <c r="ANO63" s="188"/>
      <c r="ANP63" s="188"/>
      <c r="ANQ63" s="188"/>
      <c r="ANR63" s="188"/>
      <c r="ANS63" s="188"/>
      <c r="ANT63" s="188"/>
      <c r="ANU63" s="188"/>
      <c r="ANV63" s="188"/>
      <c r="ANW63" s="188"/>
      <c r="ANX63" s="188"/>
      <c r="ANY63" s="188"/>
      <c r="ANZ63" s="188"/>
      <c r="AOA63" s="188"/>
      <c r="AOB63" s="188"/>
      <c r="AOC63" s="188"/>
      <c r="AOD63" s="188"/>
      <c r="AOE63" s="188"/>
      <c r="AOF63" s="188"/>
      <c r="AOG63" s="188"/>
      <c r="AOH63" s="188"/>
      <c r="AOI63" s="188"/>
      <c r="AOJ63" s="188"/>
      <c r="AOK63" s="188"/>
      <c r="AOL63" s="188"/>
      <c r="AOM63" s="188"/>
      <c r="AON63" s="188"/>
      <c r="AOO63" s="188"/>
      <c r="AOP63" s="188"/>
      <c r="AOQ63" s="188"/>
      <c r="AOR63" s="188"/>
      <c r="AOS63" s="188"/>
      <c r="AOT63" s="188"/>
      <c r="AOU63" s="188"/>
      <c r="AOV63" s="188"/>
      <c r="AOW63" s="188"/>
      <c r="AOX63" s="188"/>
      <c r="AOY63" s="188"/>
      <c r="AOZ63" s="188"/>
      <c r="APA63" s="188"/>
      <c r="APB63" s="188"/>
      <c r="APC63" s="188"/>
      <c r="APD63" s="188"/>
      <c r="APE63" s="188"/>
      <c r="APF63" s="188"/>
      <c r="APG63" s="188"/>
      <c r="APH63" s="188"/>
      <c r="API63" s="188"/>
      <c r="APJ63" s="188"/>
      <c r="APK63" s="188"/>
      <c r="APL63" s="188"/>
      <c r="APM63" s="188"/>
      <c r="APN63" s="188"/>
      <c r="APO63" s="188"/>
      <c r="APP63" s="188"/>
      <c r="APQ63" s="188"/>
      <c r="APR63" s="188"/>
      <c r="APS63" s="188"/>
      <c r="APT63" s="188"/>
      <c r="APU63" s="188"/>
      <c r="APV63" s="188"/>
      <c r="APW63" s="188"/>
      <c r="APX63" s="188"/>
      <c r="APY63" s="188"/>
      <c r="APZ63" s="188"/>
      <c r="AQA63" s="188"/>
      <c r="AQB63" s="188"/>
      <c r="AQC63" s="188"/>
      <c r="AQD63" s="188"/>
      <c r="AQE63" s="188"/>
      <c r="AQF63" s="188"/>
      <c r="AQG63" s="188"/>
      <c r="AQH63" s="188"/>
      <c r="AQI63" s="188"/>
      <c r="AQJ63" s="188"/>
      <c r="AQK63" s="188"/>
      <c r="AQL63" s="188"/>
      <c r="AQM63" s="188"/>
      <c r="AQN63" s="188"/>
      <c r="AQO63" s="188"/>
      <c r="AQP63" s="188"/>
      <c r="AQQ63" s="188"/>
      <c r="AQR63" s="188"/>
      <c r="AQS63" s="188"/>
      <c r="AQT63" s="188"/>
      <c r="AQU63" s="188"/>
      <c r="AQV63" s="188"/>
      <c r="AQW63" s="188"/>
      <c r="AQX63" s="188"/>
      <c r="AQY63" s="188"/>
      <c r="AQZ63" s="188"/>
      <c r="ARA63" s="188"/>
      <c r="ARB63" s="188"/>
      <c r="ARC63" s="188"/>
      <c r="ARD63" s="188"/>
      <c r="ARE63" s="188"/>
      <c r="ARF63" s="188"/>
      <c r="ARG63" s="188"/>
      <c r="ARH63" s="188"/>
      <c r="ARI63" s="188"/>
      <c r="ARJ63" s="188"/>
      <c r="ARK63" s="188"/>
      <c r="ARL63" s="188"/>
      <c r="ARM63" s="188"/>
      <c r="ARN63" s="188"/>
      <c r="ARO63" s="188"/>
      <c r="ARP63" s="188"/>
      <c r="ARQ63" s="188"/>
      <c r="ARR63" s="188"/>
      <c r="ARS63" s="188"/>
      <c r="ART63" s="188"/>
      <c r="ARU63" s="188"/>
      <c r="ARV63" s="188"/>
      <c r="ARW63" s="188"/>
      <c r="ARX63" s="188"/>
      <c r="ARY63" s="188"/>
      <c r="ARZ63" s="188"/>
      <c r="ASA63" s="188"/>
      <c r="ASB63" s="188"/>
      <c r="ASC63" s="188"/>
      <c r="ASD63" s="188"/>
      <c r="ASE63" s="188"/>
      <c r="ASF63" s="188"/>
      <c r="ASG63" s="188"/>
      <c r="ASH63" s="188"/>
      <c r="ASI63" s="188"/>
      <c r="ASJ63" s="188"/>
      <c r="ASK63" s="188"/>
      <c r="ASL63" s="188"/>
      <c r="ASM63" s="188"/>
      <c r="ASN63" s="188"/>
      <c r="ASO63" s="188"/>
      <c r="ASP63" s="188"/>
      <c r="ASQ63" s="188"/>
      <c r="ASR63" s="188"/>
      <c r="ASS63" s="188"/>
      <c r="AST63" s="188"/>
      <c r="ASU63" s="188"/>
      <c r="ASV63" s="188"/>
      <c r="ASW63" s="188"/>
      <c r="ASX63" s="188"/>
      <c r="ASY63" s="188"/>
      <c r="ASZ63" s="188"/>
      <c r="ATA63" s="188"/>
      <c r="ATB63" s="188"/>
      <c r="ATC63" s="188"/>
      <c r="ATD63" s="188"/>
      <c r="ATE63" s="188"/>
      <c r="ATF63" s="188"/>
      <c r="ATG63" s="188"/>
      <c r="ATH63" s="188"/>
      <c r="ATI63" s="188"/>
      <c r="ATJ63" s="188"/>
      <c r="ATK63" s="188"/>
      <c r="ATL63" s="188"/>
      <c r="ATM63" s="188"/>
      <c r="ATN63" s="188"/>
      <c r="ATO63" s="188"/>
      <c r="ATP63" s="188"/>
      <c r="ATQ63" s="188"/>
      <c r="ATR63" s="188"/>
      <c r="ATS63" s="188"/>
      <c r="ATT63" s="188"/>
      <c r="ATU63" s="188"/>
      <c r="ATV63" s="188"/>
      <c r="ATW63" s="188"/>
      <c r="ATX63" s="188"/>
      <c r="ATY63" s="188"/>
      <c r="ATZ63" s="188"/>
      <c r="AUA63" s="188"/>
      <c r="AUB63" s="188"/>
      <c r="AUC63" s="188"/>
      <c r="AUD63" s="188"/>
      <c r="AUE63" s="188"/>
      <c r="AUF63" s="188"/>
      <c r="AUG63" s="188"/>
      <c r="AUH63" s="188"/>
      <c r="AUI63" s="188"/>
      <c r="AUJ63" s="188"/>
      <c r="AUK63" s="188"/>
      <c r="AUL63" s="188"/>
      <c r="AUM63" s="188"/>
      <c r="AUN63" s="188"/>
      <c r="AUO63" s="188"/>
      <c r="AUP63" s="188"/>
      <c r="AUQ63" s="188"/>
      <c r="AUR63" s="188"/>
      <c r="AUS63" s="188"/>
      <c r="AUT63" s="188"/>
      <c r="AUU63" s="188"/>
      <c r="AUV63" s="188"/>
      <c r="AUW63" s="188"/>
      <c r="AUX63" s="188"/>
      <c r="AUY63" s="188"/>
      <c r="AUZ63" s="188"/>
      <c r="AVA63" s="188"/>
      <c r="AVB63" s="188"/>
      <c r="AVC63" s="188"/>
      <c r="AVD63" s="188"/>
      <c r="AVE63" s="188"/>
      <c r="AVF63" s="188"/>
      <c r="AVG63" s="188"/>
      <c r="AVH63" s="188"/>
      <c r="AVI63" s="188"/>
      <c r="AVJ63" s="188"/>
      <c r="AVK63" s="188"/>
      <c r="AVL63" s="188"/>
      <c r="AVM63" s="188"/>
      <c r="AVN63" s="188"/>
      <c r="AVO63" s="188"/>
      <c r="AVP63" s="188"/>
      <c r="AVQ63" s="188"/>
      <c r="AVR63" s="188"/>
      <c r="AVS63" s="188"/>
      <c r="AVT63" s="188"/>
      <c r="AVU63" s="188"/>
      <c r="AVV63" s="188"/>
      <c r="AVW63" s="188"/>
      <c r="AVX63" s="188"/>
      <c r="AVY63" s="188"/>
      <c r="AVZ63" s="188"/>
      <c r="AWA63" s="188"/>
      <c r="AWB63" s="188"/>
      <c r="AWC63" s="188"/>
      <c r="AWD63" s="188"/>
      <c r="AWE63" s="188"/>
      <c r="AWF63" s="188"/>
      <c r="AWG63" s="188"/>
      <c r="AWH63" s="188"/>
      <c r="AWI63" s="188"/>
      <c r="AWJ63" s="188"/>
      <c r="AWK63" s="188"/>
      <c r="AWL63" s="188"/>
      <c r="AWM63" s="188"/>
      <c r="AWN63" s="188"/>
      <c r="AWO63" s="188"/>
      <c r="AWP63" s="188"/>
      <c r="AWQ63" s="188"/>
      <c r="AWR63" s="188"/>
      <c r="AWS63" s="188"/>
      <c r="AWT63" s="188"/>
      <c r="AWU63" s="188"/>
      <c r="AWV63" s="188"/>
      <c r="AWW63" s="188"/>
      <c r="AWX63" s="188"/>
      <c r="AWY63" s="188"/>
      <c r="AWZ63" s="188"/>
      <c r="AXA63" s="188"/>
      <c r="AXB63" s="188"/>
      <c r="AXC63" s="188"/>
      <c r="AXD63" s="188"/>
      <c r="AXE63" s="188"/>
      <c r="AXF63" s="188"/>
      <c r="AXG63" s="188"/>
      <c r="AXH63" s="188"/>
      <c r="AXI63" s="188"/>
      <c r="AXJ63" s="188"/>
      <c r="AXK63" s="188"/>
      <c r="AXL63" s="188"/>
      <c r="AXM63" s="188"/>
      <c r="AXN63" s="188"/>
      <c r="AXO63" s="188"/>
      <c r="AXP63" s="188"/>
      <c r="AXQ63" s="188"/>
      <c r="AXR63" s="188"/>
      <c r="AXS63" s="188"/>
      <c r="AXT63" s="188"/>
      <c r="AXU63" s="188"/>
      <c r="AXV63" s="188"/>
      <c r="AXW63" s="188"/>
      <c r="AXX63" s="188"/>
      <c r="AXY63" s="188"/>
      <c r="AXZ63" s="188"/>
      <c r="AYA63" s="188"/>
      <c r="AYB63" s="188"/>
      <c r="AYC63" s="188"/>
      <c r="AYD63" s="188"/>
      <c r="AYE63" s="188"/>
      <c r="AYF63" s="188"/>
      <c r="AYG63" s="188"/>
      <c r="AYH63" s="188"/>
      <c r="AYI63" s="188"/>
      <c r="AYJ63" s="188"/>
      <c r="AYK63" s="188"/>
      <c r="AYL63" s="188"/>
      <c r="AYM63" s="188"/>
      <c r="AYN63" s="188"/>
      <c r="AYO63" s="188"/>
      <c r="AYP63" s="188"/>
      <c r="AYQ63" s="188"/>
      <c r="AYR63" s="188"/>
      <c r="AYS63" s="188"/>
      <c r="AYT63" s="188"/>
      <c r="AYU63" s="188"/>
      <c r="AYV63" s="188"/>
      <c r="AYW63" s="188"/>
      <c r="AYX63" s="188"/>
      <c r="AYY63" s="188"/>
      <c r="AYZ63" s="188"/>
      <c r="AZA63" s="188"/>
      <c r="AZB63" s="188"/>
      <c r="AZC63" s="188"/>
      <c r="AZD63" s="188"/>
      <c r="AZE63" s="188"/>
      <c r="AZF63" s="188"/>
      <c r="AZG63" s="188"/>
      <c r="AZH63" s="188"/>
      <c r="AZI63" s="188"/>
      <c r="AZJ63" s="188"/>
      <c r="AZK63" s="188"/>
      <c r="AZL63" s="188"/>
      <c r="AZM63" s="188"/>
      <c r="AZN63" s="188"/>
      <c r="AZO63" s="188"/>
      <c r="AZP63" s="188"/>
      <c r="AZQ63" s="188"/>
      <c r="AZR63" s="188"/>
      <c r="AZS63" s="188"/>
      <c r="AZT63" s="188"/>
      <c r="AZU63" s="188"/>
      <c r="AZV63" s="188"/>
      <c r="AZW63" s="188"/>
      <c r="AZX63" s="188"/>
      <c r="AZY63" s="188"/>
      <c r="AZZ63" s="188"/>
      <c r="BAA63" s="188"/>
      <c r="BAB63" s="188"/>
      <c r="BAC63" s="188"/>
      <c r="BAD63" s="188"/>
      <c r="BAE63" s="188"/>
      <c r="BAF63" s="188"/>
      <c r="BAG63" s="188"/>
      <c r="BAH63" s="188"/>
      <c r="BAI63" s="188"/>
      <c r="BAJ63" s="188"/>
      <c r="BAK63" s="188"/>
      <c r="BAL63" s="188"/>
      <c r="BAM63" s="188"/>
      <c r="BAN63" s="188"/>
      <c r="BAO63" s="188"/>
      <c r="BAP63" s="188"/>
      <c r="BAQ63" s="188"/>
      <c r="BAR63" s="188"/>
      <c r="BAS63" s="188"/>
      <c r="BAT63" s="188"/>
      <c r="BAU63" s="188"/>
      <c r="BAV63" s="188"/>
      <c r="BAW63" s="188"/>
      <c r="BAX63" s="188"/>
      <c r="BAY63" s="188"/>
      <c r="BAZ63" s="188"/>
      <c r="BBA63" s="188"/>
      <c r="BBB63" s="188"/>
      <c r="BBC63" s="188"/>
      <c r="BBD63" s="188"/>
      <c r="BBE63" s="188"/>
      <c r="BBF63" s="188"/>
      <c r="BBG63" s="188"/>
      <c r="BBH63" s="188"/>
      <c r="BBI63" s="188"/>
      <c r="BBJ63" s="188"/>
      <c r="BBK63" s="188"/>
      <c r="BBL63" s="188"/>
      <c r="BBM63" s="188"/>
      <c r="BBN63" s="188"/>
      <c r="BBO63" s="188"/>
      <c r="BBP63" s="188"/>
      <c r="BBQ63" s="188"/>
      <c r="BBR63" s="188"/>
      <c r="BBS63" s="188"/>
      <c r="BBT63" s="188"/>
      <c r="BBU63" s="188"/>
      <c r="BBV63" s="188"/>
      <c r="BBW63" s="188"/>
      <c r="BBX63" s="188"/>
      <c r="BBY63" s="188"/>
      <c r="BBZ63" s="188"/>
      <c r="BCA63" s="188"/>
      <c r="BCB63" s="188"/>
      <c r="BCC63" s="188"/>
      <c r="BCD63" s="188"/>
      <c r="BCE63" s="188"/>
      <c r="BCF63" s="188"/>
      <c r="BCG63" s="188"/>
      <c r="BCH63" s="188"/>
      <c r="BCI63" s="188"/>
      <c r="BCJ63" s="188"/>
      <c r="BCK63" s="188"/>
      <c r="BCL63" s="188"/>
      <c r="BCM63" s="188"/>
      <c r="BCN63" s="188"/>
      <c r="BCO63" s="188"/>
      <c r="BCP63" s="188"/>
      <c r="BCQ63" s="188"/>
      <c r="BCR63" s="188"/>
      <c r="BCS63" s="188"/>
      <c r="BCT63" s="188"/>
      <c r="BCU63" s="188"/>
      <c r="BCV63" s="188"/>
      <c r="BCW63" s="188"/>
      <c r="BCX63" s="188"/>
      <c r="BCY63" s="188"/>
      <c r="BCZ63" s="188"/>
      <c r="BDA63" s="188"/>
      <c r="BDB63" s="188"/>
      <c r="BDC63" s="188"/>
      <c r="BDD63" s="188"/>
      <c r="BDE63" s="188"/>
      <c r="BDF63" s="188"/>
      <c r="BDG63" s="188"/>
      <c r="BDH63" s="188"/>
      <c r="BDI63" s="188"/>
      <c r="BDJ63" s="188"/>
      <c r="BDK63" s="188"/>
      <c r="BDL63" s="188"/>
      <c r="BDM63" s="188"/>
      <c r="BDN63" s="188"/>
      <c r="BDO63" s="188"/>
      <c r="BDP63" s="188"/>
      <c r="BDQ63" s="188"/>
      <c r="BDR63" s="188"/>
      <c r="BDS63" s="188"/>
      <c r="BDT63" s="188"/>
      <c r="BDU63" s="188"/>
      <c r="BDV63" s="188"/>
      <c r="BDW63" s="188"/>
      <c r="BDX63" s="188"/>
      <c r="BDY63" s="188"/>
      <c r="BDZ63" s="188"/>
      <c r="BEA63" s="188"/>
      <c r="BEB63" s="188"/>
      <c r="BEC63" s="188"/>
      <c r="BED63" s="188"/>
      <c r="BEE63" s="188"/>
      <c r="BEF63" s="188"/>
      <c r="BEG63" s="188"/>
      <c r="BEH63" s="188"/>
      <c r="BEI63" s="188"/>
      <c r="BEJ63" s="188"/>
      <c r="BEK63" s="188"/>
      <c r="BEL63" s="188"/>
      <c r="BEM63" s="188"/>
      <c r="BEN63" s="188"/>
      <c r="BEO63" s="188"/>
      <c r="BEP63" s="188"/>
      <c r="BEQ63" s="188"/>
      <c r="BER63" s="188"/>
      <c r="BES63" s="188"/>
      <c r="BET63" s="188"/>
      <c r="BEU63" s="188"/>
      <c r="BEV63" s="188"/>
      <c r="BEW63" s="188"/>
      <c r="BEX63" s="188"/>
      <c r="BEY63" s="188"/>
      <c r="BEZ63" s="188"/>
      <c r="BFA63" s="188"/>
      <c r="BFB63" s="188"/>
      <c r="BFC63" s="188"/>
      <c r="BFD63" s="188"/>
      <c r="BFE63" s="188"/>
      <c r="BFF63" s="188"/>
      <c r="BFG63" s="188"/>
      <c r="BFH63" s="188"/>
      <c r="BFI63" s="188"/>
      <c r="BFJ63" s="188"/>
      <c r="BFK63" s="188"/>
      <c r="BFL63" s="188"/>
      <c r="BFM63" s="188"/>
      <c r="BFN63" s="188"/>
      <c r="BFO63" s="188"/>
      <c r="BFP63" s="188"/>
      <c r="BFQ63" s="188"/>
      <c r="BFR63" s="188"/>
      <c r="BFS63" s="188"/>
      <c r="BFT63" s="188"/>
      <c r="BFU63" s="188"/>
      <c r="BFV63" s="188"/>
      <c r="BFW63" s="188"/>
      <c r="BFX63" s="188"/>
      <c r="BFY63" s="188"/>
      <c r="BFZ63" s="188"/>
      <c r="BGA63" s="188"/>
      <c r="BGB63" s="188"/>
      <c r="BGC63" s="188"/>
      <c r="BGD63" s="188"/>
      <c r="BGE63" s="188"/>
      <c r="BGF63" s="188"/>
      <c r="BGG63" s="188"/>
      <c r="BGH63" s="188"/>
      <c r="BGI63" s="188"/>
      <c r="BGJ63" s="188"/>
      <c r="BGK63" s="188"/>
      <c r="BGL63" s="188"/>
      <c r="BGM63" s="188"/>
      <c r="BGN63" s="188"/>
      <c r="BGO63" s="188"/>
      <c r="BGP63" s="188"/>
      <c r="BGQ63" s="188"/>
      <c r="BGR63" s="188"/>
      <c r="BGS63" s="188"/>
      <c r="BGT63" s="188"/>
      <c r="BGU63" s="188"/>
      <c r="BGV63" s="188"/>
      <c r="BGW63" s="188"/>
      <c r="BGX63" s="188"/>
      <c r="BGY63" s="188"/>
      <c r="BGZ63" s="188"/>
      <c r="BHA63" s="188"/>
      <c r="BHB63" s="188"/>
      <c r="BHC63" s="188"/>
      <c r="BHD63" s="188"/>
      <c r="BHE63" s="188"/>
      <c r="BHF63" s="188"/>
      <c r="BHG63" s="188"/>
      <c r="BHH63" s="188"/>
      <c r="BHI63" s="188"/>
      <c r="BHJ63" s="188"/>
      <c r="BHK63" s="188"/>
      <c r="BHL63" s="188"/>
      <c r="BHM63" s="188"/>
      <c r="BHN63" s="188"/>
      <c r="BHO63" s="188"/>
      <c r="BHP63" s="188"/>
      <c r="BHQ63" s="188"/>
      <c r="BHR63" s="188"/>
      <c r="BHS63" s="188"/>
      <c r="BHT63" s="188"/>
      <c r="BHU63" s="188"/>
      <c r="BHV63" s="188"/>
      <c r="BHW63" s="188"/>
      <c r="BHX63" s="188"/>
      <c r="BHY63" s="188"/>
      <c r="BHZ63" s="188"/>
      <c r="BIA63" s="188"/>
      <c r="BIB63" s="188"/>
      <c r="BIC63" s="188"/>
      <c r="BID63" s="188"/>
      <c r="BIE63" s="188"/>
      <c r="BIF63" s="188"/>
      <c r="BIG63" s="188"/>
      <c r="BIH63" s="188"/>
      <c r="BII63" s="188"/>
      <c r="BIJ63" s="188"/>
      <c r="BIK63" s="188"/>
      <c r="BIL63" s="188"/>
      <c r="BIM63" s="188"/>
      <c r="BIN63" s="188"/>
      <c r="BIO63" s="188"/>
      <c r="BIP63" s="188"/>
      <c r="BIQ63" s="188"/>
      <c r="BIR63" s="188"/>
      <c r="BIS63" s="188"/>
      <c r="BIT63" s="188"/>
      <c r="BIU63" s="188"/>
      <c r="BIV63" s="188"/>
      <c r="BIW63" s="188"/>
      <c r="BIX63" s="188"/>
      <c r="BIY63" s="188"/>
      <c r="BIZ63" s="188"/>
      <c r="BJA63" s="188"/>
      <c r="BJB63" s="188"/>
      <c r="BJC63" s="188"/>
      <c r="BJD63" s="188"/>
      <c r="BJE63" s="188"/>
      <c r="BJF63" s="188"/>
      <c r="BJG63" s="188"/>
      <c r="BJH63" s="188"/>
      <c r="BJI63" s="188"/>
      <c r="BJJ63" s="188"/>
      <c r="BJK63" s="188"/>
      <c r="BJL63" s="188"/>
      <c r="BJM63" s="188"/>
      <c r="BJN63" s="188"/>
      <c r="BJO63" s="188"/>
      <c r="BJP63" s="188"/>
      <c r="BJQ63" s="188"/>
      <c r="BJR63" s="188"/>
      <c r="BJS63" s="188"/>
      <c r="BJT63" s="188"/>
      <c r="BJU63" s="188"/>
      <c r="BJV63" s="188"/>
      <c r="BJW63" s="188"/>
      <c r="BJX63" s="188"/>
      <c r="BJY63" s="188"/>
      <c r="BJZ63" s="188"/>
      <c r="BKA63" s="188"/>
      <c r="BKB63" s="188"/>
      <c r="BKC63" s="188"/>
      <c r="BKD63" s="188"/>
      <c r="BKE63" s="188"/>
      <c r="BKF63" s="188"/>
      <c r="BKG63" s="188"/>
      <c r="BKH63" s="188"/>
      <c r="BKI63" s="188"/>
      <c r="BKJ63" s="188"/>
      <c r="BKK63" s="188"/>
      <c r="BKL63" s="188"/>
      <c r="BKM63" s="188"/>
      <c r="BKN63" s="188"/>
    </row>
    <row r="64" spans="1:1652" s="21" customFormat="1" x14ac:dyDescent="0.3">
      <c r="A64" s="171"/>
      <c r="B64" s="189"/>
      <c r="C64" s="189"/>
      <c r="D64" s="189"/>
      <c r="E64" s="189"/>
      <c r="F64" s="189"/>
      <c r="G64" s="189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8"/>
      <c r="AE64" s="188"/>
      <c r="AF64" s="188"/>
      <c r="AG64" s="188"/>
      <c r="AH64" s="188"/>
      <c r="AI64" s="188"/>
      <c r="AJ64" s="188"/>
      <c r="AK64" s="188"/>
      <c r="AL64" s="188"/>
      <c r="AM64" s="188"/>
      <c r="AN64" s="188"/>
      <c r="AO64" s="188"/>
      <c r="AP64" s="188"/>
      <c r="AQ64" s="188"/>
      <c r="AR64" s="188"/>
      <c r="AS64" s="188"/>
      <c r="AT64" s="189"/>
      <c r="AU64" s="189"/>
      <c r="AV64" s="189"/>
      <c r="AW64" s="189"/>
      <c r="AX64" s="189"/>
      <c r="AY64" s="189"/>
      <c r="AZ64" s="189"/>
      <c r="BA64" s="189"/>
      <c r="BB64" s="189"/>
      <c r="BC64" s="189"/>
      <c r="BD64" s="189"/>
      <c r="BE64" s="188"/>
      <c r="BF64" s="188"/>
      <c r="BG64" s="188"/>
      <c r="BH64" s="188"/>
      <c r="BI64" s="188"/>
      <c r="BJ64" s="188"/>
      <c r="BK64" s="188"/>
      <c r="BL64" s="188"/>
      <c r="BM64" s="188"/>
      <c r="BN64" s="188"/>
      <c r="BO64" s="188"/>
      <c r="BP64" s="188"/>
      <c r="BQ64" s="188"/>
      <c r="BR64" s="188"/>
      <c r="BS64" s="188"/>
      <c r="BT64" s="188"/>
      <c r="BU64" s="188"/>
      <c r="BV64" s="188"/>
      <c r="BW64" s="188"/>
      <c r="BX64" s="188"/>
      <c r="BY64" s="188"/>
      <c r="BZ64" s="188"/>
      <c r="CA64" s="188"/>
      <c r="CB64" s="188"/>
      <c r="CC64" s="188"/>
      <c r="CD64" s="188"/>
      <c r="CE64" s="188"/>
      <c r="CF64" s="188"/>
      <c r="CG64" s="188"/>
      <c r="CH64" s="188"/>
      <c r="CI64" s="188"/>
      <c r="CJ64" s="188"/>
      <c r="CK64" s="188"/>
      <c r="CL64" s="188"/>
      <c r="CM64" s="188"/>
      <c r="CN64" s="188"/>
      <c r="CO64" s="188"/>
      <c r="CP64" s="188"/>
      <c r="CQ64" s="188"/>
      <c r="CR64" s="188"/>
      <c r="CS64" s="188"/>
      <c r="CT64" s="188"/>
      <c r="CU64" s="188"/>
      <c r="CV64" s="188"/>
      <c r="CW64" s="188"/>
      <c r="CX64" s="188"/>
      <c r="CY64" s="188"/>
      <c r="CZ64" s="188"/>
      <c r="DA64" s="188"/>
      <c r="DB64" s="188"/>
      <c r="DC64" s="188"/>
      <c r="DD64" s="188"/>
      <c r="DE64" s="188"/>
      <c r="DF64" s="188"/>
      <c r="DG64" s="188"/>
      <c r="DH64" s="188"/>
      <c r="DI64" s="188"/>
      <c r="DJ64" s="188"/>
      <c r="DK64" s="188"/>
      <c r="DL64" s="188"/>
      <c r="DM64" s="188"/>
      <c r="DN64" s="188"/>
      <c r="DO64" s="188"/>
      <c r="DP64" s="188"/>
      <c r="DQ64" s="188"/>
      <c r="DR64" s="188"/>
      <c r="DS64" s="188"/>
      <c r="DT64" s="188"/>
      <c r="DU64" s="188"/>
      <c r="DV64" s="188"/>
      <c r="DW64" s="188"/>
      <c r="DX64" s="188"/>
      <c r="DY64" s="188"/>
      <c r="DZ64" s="188"/>
      <c r="EA64" s="188"/>
      <c r="EB64" s="188"/>
      <c r="EC64" s="188"/>
      <c r="ED64" s="188"/>
      <c r="EE64" s="188"/>
      <c r="EF64" s="188"/>
      <c r="EG64" s="188"/>
      <c r="EH64" s="188"/>
      <c r="EI64" s="188"/>
      <c r="EJ64" s="188"/>
      <c r="EK64" s="188"/>
      <c r="EL64" s="188"/>
      <c r="EM64" s="188"/>
      <c r="EN64" s="188"/>
      <c r="EO64" s="188"/>
      <c r="EP64" s="188"/>
      <c r="EQ64" s="188"/>
      <c r="ER64" s="188"/>
      <c r="ES64" s="188"/>
      <c r="ET64" s="188"/>
      <c r="EU64" s="188"/>
      <c r="EV64" s="188"/>
      <c r="EW64" s="188"/>
      <c r="EX64" s="188"/>
      <c r="EY64" s="188"/>
      <c r="EZ64" s="188"/>
      <c r="FA64" s="188"/>
      <c r="FB64" s="188"/>
      <c r="FC64" s="188"/>
      <c r="FD64" s="188"/>
      <c r="FE64" s="188"/>
      <c r="FF64" s="188"/>
      <c r="FG64" s="188"/>
      <c r="FH64" s="188"/>
      <c r="FI64" s="188"/>
      <c r="FJ64" s="188"/>
      <c r="FK64" s="188"/>
      <c r="FL64" s="188"/>
      <c r="FM64" s="188"/>
      <c r="FN64" s="188"/>
      <c r="FO64" s="188"/>
      <c r="FP64" s="188"/>
      <c r="FQ64" s="188"/>
      <c r="FR64" s="188"/>
      <c r="FS64" s="188"/>
      <c r="FT64" s="188"/>
      <c r="FU64" s="188"/>
      <c r="FV64" s="188"/>
      <c r="FW64" s="188"/>
      <c r="FX64" s="188"/>
      <c r="FY64" s="188"/>
      <c r="FZ64" s="188"/>
      <c r="GA64" s="188"/>
      <c r="GB64" s="188"/>
      <c r="GC64" s="188"/>
      <c r="GD64" s="188"/>
      <c r="GE64" s="188"/>
      <c r="GF64" s="188"/>
      <c r="GG64" s="188"/>
      <c r="GH64" s="188"/>
      <c r="GI64" s="188"/>
      <c r="GJ64" s="188"/>
      <c r="GK64" s="188"/>
      <c r="GL64" s="188"/>
      <c r="GM64" s="188"/>
      <c r="GN64" s="188"/>
      <c r="GO64" s="188"/>
      <c r="GP64" s="188"/>
      <c r="GQ64" s="188"/>
      <c r="GR64" s="188"/>
      <c r="GS64" s="188"/>
      <c r="GT64" s="188"/>
      <c r="GU64" s="188"/>
      <c r="GV64" s="188"/>
      <c r="GW64" s="188"/>
      <c r="GX64" s="188"/>
      <c r="GY64" s="188"/>
      <c r="GZ64" s="188"/>
      <c r="HA64" s="188"/>
      <c r="HB64" s="188"/>
      <c r="HC64" s="188"/>
      <c r="HD64" s="188"/>
      <c r="HE64" s="188"/>
      <c r="HF64" s="188"/>
      <c r="HG64" s="188"/>
      <c r="HH64" s="188"/>
      <c r="HI64" s="188"/>
      <c r="HJ64" s="188"/>
      <c r="HK64" s="188"/>
      <c r="HL64" s="188"/>
      <c r="HM64" s="188"/>
      <c r="HN64" s="188"/>
      <c r="HO64" s="188"/>
      <c r="HP64" s="188"/>
      <c r="HQ64" s="188"/>
      <c r="HR64" s="188"/>
      <c r="HS64" s="188"/>
      <c r="HT64" s="188"/>
      <c r="HU64" s="188"/>
      <c r="HV64" s="188"/>
      <c r="HW64" s="188"/>
      <c r="HX64" s="188"/>
      <c r="HY64" s="188"/>
      <c r="HZ64" s="188"/>
      <c r="IA64" s="188"/>
      <c r="IB64" s="188"/>
      <c r="IC64" s="188"/>
      <c r="ID64" s="188"/>
      <c r="IE64" s="188"/>
      <c r="IF64" s="188"/>
      <c r="IG64" s="188"/>
      <c r="IH64" s="188"/>
      <c r="II64" s="188"/>
      <c r="IJ64" s="188"/>
      <c r="IK64" s="188"/>
      <c r="IL64" s="188"/>
      <c r="IM64" s="188"/>
      <c r="IN64" s="188"/>
      <c r="IO64" s="188"/>
      <c r="IP64" s="188"/>
      <c r="IQ64" s="188"/>
      <c r="IR64" s="188"/>
      <c r="IS64" s="188"/>
      <c r="IT64" s="188"/>
      <c r="IU64" s="188"/>
      <c r="IV64" s="188"/>
      <c r="IW64" s="188"/>
      <c r="IX64" s="188"/>
      <c r="IY64" s="188"/>
      <c r="IZ64" s="188"/>
      <c r="JA64" s="188"/>
      <c r="JB64" s="188"/>
      <c r="JC64" s="188"/>
      <c r="JD64" s="188"/>
      <c r="JE64" s="188"/>
      <c r="JF64" s="188"/>
      <c r="JG64" s="188"/>
      <c r="JH64" s="188"/>
      <c r="JI64" s="188"/>
      <c r="JJ64" s="188"/>
      <c r="JK64" s="188"/>
      <c r="JL64" s="188"/>
      <c r="JM64" s="188"/>
      <c r="JN64" s="188"/>
      <c r="JO64" s="188"/>
      <c r="JP64" s="188"/>
      <c r="JQ64" s="188"/>
      <c r="JR64" s="188"/>
      <c r="JS64" s="188"/>
      <c r="JT64" s="188"/>
      <c r="JU64" s="188"/>
      <c r="JV64" s="188"/>
      <c r="JW64" s="188"/>
      <c r="JX64" s="188"/>
      <c r="JY64" s="188"/>
      <c r="JZ64" s="188"/>
      <c r="KA64" s="188"/>
      <c r="KB64" s="188"/>
      <c r="KC64" s="188"/>
      <c r="KD64" s="188"/>
      <c r="KE64" s="188"/>
      <c r="KF64" s="188"/>
      <c r="KG64" s="188"/>
      <c r="KH64" s="188"/>
      <c r="KI64" s="188"/>
      <c r="KJ64" s="188"/>
      <c r="KK64" s="188"/>
      <c r="KL64" s="188"/>
      <c r="KM64" s="188"/>
      <c r="KN64" s="188"/>
      <c r="KO64" s="188"/>
      <c r="KP64" s="188"/>
      <c r="KQ64" s="188"/>
      <c r="KR64" s="188"/>
      <c r="KS64" s="188"/>
      <c r="KT64" s="188"/>
      <c r="KU64" s="188"/>
      <c r="KV64" s="188"/>
      <c r="KW64" s="188"/>
      <c r="KX64" s="188"/>
      <c r="KY64" s="188"/>
      <c r="KZ64" s="188"/>
      <c r="LA64" s="188"/>
      <c r="LB64" s="188"/>
      <c r="LC64" s="188"/>
      <c r="LD64" s="188"/>
      <c r="LE64" s="188"/>
      <c r="LF64" s="188"/>
      <c r="LG64" s="188"/>
      <c r="LH64" s="188"/>
      <c r="LI64" s="188"/>
      <c r="LJ64" s="188"/>
      <c r="LK64" s="188"/>
      <c r="LL64" s="188"/>
      <c r="LM64" s="188"/>
      <c r="LN64" s="188"/>
      <c r="LO64" s="188"/>
      <c r="LP64" s="188"/>
      <c r="LQ64" s="188"/>
      <c r="LR64" s="188"/>
      <c r="LS64" s="188"/>
      <c r="LT64" s="188"/>
      <c r="LU64" s="188"/>
      <c r="LV64" s="188"/>
      <c r="LW64" s="188"/>
      <c r="LX64" s="188"/>
      <c r="LY64" s="188"/>
      <c r="LZ64" s="188"/>
      <c r="MA64" s="188"/>
      <c r="MB64" s="188"/>
      <c r="MC64" s="188"/>
      <c r="MD64" s="188"/>
      <c r="ME64" s="188"/>
      <c r="MF64" s="188"/>
      <c r="MG64" s="188"/>
      <c r="MH64" s="188"/>
      <c r="MI64" s="188"/>
      <c r="MJ64" s="188"/>
      <c r="MK64" s="188"/>
      <c r="ML64" s="188"/>
      <c r="MM64" s="188"/>
      <c r="MN64" s="188"/>
      <c r="MO64" s="188"/>
      <c r="MP64" s="188"/>
      <c r="MQ64" s="188"/>
      <c r="MR64" s="188"/>
      <c r="MS64" s="188"/>
      <c r="MT64" s="188"/>
      <c r="MU64" s="188"/>
      <c r="MV64" s="188"/>
      <c r="MW64" s="188"/>
      <c r="MX64" s="188"/>
      <c r="MY64" s="188"/>
      <c r="MZ64" s="188"/>
      <c r="NA64" s="188"/>
      <c r="NB64" s="188"/>
      <c r="NC64" s="188"/>
      <c r="ND64" s="188"/>
      <c r="NE64" s="188"/>
      <c r="NF64" s="188"/>
      <c r="NG64" s="188"/>
      <c r="NH64" s="188"/>
      <c r="NI64" s="188"/>
      <c r="NJ64" s="188"/>
      <c r="NK64" s="188"/>
      <c r="NL64" s="188"/>
      <c r="NM64" s="188"/>
      <c r="NN64" s="188"/>
      <c r="NO64" s="188"/>
      <c r="NP64" s="188"/>
      <c r="NQ64" s="188"/>
      <c r="NR64" s="188"/>
      <c r="NS64" s="188"/>
      <c r="NT64" s="188"/>
      <c r="NU64" s="188"/>
      <c r="NV64" s="188"/>
      <c r="NW64" s="188"/>
      <c r="NX64" s="188"/>
      <c r="NY64" s="188"/>
      <c r="NZ64" s="188"/>
      <c r="OA64" s="188"/>
      <c r="OB64" s="188"/>
      <c r="OC64" s="188"/>
      <c r="OD64" s="188"/>
      <c r="OE64" s="188"/>
      <c r="OF64" s="188"/>
      <c r="OG64" s="188"/>
      <c r="OH64" s="188"/>
      <c r="OI64" s="188"/>
      <c r="OJ64" s="188"/>
      <c r="OK64" s="188"/>
      <c r="OL64" s="188"/>
      <c r="OM64" s="188"/>
      <c r="ON64" s="188"/>
      <c r="OO64" s="188"/>
      <c r="OP64" s="188"/>
      <c r="OQ64" s="188"/>
      <c r="OR64" s="188"/>
      <c r="OS64" s="188"/>
      <c r="OT64" s="188"/>
      <c r="OU64" s="188"/>
      <c r="OV64" s="188"/>
      <c r="OW64" s="188"/>
      <c r="OX64" s="188"/>
      <c r="OY64" s="188"/>
      <c r="OZ64" s="188"/>
      <c r="PA64" s="188"/>
      <c r="PB64" s="188"/>
      <c r="PC64" s="188"/>
      <c r="PD64" s="188"/>
      <c r="PE64" s="188"/>
      <c r="PF64" s="188"/>
      <c r="PG64" s="188"/>
      <c r="PH64" s="188"/>
      <c r="PI64" s="188"/>
      <c r="PJ64" s="188"/>
      <c r="PK64" s="188"/>
      <c r="PL64" s="188"/>
      <c r="PM64" s="188"/>
      <c r="PN64" s="188"/>
      <c r="PO64" s="188"/>
      <c r="PP64" s="188"/>
      <c r="PQ64" s="188"/>
      <c r="PR64" s="188"/>
      <c r="PS64" s="188"/>
      <c r="PT64" s="188"/>
      <c r="PU64" s="188"/>
      <c r="PV64" s="188"/>
      <c r="PW64" s="188"/>
      <c r="PX64" s="188"/>
      <c r="PY64" s="188"/>
      <c r="PZ64" s="188"/>
      <c r="QA64" s="188"/>
      <c r="QB64" s="188"/>
      <c r="QC64" s="188"/>
      <c r="QD64" s="188"/>
      <c r="QE64" s="188"/>
      <c r="QF64" s="188"/>
      <c r="QG64" s="188"/>
      <c r="QH64" s="188"/>
      <c r="QI64" s="188"/>
      <c r="QJ64" s="188"/>
      <c r="QK64" s="188"/>
      <c r="QL64" s="188"/>
      <c r="QM64" s="188"/>
      <c r="QN64" s="188"/>
      <c r="QO64" s="188"/>
      <c r="QP64" s="188"/>
      <c r="QQ64" s="188"/>
      <c r="QR64" s="188"/>
      <c r="QS64" s="188"/>
      <c r="QT64" s="188"/>
      <c r="QU64" s="188"/>
      <c r="QV64" s="188"/>
      <c r="QW64" s="188"/>
      <c r="QX64" s="188"/>
      <c r="QY64" s="188"/>
      <c r="QZ64" s="188"/>
      <c r="RA64" s="188"/>
      <c r="RB64" s="188"/>
      <c r="RC64" s="188"/>
      <c r="RD64" s="188"/>
      <c r="RE64" s="188"/>
      <c r="RF64" s="188"/>
      <c r="RG64" s="188"/>
      <c r="RH64" s="188"/>
      <c r="RI64" s="188"/>
      <c r="RJ64" s="188"/>
      <c r="RK64" s="188"/>
      <c r="RL64" s="188"/>
      <c r="RM64" s="188"/>
      <c r="RN64" s="188"/>
      <c r="RO64" s="188"/>
      <c r="RP64" s="188"/>
      <c r="RQ64" s="188"/>
      <c r="RR64" s="188"/>
      <c r="RS64" s="188"/>
      <c r="RT64" s="188"/>
      <c r="RU64" s="188"/>
      <c r="RV64" s="188"/>
      <c r="RW64" s="188"/>
      <c r="RX64" s="188"/>
      <c r="RY64" s="188"/>
      <c r="RZ64" s="188"/>
      <c r="SA64" s="188"/>
      <c r="SB64" s="188"/>
      <c r="SC64" s="188"/>
      <c r="SD64" s="188"/>
      <c r="SE64" s="188"/>
      <c r="SF64" s="188"/>
      <c r="SG64" s="188"/>
      <c r="SH64" s="188"/>
      <c r="SI64" s="188"/>
      <c r="SJ64" s="188"/>
      <c r="SK64" s="188"/>
      <c r="SL64" s="188"/>
      <c r="SM64" s="188"/>
      <c r="SN64" s="188"/>
      <c r="SO64" s="188"/>
      <c r="SP64" s="188"/>
      <c r="SQ64" s="188"/>
      <c r="SR64" s="188"/>
      <c r="SS64" s="188"/>
      <c r="ST64" s="188"/>
      <c r="SU64" s="188"/>
      <c r="SV64" s="188"/>
      <c r="SW64" s="188"/>
      <c r="SX64" s="188"/>
      <c r="SY64" s="188"/>
      <c r="SZ64" s="188"/>
      <c r="TA64" s="188"/>
      <c r="TB64" s="188"/>
      <c r="TC64" s="188"/>
      <c r="TD64" s="188"/>
      <c r="TE64" s="188"/>
      <c r="TF64" s="188"/>
      <c r="TG64" s="188"/>
      <c r="TH64" s="188"/>
      <c r="TI64" s="188"/>
      <c r="TJ64" s="188"/>
      <c r="TK64" s="188"/>
      <c r="TL64" s="188"/>
      <c r="TM64" s="188"/>
      <c r="TN64" s="188"/>
      <c r="TO64" s="188"/>
      <c r="TP64" s="188"/>
      <c r="TQ64" s="188"/>
      <c r="TR64" s="188"/>
      <c r="TS64" s="188"/>
      <c r="TT64" s="188"/>
      <c r="TU64" s="188"/>
      <c r="TV64" s="188"/>
      <c r="TW64" s="188"/>
      <c r="TX64" s="188"/>
      <c r="TY64" s="188"/>
      <c r="TZ64" s="188"/>
      <c r="UA64" s="188"/>
      <c r="UB64" s="188"/>
      <c r="UC64" s="188"/>
      <c r="UD64" s="188"/>
      <c r="UE64" s="188"/>
      <c r="UF64" s="188"/>
      <c r="UG64" s="188"/>
      <c r="UH64" s="188"/>
      <c r="UI64" s="188"/>
      <c r="UJ64" s="188"/>
      <c r="UK64" s="188"/>
      <c r="UL64" s="188"/>
      <c r="UM64" s="188"/>
      <c r="UN64" s="188"/>
      <c r="UO64" s="188"/>
      <c r="UP64" s="188"/>
      <c r="UQ64" s="188"/>
      <c r="UR64" s="188"/>
      <c r="US64" s="188"/>
      <c r="UT64" s="188"/>
      <c r="UU64" s="188"/>
      <c r="UV64" s="188"/>
      <c r="UW64" s="188"/>
      <c r="UX64" s="188"/>
      <c r="UY64" s="188"/>
      <c r="UZ64" s="188"/>
      <c r="VA64" s="188"/>
      <c r="VB64" s="188"/>
      <c r="VC64" s="188"/>
      <c r="VD64" s="188"/>
      <c r="VE64" s="188"/>
      <c r="VF64" s="188"/>
      <c r="VG64" s="188"/>
      <c r="VH64" s="188"/>
      <c r="VI64" s="188"/>
      <c r="VJ64" s="188"/>
      <c r="VK64" s="188"/>
      <c r="VL64" s="188"/>
      <c r="VM64" s="188"/>
      <c r="VN64" s="188"/>
      <c r="VO64" s="188"/>
      <c r="VP64" s="188"/>
      <c r="VQ64" s="188"/>
      <c r="VR64" s="188"/>
      <c r="VS64" s="188"/>
      <c r="VT64" s="188"/>
      <c r="VU64" s="188"/>
      <c r="VV64" s="188"/>
      <c r="VW64" s="188"/>
      <c r="VX64" s="188"/>
      <c r="VY64" s="188"/>
      <c r="VZ64" s="188"/>
      <c r="WA64" s="188"/>
      <c r="WB64" s="188"/>
      <c r="WC64" s="188"/>
      <c r="WD64" s="188"/>
      <c r="WE64" s="188"/>
      <c r="WF64" s="188"/>
      <c r="WG64" s="188"/>
      <c r="WH64" s="188"/>
      <c r="WI64" s="188"/>
      <c r="WJ64" s="188"/>
      <c r="WK64" s="188"/>
      <c r="WL64" s="188"/>
      <c r="WM64" s="188"/>
      <c r="WN64" s="188"/>
      <c r="WO64" s="188"/>
      <c r="WP64" s="188"/>
      <c r="WQ64" s="188"/>
      <c r="WR64" s="188"/>
      <c r="WS64" s="188"/>
      <c r="WT64" s="188"/>
      <c r="WU64" s="188"/>
      <c r="WV64" s="188"/>
      <c r="WW64" s="188"/>
      <c r="WX64" s="188"/>
      <c r="WY64" s="188"/>
      <c r="WZ64" s="188"/>
      <c r="XA64" s="188"/>
      <c r="XB64" s="188"/>
      <c r="XC64" s="188"/>
      <c r="XD64" s="188"/>
      <c r="XE64" s="188"/>
      <c r="XF64" s="188"/>
      <c r="XG64" s="188"/>
      <c r="XH64" s="188"/>
      <c r="XI64" s="188"/>
      <c r="XJ64" s="188"/>
      <c r="XK64" s="188"/>
      <c r="XL64" s="188"/>
      <c r="XM64" s="188"/>
      <c r="XN64" s="188"/>
      <c r="XO64" s="188"/>
      <c r="XP64" s="188"/>
      <c r="XQ64" s="188"/>
      <c r="XR64" s="188"/>
      <c r="XS64" s="188"/>
      <c r="XT64" s="188"/>
      <c r="XU64" s="188"/>
      <c r="XV64" s="188"/>
      <c r="XW64" s="188"/>
      <c r="XX64" s="188"/>
      <c r="XY64" s="188"/>
      <c r="XZ64" s="188"/>
      <c r="YA64" s="188"/>
      <c r="YB64" s="188"/>
      <c r="YC64" s="188"/>
      <c r="YD64" s="188"/>
      <c r="YE64" s="188"/>
      <c r="YF64" s="188"/>
      <c r="YG64" s="188"/>
      <c r="YH64" s="188"/>
      <c r="YI64" s="188"/>
      <c r="YJ64" s="188"/>
      <c r="YK64" s="188"/>
      <c r="YL64" s="188"/>
      <c r="YM64" s="188"/>
      <c r="YN64" s="188"/>
      <c r="YO64" s="188"/>
      <c r="YP64" s="188"/>
      <c r="YQ64" s="188"/>
      <c r="YR64" s="188"/>
      <c r="YS64" s="188"/>
      <c r="YT64" s="188"/>
      <c r="YU64" s="188"/>
      <c r="YV64" s="188"/>
      <c r="YW64" s="188"/>
      <c r="YX64" s="188"/>
      <c r="YY64" s="188"/>
      <c r="YZ64" s="188"/>
      <c r="ZA64" s="188"/>
      <c r="ZB64" s="188"/>
      <c r="ZC64" s="188"/>
      <c r="ZD64" s="188"/>
      <c r="ZE64" s="188"/>
      <c r="ZF64" s="188"/>
      <c r="ZG64" s="188"/>
      <c r="ZH64" s="188"/>
      <c r="ZI64" s="188"/>
      <c r="ZJ64" s="188"/>
      <c r="ZK64" s="188"/>
      <c r="ZL64" s="188"/>
      <c r="ZM64" s="188"/>
      <c r="ZN64" s="188"/>
      <c r="ZO64" s="188"/>
      <c r="ZP64" s="188"/>
      <c r="ZQ64" s="188"/>
      <c r="ZR64" s="188"/>
      <c r="ZS64" s="188"/>
      <c r="ZT64" s="188"/>
      <c r="ZU64" s="188"/>
      <c r="ZV64" s="188"/>
      <c r="ZW64" s="188"/>
      <c r="ZX64" s="188"/>
      <c r="ZY64" s="188"/>
      <c r="ZZ64" s="188"/>
      <c r="AAA64" s="188"/>
      <c r="AAB64" s="188"/>
      <c r="AAC64" s="188"/>
      <c r="AAD64" s="188"/>
      <c r="AAE64" s="188"/>
      <c r="AAF64" s="188"/>
      <c r="AAG64" s="188"/>
      <c r="AAH64" s="188"/>
      <c r="AAI64" s="188"/>
      <c r="AAJ64" s="188"/>
      <c r="AAK64" s="188"/>
      <c r="AAL64" s="188"/>
      <c r="AAM64" s="188"/>
      <c r="AAN64" s="188"/>
      <c r="AAO64" s="188"/>
      <c r="AAP64" s="188"/>
      <c r="AAQ64" s="188"/>
      <c r="AAR64" s="188"/>
      <c r="AAS64" s="188"/>
      <c r="AAT64" s="188"/>
      <c r="AAU64" s="188"/>
      <c r="AAV64" s="188"/>
      <c r="AAW64" s="188"/>
      <c r="AAX64" s="188"/>
      <c r="AAY64" s="188"/>
      <c r="AAZ64" s="188"/>
      <c r="ABA64" s="188"/>
      <c r="ABB64" s="188"/>
      <c r="ABC64" s="188"/>
      <c r="ABD64" s="188"/>
      <c r="ABE64" s="188"/>
      <c r="ABF64" s="188"/>
      <c r="ABG64" s="188"/>
      <c r="ABH64" s="188"/>
      <c r="ABI64" s="188"/>
      <c r="ABJ64" s="188"/>
      <c r="ABK64" s="188"/>
      <c r="ABL64" s="188"/>
      <c r="ABM64" s="188"/>
      <c r="ABN64" s="188"/>
      <c r="ABO64" s="188"/>
      <c r="ABP64" s="188"/>
      <c r="ABQ64" s="188"/>
      <c r="ABR64" s="188"/>
      <c r="ABS64" s="188"/>
      <c r="ABT64" s="188"/>
      <c r="ABU64" s="188"/>
      <c r="ABV64" s="188"/>
      <c r="ABW64" s="188"/>
      <c r="ABX64" s="188"/>
      <c r="ABY64" s="188"/>
      <c r="ABZ64" s="188"/>
      <c r="ACA64" s="188"/>
      <c r="ACB64" s="188"/>
      <c r="ACC64" s="188"/>
      <c r="ACD64" s="188"/>
      <c r="ACE64" s="188"/>
      <c r="ACF64" s="188"/>
      <c r="ACG64" s="188"/>
      <c r="ACH64" s="188"/>
      <c r="ACI64" s="188"/>
      <c r="ACJ64" s="188"/>
      <c r="ACK64" s="188"/>
      <c r="ACL64" s="188"/>
      <c r="ACM64" s="188"/>
      <c r="ACN64" s="188"/>
      <c r="ACO64" s="188"/>
      <c r="ACP64" s="188"/>
      <c r="ACQ64" s="188"/>
      <c r="ACR64" s="188"/>
      <c r="ACS64" s="188"/>
      <c r="ACT64" s="188"/>
      <c r="ACU64" s="188"/>
      <c r="ACV64" s="188"/>
      <c r="ACW64" s="188"/>
      <c r="ACX64" s="188"/>
      <c r="ACY64" s="188"/>
      <c r="ACZ64" s="188"/>
      <c r="ADA64" s="188"/>
      <c r="ADB64" s="188"/>
      <c r="ADC64" s="188"/>
      <c r="ADD64" s="188"/>
      <c r="ADE64" s="188"/>
      <c r="ADF64" s="188"/>
      <c r="ADG64" s="188"/>
      <c r="ADH64" s="188"/>
      <c r="ADI64" s="188"/>
      <c r="ADJ64" s="188"/>
      <c r="ADK64" s="188"/>
      <c r="ADL64" s="188"/>
      <c r="ADM64" s="188"/>
      <c r="ADN64" s="188"/>
      <c r="ADO64" s="188"/>
      <c r="ADP64" s="188"/>
      <c r="ADQ64" s="188"/>
      <c r="ADR64" s="188"/>
      <c r="ADS64" s="188"/>
      <c r="ADT64" s="188"/>
      <c r="ADU64" s="188"/>
      <c r="ADV64" s="188"/>
      <c r="ADW64" s="188"/>
      <c r="ADX64" s="188"/>
      <c r="ADY64" s="188"/>
      <c r="ADZ64" s="188"/>
      <c r="AEA64" s="188"/>
      <c r="AEB64" s="188"/>
      <c r="AEC64" s="188"/>
      <c r="AED64" s="188"/>
      <c r="AEE64" s="188"/>
      <c r="AEF64" s="188"/>
      <c r="AEG64" s="188"/>
      <c r="AEH64" s="188"/>
      <c r="AEI64" s="188"/>
      <c r="AEJ64" s="188"/>
      <c r="AEK64" s="188"/>
      <c r="AEL64" s="188"/>
      <c r="AEM64" s="188"/>
      <c r="AEN64" s="188"/>
      <c r="AEO64" s="188"/>
      <c r="AEP64" s="188"/>
      <c r="AEQ64" s="188"/>
      <c r="AER64" s="188"/>
      <c r="AES64" s="188"/>
      <c r="AET64" s="188"/>
      <c r="AEU64" s="188"/>
      <c r="AEV64" s="188"/>
      <c r="AEW64" s="188"/>
      <c r="AEX64" s="188"/>
      <c r="AEY64" s="188"/>
      <c r="AEZ64" s="188"/>
      <c r="AFA64" s="188"/>
      <c r="AFB64" s="188"/>
      <c r="AFC64" s="188"/>
      <c r="AFD64" s="188"/>
      <c r="AFE64" s="188"/>
      <c r="AFF64" s="188"/>
      <c r="AFG64" s="188"/>
      <c r="AFH64" s="188"/>
      <c r="AFI64" s="188"/>
      <c r="AFJ64" s="188"/>
      <c r="AFK64" s="188"/>
      <c r="AFL64" s="188"/>
      <c r="AFM64" s="188"/>
      <c r="AFN64" s="188"/>
      <c r="AFO64" s="188"/>
      <c r="AFP64" s="188"/>
      <c r="AFQ64" s="188"/>
      <c r="AFR64" s="188"/>
      <c r="AFS64" s="188"/>
      <c r="AFT64" s="188"/>
      <c r="AFU64" s="188"/>
      <c r="AFV64" s="188"/>
      <c r="AFW64" s="188"/>
      <c r="AFX64" s="188"/>
      <c r="AFY64" s="188"/>
      <c r="AFZ64" s="188"/>
      <c r="AGA64" s="188"/>
      <c r="AGB64" s="188"/>
      <c r="AGC64" s="188"/>
      <c r="AGD64" s="188"/>
      <c r="AGE64" s="188"/>
      <c r="AGF64" s="188"/>
      <c r="AGG64" s="188"/>
      <c r="AGH64" s="188"/>
      <c r="AGI64" s="188"/>
      <c r="AGJ64" s="188"/>
      <c r="AGK64" s="188"/>
      <c r="AGL64" s="188"/>
      <c r="AGM64" s="188"/>
      <c r="AGN64" s="188"/>
      <c r="AGO64" s="188"/>
      <c r="AGP64" s="188"/>
      <c r="AGQ64" s="188"/>
      <c r="AGR64" s="188"/>
      <c r="AGS64" s="188"/>
      <c r="AGT64" s="188"/>
      <c r="AGU64" s="188"/>
      <c r="AGV64" s="188"/>
      <c r="AGW64" s="188"/>
      <c r="AGX64" s="188"/>
      <c r="AGY64" s="188"/>
      <c r="AGZ64" s="188"/>
      <c r="AHA64" s="188"/>
      <c r="AHB64" s="188"/>
      <c r="AHC64" s="188"/>
      <c r="AHD64" s="188"/>
      <c r="AHE64" s="188"/>
      <c r="AHF64" s="188"/>
      <c r="AHG64" s="188"/>
      <c r="AHH64" s="188"/>
      <c r="AHI64" s="188"/>
      <c r="AHJ64" s="188"/>
      <c r="AHK64" s="188"/>
      <c r="AHL64" s="188"/>
      <c r="AHM64" s="188"/>
      <c r="AHN64" s="188"/>
      <c r="AHO64" s="188"/>
      <c r="AHP64" s="188"/>
      <c r="AHQ64" s="188"/>
      <c r="AHR64" s="188"/>
      <c r="AHS64" s="188"/>
      <c r="AHT64" s="188"/>
      <c r="AHU64" s="188"/>
      <c r="AHV64" s="188"/>
      <c r="AHW64" s="188"/>
      <c r="AHX64" s="188"/>
      <c r="AHY64" s="188"/>
      <c r="AHZ64" s="188"/>
      <c r="AIA64" s="188"/>
      <c r="AIB64" s="188"/>
      <c r="AIC64" s="188"/>
      <c r="AID64" s="188"/>
      <c r="AIE64" s="188"/>
      <c r="AIF64" s="188"/>
      <c r="AIG64" s="188"/>
      <c r="AIH64" s="188"/>
      <c r="AII64" s="188"/>
      <c r="AIJ64" s="188"/>
      <c r="AIK64" s="188"/>
      <c r="AIL64" s="188"/>
      <c r="AIM64" s="188"/>
      <c r="AIN64" s="188"/>
      <c r="AIO64" s="188"/>
      <c r="AIP64" s="188"/>
      <c r="AIQ64" s="188"/>
      <c r="AIR64" s="188"/>
      <c r="AIS64" s="188"/>
      <c r="AIT64" s="188"/>
      <c r="AIU64" s="188"/>
      <c r="AIV64" s="188"/>
      <c r="AIW64" s="188"/>
      <c r="AIX64" s="188"/>
      <c r="AIY64" s="188"/>
      <c r="AIZ64" s="188"/>
      <c r="AJA64" s="188"/>
      <c r="AJB64" s="188"/>
      <c r="AJC64" s="188"/>
      <c r="AJD64" s="188"/>
      <c r="AJE64" s="188"/>
      <c r="AJF64" s="188"/>
      <c r="AJG64" s="188"/>
      <c r="AJH64" s="188"/>
      <c r="AJI64" s="188"/>
      <c r="AJJ64" s="188"/>
      <c r="AJK64" s="188"/>
      <c r="AJL64" s="188"/>
      <c r="AJM64" s="188"/>
      <c r="AJN64" s="188"/>
      <c r="AJO64" s="188"/>
      <c r="AJP64" s="188"/>
      <c r="AJQ64" s="188"/>
      <c r="AJR64" s="188"/>
      <c r="AJS64" s="188"/>
      <c r="AJT64" s="188"/>
      <c r="AJU64" s="188"/>
      <c r="AJV64" s="188"/>
      <c r="AJW64" s="188"/>
      <c r="AJX64" s="188"/>
      <c r="AJY64" s="188"/>
      <c r="AJZ64" s="188"/>
      <c r="AKA64" s="188"/>
      <c r="AKB64" s="188"/>
      <c r="AKC64" s="188"/>
      <c r="AKD64" s="188"/>
      <c r="AKE64" s="188"/>
      <c r="AKF64" s="188"/>
      <c r="AKG64" s="188"/>
      <c r="AKH64" s="188"/>
      <c r="AKI64" s="188"/>
      <c r="AKJ64" s="188"/>
      <c r="AKK64" s="188"/>
      <c r="AKL64" s="188"/>
      <c r="AKM64" s="188"/>
      <c r="AKN64" s="188"/>
      <c r="AKO64" s="188"/>
      <c r="AKP64" s="188"/>
      <c r="AKQ64" s="188"/>
      <c r="AKR64" s="188"/>
      <c r="AKS64" s="188"/>
      <c r="AKT64" s="188"/>
      <c r="AKU64" s="188"/>
      <c r="AKV64" s="188"/>
      <c r="AKW64" s="188"/>
      <c r="AKX64" s="188"/>
      <c r="AKY64" s="188"/>
      <c r="AKZ64" s="188"/>
      <c r="ALA64" s="188"/>
      <c r="ALB64" s="188"/>
      <c r="ALC64" s="188"/>
      <c r="ALD64" s="188"/>
      <c r="ALE64" s="188"/>
      <c r="ALF64" s="188"/>
      <c r="ALG64" s="188"/>
      <c r="ALH64" s="188"/>
      <c r="ALI64" s="188"/>
      <c r="ALJ64" s="188"/>
      <c r="ALK64" s="188"/>
      <c r="ALL64" s="188"/>
      <c r="ALM64" s="188"/>
      <c r="ALN64" s="188"/>
      <c r="ALO64" s="188"/>
      <c r="ALP64" s="188"/>
      <c r="ALQ64" s="188"/>
      <c r="ALR64" s="188"/>
      <c r="ALS64" s="188"/>
      <c r="ALT64" s="188"/>
      <c r="ALU64" s="188"/>
      <c r="ALV64" s="188"/>
      <c r="ALW64" s="188"/>
      <c r="ALX64" s="188"/>
      <c r="ALY64" s="188"/>
      <c r="ALZ64" s="188"/>
      <c r="AMA64" s="188"/>
      <c r="AMB64" s="188"/>
      <c r="AMC64" s="188"/>
      <c r="AMD64" s="188"/>
      <c r="AME64" s="188"/>
      <c r="AMF64" s="188"/>
      <c r="AMG64" s="188"/>
      <c r="AMH64" s="188"/>
      <c r="AMI64" s="188"/>
      <c r="AMJ64" s="188"/>
      <c r="AMK64" s="188"/>
      <c r="AML64" s="188"/>
      <c r="AMM64" s="188"/>
      <c r="AMN64" s="188"/>
      <c r="AMO64" s="188"/>
      <c r="AMP64" s="188"/>
      <c r="AMQ64" s="188"/>
      <c r="AMR64" s="188"/>
      <c r="AMS64" s="188"/>
      <c r="AMT64" s="188"/>
      <c r="AMU64" s="188"/>
      <c r="AMV64" s="188"/>
      <c r="AMW64" s="188"/>
      <c r="AMX64" s="188"/>
      <c r="AMY64" s="188"/>
      <c r="AMZ64" s="188"/>
      <c r="ANA64" s="188"/>
      <c r="ANB64" s="188"/>
      <c r="ANC64" s="188"/>
      <c r="AND64" s="188"/>
      <c r="ANE64" s="188"/>
      <c r="ANF64" s="188"/>
      <c r="ANG64" s="188"/>
      <c r="ANH64" s="188"/>
      <c r="ANI64" s="188"/>
      <c r="ANJ64" s="188"/>
      <c r="ANK64" s="188"/>
      <c r="ANL64" s="188"/>
      <c r="ANM64" s="188"/>
      <c r="ANN64" s="188"/>
      <c r="ANO64" s="188"/>
      <c r="ANP64" s="188"/>
      <c r="ANQ64" s="188"/>
      <c r="ANR64" s="188"/>
      <c r="ANS64" s="188"/>
      <c r="ANT64" s="188"/>
      <c r="ANU64" s="188"/>
      <c r="ANV64" s="188"/>
      <c r="ANW64" s="188"/>
      <c r="ANX64" s="188"/>
      <c r="ANY64" s="188"/>
      <c r="ANZ64" s="188"/>
      <c r="AOA64" s="188"/>
      <c r="AOB64" s="188"/>
      <c r="AOC64" s="188"/>
      <c r="AOD64" s="188"/>
      <c r="AOE64" s="188"/>
      <c r="AOF64" s="188"/>
      <c r="AOG64" s="188"/>
      <c r="AOH64" s="188"/>
      <c r="AOI64" s="188"/>
      <c r="AOJ64" s="188"/>
      <c r="AOK64" s="188"/>
      <c r="AOL64" s="188"/>
      <c r="AOM64" s="188"/>
      <c r="AON64" s="188"/>
      <c r="AOO64" s="188"/>
      <c r="AOP64" s="188"/>
      <c r="AOQ64" s="188"/>
      <c r="AOR64" s="188"/>
      <c r="AOS64" s="188"/>
      <c r="AOT64" s="188"/>
      <c r="AOU64" s="188"/>
      <c r="AOV64" s="188"/>
      <c r="AOW64" s="188"/>
      <c r="AOX64" s="188"/>
      <c r="AOY64" s="188"/>
      <c r="AOZ64" s="188"/>
      <c r="APA64" s="188"/>
      <c r="APB64" s="188"/>
      <c r="APC64" s="188"/>
      <c r="APD64" s="188"/>
      <c r="APE64" s="188"/>
      <c r="APF64" s="188"/>
      <c r="APG64" s="188"/>
      <c r="APH64" s="188"/>
      <c r="API64" s="188"/>
      <c r="APJ64" s="188"/>
      <c r="APK64" s="188"/>
      <c r="APL64" s="188"/>
      <c r="APM64" s="188"/>
      <c r="APN64" s="188"/>
      <c r="APO64" s="188"/>
      <c r="APP64" s="188"/>
      <c r="APQ64" s="188"/>
      <c r="APR64" s="188"/>
      <c r="APS64" s="188"/>
      <c r="APT64" s="188"/>
      <c r="APU64" s="188"/>
      <c r="APV64" s="188"/>
      <c r="APW64" s="188"/>
      <c r="APX64" s="188"/>
      <c r="APY64" s="188"/>
      <c r="APZ64" s="188"/>
      <c r="AQA64" s="188"/>
      <c r="AQB64" s="188"/>
      <c r="AQC64" s="188"/>
      <c r="AQD64" s="188"/>
      <c r="AQE64" s="188"/>
      <c r="AQF64" s="188"/>
      <c r="AQG64" s="188"/>
      <c r="AQH64" s="188"/>
      <c r="AQI64" s="188"/>
      <c r="AQJ64" s="188"/>
      <c r="AQK64" s="188"/>
      <c r="AQL64" s="188"/>
      <c r="AQM64" s="188"/>
      <c r="AQN64" s="188"/>
      <c r="AQO64" s="188"/>
      <c r="AQP64" s="188"/>
      <c r="AQQ64" s="188"/>
      <c r="AQR64" s="188"/>
      <c r="AQS64" s="188"/>
      <c r="AQT64" s="188"/>
      <c r="AQU64" s="188"/>
      <c r="AQV64" s="188"/>
      <c r="AQW64" s="188"/>
      <c r="AQX64" s="188"/>
      <c r="AQY64" s="188"/>
      <c r="AQZ64" s="188"/>
      <c r="ARA64" s="188"/>
      <c r="ARB64" s="188"/>
      <c r="ARC64" s="188"/>
      <c r="ARD64" s="188"/>
      <c r="ARE64" s="188"/>
      <c r="ARF64" s="188"/>
      <c r="ARG64" s="188"/>
      <c r="ARH64" s="188"/>
      <c r="ARI64" s="188"/>
      <c r="ARJ64" s="188"/>
      <c r="ARK64" s="188"/>
      <c r="ARL64" s="188"/>
      <c r="ARM64" s="188"/>
      <c r="ARN64" s="188"/>
      <c r="ARO64" s="188"/>
      <c r="ARP64" s="188"/>
      <c r="ARQ64" s="188"/>
      <c r="ARR64" s="188"/>
      <c r="ARS64" s="188"/>
      <c r="ART64" s="188"/>
      <c r="ARU64" s="188"/>
      <c r="ARV64" s="188"/>
      <c r="ARW64" s="188"/>
      <c r="ARX64" s="188"/>
      <c r="ARY64" s="188"/>
      <c r="ARZ64" s="188"/>
      <c r="ASA64" s="188"/>
      <c r="ASB64" s="188"/>
      <c r="ASC64" s="188"/>
      <c r="ASD64" s="188"/>
      <c r="ASE64" s="188"/>
      <c r="ASF64" s="188"/>
      <c r="ASG64" s="188"/>
      <c r="ASH64" s="188"/>
      <c r="ASI64" s="188"/>
      <c r="ASJ64" s="188"/>
      <c r="ASK64" s="188"/>
      <c r="ASL64" s="188"/>
      <c r="ASM64" s="188"/>
      <c r="ASN64" s="188"/>
      <c r="ASO64" s="188"/>
      <c r="ASP64" s="188"/>
      <c r="ASQ64" s="188"/>
      <c r="ASR64" s="188"/>
      <c r="ASS64" s="188"/>
      <c r="AST64" s="188"/>
      <c r="ASU64" s="188"/>
      <c r="ASV64" s="188"/>
      <c r="ASW64" s="188"/>
      <c r="ASX64" s="188"/>
      <c r="ASY64" s="188"/>
      <c r="ASZ64" s="188"/>
      <c r="ATA64" s="188"/>
      <c r="ATB64" s="188"/>
      <c r="ATC64" s="188"/>
      <c r="ATD64" s="188"/>
      <c r="ATE64" s="188"/>
      <c r="ATF64" s="188"/>
      <c r="ATG64" s="188"/>
      <c r="ATH64" s="188"/>
      <c r="ATI64" s="188"/>
      <c r="ATJ64" s="188"/>
      <c r="ATK64" s="188"/>
      <c r="ATL64" s="188"/>
      <c r="ATM64" s="188"/>
      <c r="ATN64" s="188"/>
      <c r="ATO64" s="188"/>
      <c r="ATP64" s="188"/>
      <c r="ATQ64" s="188"/>
      <c r="ATR64" s="188"/>
      <c r="ATS64" s="188"/>
      <c r="ATT64" s="188"/>
      <c r="ATU64" s="188"/>
      <c r="ATV64" s="188"/>
      <c r="ATW64" s="188"/>
      <c r="ATX64" s="188"/>
      <c r="ATY64" s="188"/>
      <c r="ATZ64" s="188"/>
      <c r="AUA64" s="188"/>
      <c r="AUB64" s="188"/>
      <c r="AUC64" s="188"/>
      <c r="AUD64" s="188"/>
      <c r="AUE64" s="188"/>
      <c r="AUF64" s="188"/>
      <c r="AUG64" s="188"/>
      <c r="AUH64" s="188"/>
      <c r="AUI64" s="188"/>
      <c r="AUJ64" s="188"/>
      <c r="AUK64" s="188"/>
      <c r="AUL64" s="188"/>
      <c r="AUM64" s="188"/>
      <c r="AUN64" s="188"/>
      <c r="AUO64" s="188"/>
      <c r="AUP64" s="188"/>
      <c r="AUQ64" s="188"/>
      <c r="AUR64" s="188"/>
      <c r="AUS64" s="188"/>
      <c r="AUT64" s="188"/>
      <c r="AUU64" s="188"/>
      <c r="AUV64" s="188"/>
      <c r="AUW64" s="188"/>
      <c r="AUX64" s="188"/>
      <c r="AUY64" s="188"/>
      <c r="AUZ64" s="188"/>
      <c r="AVA64" s="188"/>
      <c r="AVB64" s="188"/>
      <c r="AVC64" s="188"/>
      <c r="AVD64" s="188"/>
      <c r="AVE64" s="188"/>
      <c r="AVF64" s="188"/>
      <c r="AVG64" s="188"/>
      <c r="AVH64" s="188"/>
      <c r="AVI64" s="188"/>
      <c r="AVJ64" s="188"/>
      <c r="AVK64" s="188"/>
      <c r="AVL64" s="188"/>
      <c r="AVM64" s="188"/>
      <c r="AVN64" s="188"/>
      <c r="AVO64" s="188"/>
      <c r="AVP64" s="188"/>
      <c r="AVQ64" s="188"/>
      <c r="AVR64" s="188"/>
      <c r="AVS64" s="188"/>
      <c r="AVT64" s="188"/>
      <c r="AVU64" s="188"/>
      <c r="AVV64" s="188"/>
      <c r="AVW64" s="188"/>
      <c r="AVX64" s="188"/>
      <c r="AVY64" s="188"/>
      <c r="AVZ64" s="188"/>
      <c r="AWA64" s="188"/>
      <c r="AWB64" s="188"/>
      <c r="AWC64" s="188"/>
      <c r="AWD64" s="188"/>
      <c r="AWE64" s="188"/>
      <c r="AWF64" s="188"/>
      <c r="AWG64" s="188"/>
      <c r="AWH64" s="188"/>
      <c r="AWI64" s="188"/>
      <c r="AWJ64" s="188"/>
      <c r="AWK64" s="188"/>
      <c r="AWL64" s="188"/>
      <c r="AWM64" s="188"/>
      <c r="AWN64" s="188"/>
      <c r="AWO64" s="188"/>
      <c r="AWP64" s="188"/>
      <c r="AWQ64" s="188"/>
      <c r="AWR64" s="188"/>
      <c r="AWS64" s="188"/>
      <c r="AWT64" s="188"/>
      <c r="AWU64" s="188"/>
      <c r="AWV64" s="188"/>
      <c r="AWW64" s="188"/>
      <c r="AWX64" s="188"/>
      <c r="AWY64" s="188"/>
      <c r="AWZ64" s="188"/>
      <c r="AXA64" s="188"/>
      <c r="AXB64" s="188"/>
      <c r="AXC64" s="188"/>
      <c r="AXD64" s="188"/>
      <c r="AXE64" s="188"/>
      <c r="AXF64" s="188"/>
      <c r="AXG64" s="188"/>
      <c r="AXH64" s="188"/>
      <c r="AXI64" s="188"/>
      <c r="AXJ64" s="188"/>
      <c r="AXK64" s="188"/>
      <c r="AXL64" s="188"/>
      <c r="AXM64" s="188"/>
      <c r="AXN64" s="188"/>
      <c r="AXO64" s="188"/>
      <c r="AXP64" s="188"/>
      <c r="AXQ64" s="188"/>
      <c r="AXR64" s="188"/>
      <c r="AXS64" s="188"/>
      <c r="AXT64" s="188"/>
      <c r="AXU64" s="188"/>
      <c r="AXV64" s="188"/>
      <c r="AXW64" s="188"/>
      <c r="AXX64" s="188"/>
      <c r="AXY64" s="188"/>
      <c r="AXZ64" s="188"/>
      <c r="AYA64" s="188"/>
      <c r="AYB64" s="188"/>
      <c r="AYC64" s="188"/>
      <c r="AYD64" s="188"/>
      <c r="AYE64" s="188"/>
      <c r="AYF64" s="188"/>
      <c r="AYG64" s="188"/>
      <c r="AYH64" s="188"/>
      <c r="AYI64" s="188"/>
      <c r="AYJ64" s="188"/>
      <c r="AYK64" s="188"/>
      <c r="AYL64" s="188"/>
      <c r="AYM64" s="188"/>
      <c r="AYN64" s="188"/>
      <c r="AYO64" s="188"/>
      <c r="AYP64" s="188"/>
      <c r="AYQ64" s="188"/>
      <c r="AYR64" s="188"/>
      <c r="AYS64" s="188"/>
      <c r="AYT64" s="188"/>
      <c r="AYU64" s="188"/>
      <c r="AYV64" s="188"/>
      <c r="AYW64" s="188"/>
      <c r="AYX64" s="188"/>
      <c r="AYY64" s="188"/>
      <c r="AYZ64" s="188"/>
      <c r="AZA64" s="188"/>
      <c r="AZB64" s="188"/>
      <c r="AZC64" s="188"/>
      <c r="AZD64" s="188"/>
      <c r="AZE64" s="188"/>
      <c r="AZF64" s="188"/>
      <c r="AZG64" s="188"/>
      <c r="AZH64" s="188"/>
      <c r="AZI64" s="188"/>
      <c r="AZJ64" s="188"/>
      <c r="AZK64" s="188"/>
      <c r="AZL64" s="188"/>
      <c r="AZM64" s="188"/>
      <c r="AZN64" s="188"/>
      <c r="AZO64" s="188"/>
      <c r="AZP64" s="188"/>
      <c r="AZQ64" s="188"/>
      <c r="AZR64" s="188"/>
      <c r="AZS64" s="188"/>
      <c r="AZT64" s="188"/>
      <c r="AZU64" s="188"/>
      <c r="AZV64" s="188"/>
      <c r="AZW64" s="188"/>
      <c r="AZX64" s="188"/>
      <c r="AZY64" s="188"/>
      <c r="AZZ64" s="188"/>
      <c r="BAA64" s="188"/>
      <c r="BAB64" s="188"/>
      <c r="BAC64" s="188"/>
      <c r="BAD64" s="188"/>
      <c r="BAE64" s="188"/>
      <c r="BAF64" s="188"/>
      <c r="BAG64" s="188"/>
      <c r="BAH64" s="188"/>
      <c r="BAI64" s="188"/>
      <c r="BAJ64" s="188"/>
      <c r="BAK64" s="188"/>
      <c r="BAL64" s="188"/>
      <c r="BAM64" s="188"/>
      <c r="BAN64" s="188"/>
      <c r="BAO64" s="188"/>
      <c r="BAP64" s="188"/>
      <c r="BAQ64" s="188"/>
      <c r="BAR64" s="188"/>
      <c r="BAS64" s="188"/>
      <c r="BAT64" s="188"/>
      <c r="BAU64" s="188"/>
      <c r="BAV64" s="188"/>
      <c r="BAW64" s="188"/>
      <c r="BAX64" s="188"/>
      <c r="BAY64" s="188"/>
      <c r="BAZ64" s="188"/>
      <c r="BBA64" s="188"/>
      <c r="BBB64" s="188"/>
      <c r="BBC64" s="188"/>
      <c r="BBD64" s="188"/>
      <c r="BBE64" s="188"/>
      <c r="BBF64" s="188"/>
      <c r="BBG64" s="188"/>
      <c r="BBH64" s="188"/>
      <c r="BBI64" s="188"/>
      <c r="BBJ64" s="188"/>
      <c r="BBK64" s="188"/>
      <c r="BBL64" s="188"/>
      <c r="BBM64" s="188"/>
      <c r="BBN64" s="188"/>
      <c r="BBO64" s="188"/>
      <c r="BBP64" s="188"/>
      <c r="BBQ64" s="188"/>
      <c r="BBR64" s="188"/>
      <c r="BBS64" s="188"/>
      <c r="BBT64" s="188"/>
      <c r="BBU64" s="188"/>
      <c r="BBV64" s="188"/>
      <c r="BBW64" s="188"/>
      <c r="BBX64" s="188"/>
      <c r="BBY64" s="188"/>
      <c r="BBZ64" s="188"/>
      <c r="BCA64" s="188"/>
      <c r="BCB64" s="188"/>
      <c r="BCC64" s="188"/>
      <c r="BCD64" s="188"/>
      <c r="BCE64" s="188"/>
      <c r="BCF64" s="188"/>
      <c r="BCG64" s="188"/>
      <c r="BCH64" s="188"/>
      <c r="BCI64" s="188"/>
      <c r="BCJ64" s="188"/>
      <c r="BCK64" s="188"/>
      <c r="BCL64" s="188"/>
      <c r="BCM64" s="188"/>
      <c r="BCN64" s="188"/>
      <c r="BCO64" s="188"/>
      <c r="BCP64" s="188"/>
      <c r="BCQ64" s="188"/>
      <c r="BCR64" s="188"/>
      <c r="BCS64" s="188"/>
      <c r="BCT64" s="188"/>
      <c r="BCU64" s="188"/>
      <c r="BCV64" s="188"/>
      <c r="BCW64" s="188"/>
      <c r="BCX64" s="188"/>
      <c r="BCY64" s="188"/>
      <c r="BCZ64" s="188"/>
      <c r="BDA64" s="188"/>
      <c r="BDB64" s="188"/>
      <c r="BDC64" s="188"/>
      <c r="BDD64" s="188"/>
      <c r="BDE64" s="188"/>
      <c r="BDF64" s="188"/>
      <c r="BDG64" s="188"/>
      <c r="BDH64" s="188"/>
      <c r="BDI64" s="188"/>
      <c r="BDJ64" s="188"/>
      <c r="BDK64" s="188"/>
      <c r="BDL64" s="188"/>
      <c r="BDM64" s="188"/>
      <c r="BDN64" s="188"/>
      <c r="BDO64" s="188"/>
      <c r="BDP64" s="188"/>
      <c r="BDQ64" s="188"/>
      <c r="BDR64" s="188"/>
      <c r="BDS64" s="188"/>
      <c r="BDT64" s="188"/>
      <c r="BDU64" s="188"/>
      <c r="BDV64" s="188"/>
      <c r="BDW64" s="188"/>
      <c r="BDX64" s="188"/>
      <c r="BDY64" s="188"/>
      <c r="BDZ64" s="188"/>
      <c r="BEA64" s="188"/>
      <c r="BEB64" s="188"/>
      <c r="BEC64" s="188"/>
      <c r="BED64" s="188"/>
      <c r="BEE64" s="188"/>
      <c r="BEF64" s="188"/>
      <c r="BEG64" s="188"/>
      <c r="BEH64" s="188"/>
      <c r="BEI64" s="188"/>
      <c r="BEJ64" s="188"/>
      <c r="BEK64" s="188"/>
      <c r="BEL64" s="188"/>
      <c r="BEM64" s="188"/>
      <c r="BEN64" s="188"/>
      <c r="BEO64" s="188"/>
      <c r="BEP64" s="188"/>
      <c r="BEQ64" s="188"/>
      <c r="BER64" s="188"/>
      <c r="BES64" s="188"/>
      <c r="BET64" s="188"/>
      <c r="BEU64" s="188"/>
      <c r="BEV64" s="188"/>
      <c r="BEW64" s="188"/>
      <c r="BEX64" s="188"/>
      <c r="BEY64" s="188"/>
      <c r="BEZ64" s="188"/>
      <c r="BFA64" s="188"/>
      <c r="BFB64" s="188"/>
      <c r="BFC64" s="188"/>
      <c r="BFD64" s="188"/>
      <c r="BFE64" s="188"/>
      <c r="BFF64" s="188"/>
      <c r="BFG64" s="188"/>
      <c r="BFH64" s="188"/>
      <c r="BFI64" s="188"/>
      <c r="BFJ64" s="188"/>
      <c r="BFK64" s="188"/>
      <c r="BFL64" s="188"/>
      <c r="BFM64" s="188"/>
      <c r="BFN64" s="188"/>
      <c r="BFO64" s="188"/>
      <c r="BFP64" s="188"/>
      <c r="BFQ64" s="188"/>
      <c r="BFR64" s="188"/>
      <c r="BFS64" s="188"/>
      <c r="BFT64" s="188"/>
      <c r="BFU64" s="188"/>
      <c r="BFV64" s="188"/>
      <c r="BFW64" s="188"/>
      <c r="BFX64" s="188"/>
      <c r="BFY64" s="188"/>
      <c r="BFZ64" s="188"/>
      <c r="BGA64" s="188"/>
      <c r="BGB64" s="188"/>
      <c r="BGC64" s="188"/>
      <c r="BGD64" s="188"/>
      <c r="BGE64" s="188"/>
      <c r="BGF64" s="188"/>
      <c r="BGG64" s="188"/>
      <c r="BGH64" s="188"/>
      <c r="BGI64" s="188"/>
      <c r="BGJ64" s="188"/>
      <c r="BGK64" s="188"/>
      <c r="BGL64" s="188"/>
      <c r="BGM64" s="188"/>
      <c r="BGN64" s="188"/>
      <c r="BGO64" s="188"/>
      <c r="BGP64" s="188"/>
      <c r="BGQ64" s="188"/>
      <c r="BGR64" s="188"/>
      <c r="BGS64" s="188"/>
      <c r="BGT64" s="188"/>
      <c r="BGU64" s="188"/>
      <c r="BGV64" s="188"/>
      <c r="BGW64" s="188"/>
      <c r="BGX64" s="188"/>
      <c r="BGY64" s="188"/>
      <c r="BGZ64" s="188"/>
      <c r="BHA64" s="188"/>
      <c r="BHB64" s="188"/>
      <c r="BHC64" s="188"/>
      <c r="BHD64" s="188"/>
      <c r="BHE64" s="188"/>
      <c r="BHF64" s="188"/>
      <c r="BHG64" s="188"/>
      <c r="BHH64" s="188"/>
      <c r="BHI64" s="188"/>
      <c r="BHJ64" s="188"/>
      <c r="BHK64" s="188"/>
      <c r="BHL64" s="188"/>
      <c r="BHM64" s="188"/>
      <c r="BHN64" s="188"/>
      <c r="BHO64" s="188"/>
      <c r="BHP64" s="188"/>
      <c r="BHQ64" s="188"/>
      <c r="BHR64" s="188"/>
      <c r="BHS64" s="188"/>
      <c r="BHT64" s="188"/>
      <c r="BHU64" s="188"/>
      <c r="BHV64" s="188"/>
      <c r="BHW64" s="188"/>
      <c r="BHX64" s="188"/>
      <c r="BHY64" s="188"/>
      <c r="BHZ64" s="188"/>
      <c r="BIA64" s="188"/>
      <c r="BIB64" s="188"/>
      <c r="BIC64" s="188"/>
      <c r="BID64" s="188"/>
      <c r="BIE64" s="188"/>
      <c r="BIF64" s="188"/>
      <c r="BIG64" s="188"/>
      <c r="BIH64" s="188"/>
      <c r="BII64" s="188"/>
      <c r="BIJ64" s="188"/>
      <c r="BIK64" s="188"/>
      <c r="BIL64" s="188"/>
      <c r="BIM64" s="188"/>
      <c r="BIN64" s="188"/>
      <c r="BIO64" s="188"/>
      <c r="BIP64" s="188"/>
      <c r="BIQ64" s="188"/>
      <c r="BIR64" s="188"/>
      <c r="BIS64" s="188"/>
      <c r="BIT64" s="188"/>
      <c r="BIU64" s="188"/>
      <c r="BIV64" s="188"/>
      <c r="BIW64" s="188"/>
      <c r="BIX64" s="188"/>
      <c r="BIY64" s="188"/>
      <c r="BIZ64" s="188"/>
      <c r="BJA64" s="188"/>
      <c r="BJB64" s="188"/>
      <c r="BJC64" s="188"/>
      <c r="BJD64" s="188"/>
      <c r="BJE64" s="188"/>
      <c r="BJF64" s="188"/>
      <c r="BJG64" s="188"/>
      <c r="BJH64" s="188"/>
      <c r="BJI64" s="188"/>
      <c r="BJJ64" s="188"/>
      <c r="BJK64" s="188"/>
      <c r="BJL64" s="188"/>
      <c r="BJM64" s="188"/>
      <c r="BJN64" s="188"/>
      <c r="BJO64" s="188"/>
      <c r="BJP64" s="188"/>
      <c r="BJQ64" s="188"/>
      <c r="BJR64" s="188"/>
      <c r="BJS64" s="188"/>
      <c r="BJT64" s="188"/>
      <c r="BJU64" s="188"/>
      <c r="BJV64" s="188"/>
      <c r="BJW64" s="188"/>
      <c r="BJX64" s="188"/>
      <c r="BJY64" s="188"/>
      <c r="BJZ64" s="188"/>
      <c r="BKA64" s="188"/>
      <c r="BKB64" s="188"/>
      <c r="BKC64" s="188"/>
      <c r="BKD64" s="188"/>
      <c r="BKE64" s="188"/>
      <c r="BKF64" s="188"/>
      <c r="BKG64" s="188"/>
      <c r="BKH64" s="188"/>
      <c r="BKI64" s="188"/>
      <c r="BKJ64" s="188"/>
      <c r="BKK64" s="188"/>
      <c r="BKL64" s="188"/>
      <c r="BKM64" s="188"/>
      <c r="BKN64" s="188"/>
    </row>
    <row r="65" spans="1:1652" s="21" customFormat="1" x14ac:dyDescent="0.3">
      <c r="A65" s="171"/>
      <c r="B65" s="189"/>
      <c r="C65" s="189"/>
      <c r="D65" s="189"/>
      <c r="E65" s="189"/>
      <c r="F65" s="189"/>
      <c r="G65" s="189"/>
      <c r="I65" s="188"/>
      <c r="J65" s="188"/>
      <c r="K65" s="188"/>
      <c r="L65" s="188"/>
      <c r="M65" s="188"/>
      <c r="N65" s="188"/>
      <c r="O65" s="188"/>
      <c r="P65" s="188"/>
      <c r="Q65" s="188"/>
      <c r="R65" s="188"/>
      <c r="S65" s="188"/>
      <c r="T65" s="188"/>
      <c r="U65" s="188"/>
      <c r="V65" s="188"/>
      <c r="W65" s="188"/>
      <c r="X65" s="188"/>
      <c r="Y65" s="188"/>
      <c r="Z65" s="188"/>
      <c r="AA65" s="188"/>
      <c r="AB65" s="188"/>
      <c r="AC65" s="188"/>
      <c r="AD65" s="188"/>
      <c r="AE65" s="188"/>
      <c r="AF65" s="188"/>
      <c r="AG65" s="188"/>
      <c r="AH65" s="188"/>
      <c r="AI65" s="188"/>
      <c r="AJ65" s="188"/>
      <c r="AK65" s="188"/>
      <c r="AL65" s="188"/>
      <c r="AM65" s="188"/>
      <c r="AN65" s="188"/>
      <c r="AO65" s="188"/>
      <c r="AP65" s="188"/>
      <c r="AQ65" s="188"/>
      <c r="AR65" s="188"/>
      <c r="AS65" s="188"/>
      <c r="AT65" s="189"/>
      <c r="AU65" s="189"/>
      <c r="AV65" s="189"/>
      <c r="AW65" s="189"/>
      <c r="AX65" s="189"/>
      <c r="AY65" s="189"/>
      <c r="AZ65" s="189"/>
      <c r="BA65" s="189"/>
      <c r="BB65" s="189"/>
      <c r="BC65" s="189"/>
      <c r="BD65" s="189"/>
      <c r="BE65" s="188"/>
      <c r="BF65" s="188"/>
      <c r="BG65" s="188"/>
      <c r="BH65" s="188"/>
      <c r="BI65" s="188"/>
      <c r="BJ65" s="188"/>
      <c r="BK65" s="188"/>
      <c r="BL65" s="188"/>
      <c r="BM65" s="188"/>
      <c r="BN65" s="188"/>
      <c r="BO65" s="188"/>
      <c r="BP65" s="188"/>
      <c r="BQ65" s="188"/>
      <c r="BR65" s="188"/>
      <c r="BS65" s="188"/>
      <c r="BT65" s="188"/>
      <c r="BU65" s="188"/>
      <c r="BV65" s="188"/>
      <c r="BW65" s="188"/>
      <c r="BX65" s="188"/>
      <c r="BY65" s="188"/>
      <c r="BZ65" s="188"/>
      <c r="CA65" s="188"/>
      <c r="CB65" s="188"/>
      <c r="CC65" s="188"/>
      <c r="CD65" s="188"/>
      <c r="CE65" s="188"/>
      <c r="CF65" s="188"/>
      <c r="CG65" s="188"/>
      <c r="CH65" s="188"/>
      <c r="CI65" s="188"/>
      <c r="CJ65" s="188"/>
      <c r="CK65" s="188"/>
      <c r="CL65" s="188"/>
      <c r="CM65" s="188"/>
      <c r="CN65" s="188"/>
      <c r="CO65" s="188"/>
      <c r="CP65" s="188"/>
      <c r="CQ65" s="188"/>
      <c r="CR65" s="188"/>
      <c r="CS65" s="188"/>
      <c r="CT65" s="188"/>
      <c r="CU65" s="188"/>
      <c r="CV65" s="188"/>
      <c r="CW65" s="188"/>
      <c r="CX65" s="188"/>
      <c r="CY65" s="188"/>
      <c r="CZ65" s="188"/>
      <c r="DA65" s="188"/>
      <c r="DB65" s="188"/>
      <c r="DC65" s="188"/>
      <c r="DD65" s="188"/>
      <c r="DE65" s="188"/>
      <c r="DF65" s="188"/>
      <c r="DG65" s="188"/>
      <c r="DH65" s="188"/>
      <c r="DI65" s="188"/>
      <c r="DJ65" s="188"/>
      <c r="DK65" s="188"/>
      <c r="DL65" s="188"/>
      <c r="DM65" s="188"/>
      <c r="DN65" s="188"/>
      <c r="DO65" s="188"/>
      <c r="DP65" s="188"/>
      <c r="DQ65" s="188"/>
      <c r="DR65" s="188"/>
      <c r="DS65" s="188"/>
      <c r="DT65" s="188"/>
      <c r="DU65" s="188"/>
      <c r="DV65" s="188"/>
      <c r="DW65" s="188"/>
      <c r="DX65" s="188"/>
      <c r="DY65" s="188"/>
      <c r="DZ65" s="188"/>
      <c r="EA65" s="188"/>
      <c r="EB65" s="188"/>
      <c r="EC65" s="188"/>
      <c r="ED65" s="188"/>
      <c r="EE65" s="188"/>
      <c r="EF65" s="188"/>
      <c r="EG65" s="188"/>
      <c r="EH65" s="188"/>
      <c r="EI65" s="188"/>
      <c r="EJ65" s="188"/>
      <c r="EK65" s="188"/>
      <c r="EL65" s="188"/>
      <c r="EM65" s="188"/>
      <c r="EN65" s="188"/>
      <c r="EO65" s="188"/>
      <c r="EP65" s="188"/>
      <c r="EQ65" s="188"/>
      <c r="ER65" s="188"/>
      <c r="ES65" s="188"/>
      <c r="ET65" s="188"/>
      <c r="EU65" s="188"/>
      <c r="EV65" s="188"/>
      <c r="EW65" s="188"/>
      <c r="EX65" s="188"/>
      <c r="EY65" s="188"/>
      <c r="EZ65" s="188"/>
      <c r="FA65" s="188"/>
      <c r="FB65" s="188"/>
      <c r="FC65" s="188"/>
      <c r="FD65" s="188"/>
      <c r="FE65" s="188"/>
      <c r="FF65" s="188"/>
      <c r="FG65" s="188"/>
      <c r="FH65" s="188"/>
      <c r="FI65" s="188"/>
      <c r="FJ65" s="188"/>
      <c r="FK65" s="188"/>
      <c r="FL65" s="188"/>
      <c r="FM65" s="188"/>
      <c r="FN65" s="188"/>
      <c r="FO65" s="188"/>
      <c r="FP65" s="188"/>
      <c r="FQ65" s="188"/>
      <c r="FR65" s="188"/>
      <c r="FS65" s="188"/>
      <c r="FT65" s="188"/>
      <c r="FU65" s="188"/>
      <c r="FV65" s="188"/>
      <c r="FW65" s="188"/>
      <c r="FX65" s="188"/>
      <c r="FY65" s="188"/>
      <c r="FZ65" s="188"/>
      <c r="GA65" s="188"/>
      <c r="GB65" s="188"/>
      <c r="GC65" s="188"/>
      <c r="GD65" s="188"/>
      <c r="GE65" s="188"/>
      <c r="GF65" s="188"/>
      <c r="GG65" s="188"/>
      <c r="GH65" s="188"/>
      <c r="GI65" s="188"/>
      <c r="GJ65" s="188"/>
      <c r="GK65" s="188"/>
      <c r="GL65" s="188"/>
      <c r="GM65" s="188"/>
      <c r="GN65" s="188"/>
      <c r="GO65" s="188"/>
      <c r="GP65" s="188"/>
      <c r="GQ65" s="188"/>
      <c r="GR65" s="188"/>
      <c r="GS65" s="188"/>
      <c r="GT65" s="188"/>
      <c r="GU65" s="188"/>
      <c r="GV65" s="188"/>
      <c r="GW65" s="188"/>
      <c r="GX65" s="188"/>
      <c r="GY65" s="188"/>
      <c r="GZ65" s="188"/>
      <c r="HA65" s="188"/>
      <c r="HB65" s="188"/>
      <c r="HC65" s="188"/>
      <c r="HD65" s="188"/>
      <c r="HE65" s="188"/>
      <c r="HF65" s="188"/>
      <c r="HG65" s="188"/>
      <c r="HH65" s="188"/>
      <c r="HI65" s="188"/>
      <c r="HJ65" s="188"/>
      <c r="HK65" s="188"/>
      <c r="HL65" s="188"/>
      <c r="HM65" s="188"/>
      <c r="HN65" s="188"/>
      <c r="HO65" s="188"/>
      <c r="HP65" s="188"/>
      <c r="HQ65" s="188"/>
      <c r="HR65" s="188"/>
      <c r="HS65" s="188"/>
      <c r="HT65" s="188"/>
      <c r="HU65" s="188"/>
      <c r="HV65" s="188"/>
      <c r="HW65" s="188"/>
      <c r="HX65" s="188"/>
      <c r="HY65" s="188"/>
      <c r="HZ65" s="188"/>
      <c r="IA65" s="188"/>
      <c r="IB65" s="188"/>
      <c r="IC65" s="188"/>
      <c r="ID65" s="188"/>
      <c r="IE65" s="188"/>
      <c r="IF65" s="188"/>
      <c r="IG65" s="188"/>
      <c r="IH65" s="188"/>
      <c r="II65" s="188"/>
      <c r="IJ65" s="188"/>
      <c r="IK65" s="188"/>
      <c r="IL65" s="188"/>
      <c r="IM65" s="188"/>
      <c r="IN65" s="188"/>
      <c r="IO65" s="188"/>
      <c r="IP65" s="188"/>
      <c r="IQ65" s="188"/>
      <c r="IR65" s="188"/>
      <c r="IS65" s="188"/>
      <c r="IT65" s="188"/>
      <c r="IU65" s="188"/>
      <c r="IV65" s="188"/>
      <c r="IW65" s="188"/>
      <c r="IX65" s="188"/>
      <c r="IY65" s="188"/>
      <c r="IZ65" s="188"/>
      <c r="JA65" s="188"/>
      <c r="JB65" s="188"/>
      <c r="JC65" s="188"/>
      <c r="JD65" s="188"/>
      <c r="JE65" s="188"/>
      <c r="JF65" s="188"/>
      <c r="JG65" s="188"/>
      <c r="JH65" s="188"/>
      <c r="JI65" s="188"/>
      <c r="JJ65" s="188"/>
      <c r="JK65" s="188"/>
      <c r="JL65" s="188"/>
      <c r="JM65" s="188"/>
      <c r="JN65" s="188"/>
      <c r="JO65" s="188"/>
      <c r="JP65" s="188"/>
      <c r="JQ65" s="188"/>
      <c r="JR65" s="188"/>
      <c r="JS65" s="188"/>
      <c r="JT65" s="188"/>
      <c r="JU65" s="188"/>
      <c r="JV65" s="188"/>
      <c r="JW65" s="188"/>
      <c r="JX65" s="188"/>
      <c r="JY65" s="188"/>
      <c r="JZ65" s="188"/>
      <c r="KA65" s="188"/>
      <c r="KB65" s="188"/>
      <c r="KC65" s="188"/>
      <c r="KD65" s="188"/>
      <c r="KE65" s="188"/>
      <c r="KF65" s="188"/>
      <c r="KG65" s="188"/>
      <c r="KH65" s="188"/>
      <c r="KI65" s="188"/>
      <c r="KJ65" s="188"/>
      <c r="KK65" s="188"/>
      <c r="KL65" s="188"/>
      <c r="KM65" s="188"/>
      <c r="KN65" s="188"/>
      <c r="KO65" s="188"/>
      <c r="KP65" s="188"/>
      <c r="KQ65" s="188"/>
      <c r="KR65" s="188"/>
      <c r="KS65" s="188"/>
      <c r="KT65" s="188"/>
      <c r="KU65" s="188"/>
      <c r="KV65" s="188"/>
      <c r="KW65" s="188"/>
      <c r="KX65" s="188"/>
      <c r="KY65" s="188"/>
      <c r="KZ65" s="188"/>
      <c r="LA65" s="188"/>
      <c r="LB65" s="188"/>
      <c r="LC65" s="188"/>
      <c r="LD65" s="188"/>
      <c r="LE65" s="188"/>
      <c r="LF65" s="188"/>
      <c r="LG65" s="188"/>
      <c r="LH65" s="188"/>
      <c r="LI65" s="188"/>
      <c r="LJ65" s="188"/>
      <c r="LK65" s="188"/>
      <c r="LL65" s="188"/>
      <c r="LM65" s="188"/>
      <c r="LN65" s="188"/>
      <c r="LO65" s="188"/>
      <c r="LP65" s="188"/>
      <c r="LQ65" s="188"/>
      <c r="LR65" s="188"/>
      <c r="LS65" s="188"/>
      <c r="LT65" s="188"/>
      <c r="LU65" s="188"/>
      <c r="LV65" s="188"/>
      <c r="LW65" s="188"/>
      <c r="LX65" s="188"/>
      <c r="LY65" s="188"/>
      <c r="LZ65" s="188"/>
      <c r="MA65" s="188"/>
      <c r="MB65" s="188"/>
      <c r="MC65" s="188"/>
      <c r="MD65" s="188"/>
      <c r="ME65" s="188"/>
      <c r="MF65" s="188"/>
      <c r="MG65" s="188"/>
      <c r="MH65" s="188"/>
      <c r="MI65" s="188"/>
      <c r="MJ65" s="188"/>
      <c r="MK65" s="188"/>
      <c r="ML65" s="188"/>
      <c r="MM65" s="188"/>
      <c r="MN65" s="188"/>
      <c r="MO65" s="188"/>
      <c r="MP65" s="188"/>
      <c r="MQ65" s="188"/>
      <c r="MR65" s="188"/>
      <c r="MS65" s="188"/>
      <c r="MT65" s="188"/>
      <c r="MU65" s="188"/>
      <c r="MV65" s="188"/>
      <c r="MW65" s="188"/>
      <c r="MX65" s="188"/>
      <c r="MY65" s="188"/>
      <c r="MZ65" s="188"/>
      <c r="NA65" s="188"/>
      <c r="NB65" s="188"/>
      <c r="NC65" s="188"/>
      <c r="ND65" s="188"/>
      <c r="NE65" s="188"/>
      <c r="NF65" s="188"/>
      <c r="NG65" s="188"/>
      <c r="NH65" s="188"/>
      <c r="NI65" s="188"/>
      <c r="NJ65" s="188"/>
      <c r="NK65" s="188"/>
      <c r="NL65" s="188"/>
      <c r="NM65" s="188"/>
      <c r="NN65" s="188"/>
      <c r="NO65" s="188"/>
      <c r="NP65" s="188"/>
      <c r="NQ65" s="188"/>
      <c r="NR65" s="188"/>
      <c r="NS65" s="188"/>
      <c r="NT65" s="188"/>
      <c r="NU65" s="188"/>
      <c r="NV65" s="188"/>
      <c r="NW65" s="188"/>
      <c r="NX65" s="188"/>
      <c r="NY65" s="188"/>
      <c r="NZ65" s="188"/>
      <c r="OA65" s="188"/>
      <c r="OB65" s="188"/>
      <c r="OC65" s="188"/>
      <c r="OD65" s="188"/>
      <c r="OE65" s="188"/>
      <c r="OF65" s="188"/>
      <c r="OG65" s="188"/>
      <c r="OH65" s="188"/>
      <c r="OI65" s="188"/>
      <c r="OJ65" s="188"/>
      <c r="OK65" s="188"/>
      <c r="OL65" s="188"/>
      <c r="OM65" s="188"/>
      <c r="ON65" s="188"/>
      <c r="OO65" s="188"/>
      <c r="OP65" s="188"/>
      <c r="OQ65" s="188"/>
      <c r="OR65" s="188"/>
      <c r="OS65" s="188"/>
      <c r="OT65" s="188"/>
      <c r="OU65" s="188"/>
      <c r="OV65" s="188"/>
      <c r="OW65" s="188"/>
      <c r="OX65" s="188"/>
      <c r="OY65" s="188"/>
      <c r="OZ65" s="188"/>
      <c r="PA65" s="188"/>
      <c r="PB65" s="188"/>
      <c r="PC65" s="188"/>
      <c r="PD65" s="188"/>
      <c r="PE65" s="188"/>
      <c r="PF65" s="188"/>
      <c r="PG65" s="188"/>
      <c r="PH65" s="188"/>
      <c r="PI65" s="188"/>
      <c r="PJ65" s="188"/>
      <c r="PK65" s="188"/>
      <c r="PL65" s="188"/>
      <c r="PM65" s="188"/>
      <c r="PN65" s="188"/>
      <c r="PO65" s="188"/>
      <c r="PP65" s="188"/>
      <c r="PQ65" s="188"/>
      <c r="PR65" s="188"/>
      <c r="PS65" s="188"/>
      <c r="PT65" s="188"/>
      <c r="PU65" s="188"/>
      <c r="PV65" s="188"/>
      <c r="PW65" s="188"/>
      <c r="PX65" s="188"/>
      <c r="PY65" s="188"/>
      <c r="PZ65" s="188"/>
      <c r="QA65" s="188"/>
      <c r="QB65" s="188"/>
      <c r="QC65" s="188"/>
      <c r="QD65" s="188"/>
      <c r="QE65" s="188"/>
      <c r="QF65" s="188"/>
      <c r="QG65" s="188"/>
      <c r="QH65" s="188"/>
      <c r="QI65" s="188"/>
      <c r="QJ65" s="188"/>
      <c r="QK65" s="188"/>
      <c r="QL65" s="188"/>
      <c r="QM65" s="188"/>
      <c r="QN65" s="188"/>
      <c r="QO65" s="188"/>
      <c r="QP65" s="188"/>
      <c r="QQ65" s="188"/>
      <c r="QR65" s="188"/>
      <c r="QS65" s="188"/>
      <c r="QT65" s="188"/>
      <c r="QU65" s="188"/>
      <c r="QV65" s="188"/>
      <c r="QW65" s="188"/>
      <c r="QX65" s="188"/>
      <c r="QY65" s="188"/>
      <c r="QZ65" s="188"/>
      <c r="RA65" s="188"/>
      <c r="RB65" s="188"/>
      <c r="RC65" s="188"/>
      <c r="RD65" s="188"/>
      <c r="RE65" s="188"/>
      <c r="RF65" s="188"/>
      <c r="RG65" s="188"/>
      <c r="RH65" s="188"/>
      <c r="RI65" s="188"/>
      <c r="RJ65" s="188"/>
      <c r="RK65" s="188"/>
      <c r="RL65" s="188"/>
      <c r="RM65" s="188"/>
      <c r="RN65" s="188"/>
      <c r="RO65" s="188"/>
      <c r="RP65" s="188"/>
      <c r="RQ65" s="188"/>
      <c r="RR65" s="188"/>
      <c r="RS65" s="188"/>
      <c r="RT65" s="188"/>
      <c r="RU65" s="188"/>
      <c r="RV65" s="188"/>
      <c r="RW65" s="188"/>
      <c r="RX65" s="188"/>
      <c r="RY65" s="188"/>
      <c r="RZ65" s="188"/>
      <c r="SA65" s="188"/>
      <c r="SB65" s="188"/>
      <c r="SC65" s="188"/>
      <c r="SD65" s="188"/>
      <c r="SE65" s="188"/>
      <c r="SF65" s="188"/>
      <c r="SG65" s="188"/>
      <c r="SH65" s="188"/>
      <c r="SI65" s="188"/>
      <c r="SJ65" s="188"/>
      <c r="SK65" s="188"/>
      <c r="SL65" s="188"/>
      <c r="SM65" s="188"/>
      <c r="SN65" s="188"/>
      <c r="SO65" s="188"/>
      <c r="SP65" s="188"/>
      <c r="SQ65" s="188"/>
      <c r="SR65" s="188"/>
      <c r="SS65" s="188"/>
      <c r="ST65" s="188"/>
      <c r="SU65" s="188"/>
      <c r="SV65" s="188"/>
      <c r="SW65" s="188"/>
      <c r="SX65" s="188"/>
      <c r="SY65" s="188"/>
      <c r="SZ65" s="188"/>
      <c r="TA65" s="188"/>
      <c r="TB65" s="188"/>
      <c r="TC65" s="188"/>
      <c r="TD65" s="188"/>
      <c r="TE65" s="188"/>
      <c r="TF65" s="188"/>
      <c r="TG65" s="188"/>
      <c r="TH65" s="188"/>
      <c r="TI65" s="188"/>
      <c r="TJ65" s="188"/>
      <c r="TK65" s="188"/>
      <c r="TL65" s="188"/>
      <c r="TM65" s="188"/>
      <c r="TN65" s="188"/>
      <c r="TO65" s="188"/>
      <c r="TP65" s="188"/>
      <c r="TQ65" s="188"/>
      <c r="TR65" s="188"/>
      <c r="TS65" s="188"/>
      <c r="TT65" s="188"/>
      <c r="TU65" s="188"/>
      <c r="TV65" s="188"/>
      <c r="TW65" s="188"/>
      <c r="TX65" s="188"/>
      <c r="TY65" s="188"/>
      <c r="TZ65" s="188"/>
      <c r="UA65" s="188"/>
      <c r="UB65" s="188"/>
      <c r="UC65" s="188"/>
      <c r="UD65" s="188"/>
      <c r="UE65" s="188"/>
      <c r="UF65" s="188"/>
      <c r="UG65" s="188"/>
      <c r="UH65" s="188"/>
      <c r="UI65" s="188"/>
      <c r="UJ65" s="188"/>
      <c r="UK65" s="188"/>
      <c r="UL65" s="188"/>
      <c r="UM65" s="188"/>
      <c r="UN65" s="188"/>
      <c r="UO65" s="188"/>
      <c r="UP65" s="188"/>
      <c r="UQ65" s="188"/>
      <c r="UR65" s="188"/>
      <c r="US65" s="188"/>
      <c r="UT65" s="188"/>
      <c r="UU65" s="188"/>
      <c r="UV65" s="188"/>
      <c r="UW65" s="188"/>
      <c r="UX65" s="188"/>
      <c r="UY65" s="188"/>
      <c r="UZ65" s="188"/>
      <c r="VA65" s="188"/>
      <c r="VB65" s="188"/>
      <c r="VC65" s="188"/>
      <c r="VD65" s="188"/>
      <c r="VE65" s="188"/>
      <c r="VF65" s="188"/>
      <c r="VG65" s="188"/>
      <c r="VH65" s="188"/>
      <c r="VI65" s="188"/>
      <c r="VJ65" s="188"/>
      <c r="VK65" s="188"/>
      <c r="VL65" s="188"/>
      <c r="VM65" s="188"/>
      <c r="VN65" s="188"/>
      <c r="VO65" s="188"/>
      <c r="VP65" s="188"/>
      <c r="VQ65" s="188"/>
      <c r="VR65" s="188"/>
      <c r="VS65" s="188"/>
      <c r="VT65" s="188"/>
      <c r="VU65" s="188"/>
      <c r="VV65" s="188"/>
      <c r="VW65" s="188"/>
      <c r="VX65" s="188"/>
      <c r="VY65" s="188"/>
      <c r="VZ65" s="188"/>
      <c r="WA65" s="188"/>
      <c r="WB65" s="188"/>
      <c r="WC65" s="188"/>
      <c r="WD65" s="188"/>
      <c r="WE65" s="188"/>
      <c r="WF65" s="188"/>
      <c r="WG65" s="188"/>
      <c r="WH65" s="188"/>
      <c r="WI65" s="188"/>
      <c r="WJ65" s="188"/>
      <c r="WK65" s="188"/>
      <c r="WL65" s="188"/>
      <c r="WM65" s="188"/>
      <c r="WN65" s="188"/>
      <c r="WO65" s="188"/>
      <c r="WP65" s="188"/>
      <c r="WQ65" s="188"/>
      <c r="WR65" s="188"/>
      <c r="WS65" s="188"/>
      <c r="WT65" s="188"/>
      <c r="WU65" s="188"/>
      <c r="WV65" s="188"/>
      <c r="WW65" s="188"/>
      <c r="WX65" s="188"/>
      <c r="WY65" s="188"/>
      <c r="WZ65" s="188"/>
      <c r="XA65" s="188"/>
      <c r="XB65" s="188"/>
      <c r="XC65" s="188"/>
      <c r="XD65" s="188"/>
      <c r="XE65" s="188"/>
      <c r="XF65" s="188"/>
      <c r="XG65" s="188"/>
      <c r="XH65" s="188"/>
      <c r="XI65" s="188"/>
      <c r="XJ65" s="188"/>
      <c r="XK65" s="188"/>
      <c r="XL65" s="188"/>
      <c r="XM65" s="188"/>
      <c r="XN65" s="188"/>
      <c r="XO65" s="188"/>
      <c r="XP65" s="188"/>
      <c r="XQ65" s="188"/>
      <c r="XR65" s="188"/>
      <c r="XS65" s="188"/>
      <c r="XT65" s="188"/>
      <c r="XU65" s="188"/>
      <c r="XV65" s="188"/>
      <c r="XW65" s="188"/>
      <c r="XX65" s="188"/>
      <c r="XY65" s="188"/>
      <c r="XZ65" s="188"/>
      <c r="YA65" s="188"/>
      <c r="YB65" s="188"/>
      <c r="YC65" s="188"/>
      <c r="YD65" s="188"/>
      <c r="YE65" s="188"/>
      <c r="YF65" s="188"/>
      <c r="YG65" s="188"/>
      <c r="YH65" s="188"/>
      <c r="YI65" s="188"/>
      <c r="YJ65" s="188"/>
      <c r="YK65" s="188"/>
      <c r="YL65" s="188"/>
      <c r="YM65" s="188"/>
      <c r="YN65" s="188"/>
      <c r="YO65" s="188"/>
      <c r="YP65" s="188"/>
      <c r="YQ65" s="188"/>
      <c r="YR65" s="188"/>
      <c r="YS65" s="188"/>
      <c r="YT65" s="188"/>
      <c r="YU65" s="188"/>
      <c r="YV65" s="188"/>
      <c r="YW65" s="188"/>
      <c r="YX65" s="188"/>
      <c r="YY65" s="188"/>
      <c r="YZ65" s="188"/>
      <c r="ZA65" s="188"/>
      <c r="ZB65" s="188"/>
      <c r="ZC65" s="188"/>
      <c r="ZD65" s="188"/>
      <c r="ZE65" s="188"/>
      <c r="ZF65" s="188"/>
      <c r="ZG65" s="188"/>
      <c r="ZH65" s="188"/>
      <c r="ZI65" s="188"/>
      <c r="ZJ65" s="188"/>
      <c r="ZK65" s="188"/>
      <c r="ZL65" s="188"/>
      <c r="ZM65" s="188"/>
      <c r="ZN65" s="188"/>
      <c r="ZO65" s="188"/>
      <c r="ZP65" s="188"/>
      <c r="ZQ65" s="188"/>
      <c r="ZR65" s="188"/>
      <c r="ZS65" s="188"/>
      <c r="ZT65" s="188"/>
      <c r="ZU65" s="188"/>
      <c r="ZV65" s="188"/>
      <c r="ZW65" s="188"/>
      <c r="ZX65" s="188"/>
      <c r="ZY65" s="188"/>
      <c r="ZZ65" s="188"/>
      <c r="AAA65" s="188"/>
      <c r="AAB65" s="188"/>
      <c r="AAC65" s="188"/>
      <c r="AAD65" s="188"/>
      <c r="AAE65" s="188"/>
      <c r="AAF65" s="188"/>
      <c r="AAG65" s="188"/>
      <c r="AAH65" s="188"/>
      <c r="AAI65" s="188"/>
      <c r="AAJ65" s="188"/>
      <c r="AAK65" s="188"/>
      <c r="AAL65" s="188"/>
      <c r="AAM65" s="188"/>
      <c r="AAN65" s="188"/>
      <c r="AAO65" s="188"/>
      <c r="AAP65" s="188"/>
      <c r="AAQ65" s="188"/>
      <c r="AAR65" s="188"/>
      <c r="AAS65" s="188"/>
      <c r="AAT65" s="188"/>
      <c r="AAU65" s="188"/>
      <c r="AAV65" s="188"/>
      <c r="AAW65" s="188"/>
      <c r="AAX65" s="188"/>
      <c r="AAY65" s="188"/>
      <c r="AAZ65" s="188"/>
      <c r="ABA65" s="188"/>
      <c r="ABB65" s="188"/>
      <c r="ABC65" s="188"/>
      <c r="ABD65" s="188"/>
      <c r="ABE65" s="188"/>
      <c r="ABF65" s="188"/>
      <c r="ABG65" s="188"/>
      <c r="ABH65" s="188"/>
      <c r="ABI65" s="188"/>
      <c r="ABJ65" s="188"/>
      <c r="ABK65" s="188"/>
      <c r="ABL65" s="188"/>
      <c r="ABM65" s="188"/>
      <c r="ABN65" s="188"/>
      <c r="ABO65" s="188"/>
      <c r="ABP65" s="188"/>
      <c r="ABQ65" s="188"/>
      <c r="ABR65" s="188"/>
      <c r="ABS65" s="188"/>
      <c r="ABT65" s="188"/>
      <c r="ABU65" s="188"/>
      <c r="ABV65" s="188"/>
      <c r="ABW65" s="188"/>
      <c r="ABX65" s="188"/>
      <c r="ABY65" s="188"/>
      <c r="ABZ65" s="188"/>
      <c r="ACA65" s="188"/>
      <c r="ACB65" s="188"/>
      <c r="ACC65" s="188"/>
      <c r="ACD65" s="188"/>
      <c r="ACE65" s="188"/>
      <c r="ACF65" s="188"/>
      <c r="ACG65" s="188"/>
      <c r="ACH65" s="188"/>
      <c r="ACI65" s="188"/>
      <c r="ACJ65" s="188"/>
      <c r="ACK65" s="188"/>
      <c r="ACL65" s="188"/>
      <c r="ACM65" s="188"/>
      <c r="ACN65" s="188"/>
      <c r="ACO65" s="188"/>
      <c r="ACP65" s="188"/>
      <c r="ACQ65" s="188"/>
      <c r="ACR65" s="188"/>
      <c r="ACS65" s="188"/>
      <c r="ACT65" s="188"/>
      <c r="ACU65" s="188"/>
      <c r="ACV65" s="188"/>
      <c r="ACW65" s="188"/>
      <c r="ACX65" s="188"/>
      <c r="ACY65" s="188"/>
      <c r="ACZ65" s="188"/>
      <c r="ADA65" s="188"/>
      <c r="ADB65" s="188"/>
      <c r="ADC65" s="188"/>
      <c r="ADD65" s="188"/>
      <c r="ADE65" s="188"/>
      <c r="ADF65" s="188"/>
      <c r="ADG65" s="188"/>
      <c r="ADH65" s="188"/>
      <c r="ADI65" s="188"/>
      <c r="ADJ65" s="188"/>
      <c r="ADK65" s="188"/>
      <c r="ADL65" s="188"/>
      <c r="ADM65" s="188"/>
      <c r="ADN65" s="188"/>
      <c r="ADO65" s="188"/>
      <c r="ADP65" s="188"/>
      <c r="ADQ65" s="188"/>
      <c r="ADR65" s="188"/>
      <c r="ADS65" s="188"/>
      <c r="ADT65" s="188"/>
      <c r="ADU65" s="188"/>
      <c r="ADV65" s="188"/>
      <c r="ADW65" s="188"/>
      <c r="ADX65" s="188"/>
      <c r="ADY65" s="188"/>
      <c r="ADZ65" s="188"/>
      <c r="AEA65" s="188"/>
      <c r="AEB65" s="188"/>
      <c r="AEC65" s="188"/>
      <c r="AED65" s="188"/>
      <c r="AEE65" s="188"/>
      <c r="AEF65" s="188"/>
      <c r="AEG65" s="188"/>
      <c r="AEH65" s="188"/>
      <c r="AEI65" s="188"/>
      <c r="AEJ65" s="188"/>
      <c r="AEK65" s="188"/>
      <c r="AEL65" s="188"/>
      <c r="AEM65" s="188"/>
      <c r="AEN65" s="188"/>
      <c r="AEO65" s="188"/>
      <c r="AEP65" s="188"/>
      <c r="AEQ65" s="188"/>
      <c r="AER65" s="188"/>
      <c r="AES65" s="188"/>
      <c r="AET65" s="188"/>
      <c r="AEU65" s="188"/>
      <c r="AEV65" s="188"/>
      <c r="AEW65" s="188"/>
      <c r="AEX65" s="188"/>
      <c r="AEY65" s="188"/>
      <c r="AEZ65" s="188"/>
      <c r="AFA65" s="188"/>
      <c r="AFB65" s="188"/>
      <c r="AFC65" s="188"/>
      <c r="AFD65" s="188"/>
      <c r="AFE65" s="188"/>
      <c r="AFF65" s="188"/>
      <c r="AFG65" s="188"/>
      <c r="AFH65" s="188"/>
      <c r="AFI65" s="188"/>
      <c r="AFJ65" s="188"/>
      <c r="AFK65" s="188"/>
      <c r="AFL65" s="188"/>
      <c r="AFM65" s="188"/>
      <c r="AFN65" s="188"/>
      <c r="AFO65" s="188"/>
      <c r="AFP65" s="188"/>
      <c r="AFQ65" s="188"/>
      <c r="AFR65" s="188"/>
      <c r="AFS65" s="188"/>
      <c r="AFT65" s="188"/>
      <c r="AFU65" s="188"/>
      <c r="AFV65" s="188"/>
      <c r="AFW65" s="188"/>
      <c r="AFX65" s="188"/>
      <c r="AFY65" s="188"/>
      <c r="AFZ65" s="188"/>
      <c r="AGA65" s="188"/>
      <c r="AGB65" s="188"/>
      <c r="AGC65" s="188"/>
      <c r="AGD65" s="188"/>
      <c r="AGE65" s="188"/>
      <c r="AGF65" s="188"/>
      <c r="AGG65" s="188"/>
      <c r="AGH65" s="188"/>
      <c r="AGI65" s="188"/>
      <c r="AGJ65" s="188"/>
      <c r="AGK65" s="188"/>
      <c r="AGL65" s="188"/>
      <c r="AGM65" s="188"/>
      <c r="AGN65" s="188"/>
      <c r="AGO65" s="188"/>
      <c r="AGP65" s="188"/>
      <c r="AGQ65" s="188"/>
      <c r="AGR65" s="188"/>
      <c r="AGS65" s="188"/>
      <c r="AGT65" s="188"/>
      <c r="AGU65" s="188"/>
      <c r="AGV65" s="188"/>
      <c r="AGW65" s="188"/>
      <c r="AGX65" s="188"/>
      <c r="AGY65" s="188"/>
      <c r="AGZ65" s="188"/>
      <c r="AHA65" s="188"/>
      <c r="AHB65" s="188"/>
      <c r="AHC65" s="188"/>
      <c r="AHD65" s="188"/>
      <c r="AHE65" s="188"/>
      <c r="AHF65" s="188"/>
      <c r="AHG65" s="188"/>
      <c r="AHH65" s="188"/>
      <c r="AHI65" s="188"/>
      <c r="AHJ65" s="188"/>
      <c r="AHK65" s="188"/>
      <c r="AHL65" s="188"/>
      <c r="AHM65" s="188"/>
      <c r="AHN65" s="188"/>
      <c r="AHO65" s="188"/>
      <c r="AHP65" s="188"/>
      <c r="AHQ65" s="188"/>
      <c r="AHR65" s="188"/>
      <c r="AHS65" s="188"/>
      <c r="AHT65" s="188"/>
      <c r="AHU65" s="188"/>
      <c r="AHV65" s="188"/>
      <c r="AHW65" s="188"/>
      <c r="AHX65" s="188"/>
      <c r="AHY65" s="188"/>
      <c r="AHZ65" s="188"/>
      <c r="AIA65" s="188"/>
      <c r="AIB65" s="188"/>
      <c r="AIC65" s="188"/>
      <c r="AID65" s="188"/>
      <c r="AIE65" s="188"/>
      <c r="AIF65" s="188"/>
      <c r="AIG65" s="188"/>
      <c r="AIH65" s="188"/>
      <c r="AII65" s="188"/>
      <c r="AIJ65" s="188"/>
      <c r="AIK65" s="188"/>
      <c r="AIL65" s="188"/>
      <c r="AIM65" s="188"/>
      <c r="AIN65" s="188"/>
      <c r="AIO65" s="188"/>
      <c r="AIP65" s="188"/>
      <c r="AIQ65" s="188"/>
      <c r="AIR65" s="188"/>
      <c r="AIS65" s="188"/>
      <c r="AIT65" s="188"/>
      <c r="AIU65" s="188"/>
      <c r="AIV65" s="188"/>
      <c r="AIW65" s="188"/>
      <c r="AIX65" s="188"/>
      <c r="AIY65" s="188"/>
      <c r="AIZ65" s="188"/>
      <c r="AJA65" s="188"/>
      <c r="AJB65" s="188"/>
      <c r="AJC65" s="188"/>
      <c r="AJD65" s="188"/>
      <c r="AJE65" s="188"/>
      <c r="AJF65" s="188"/>
      <c r="AJG65" s="188"/>
      <c r="AJH65" s="188"/>
      <c r="AJI65" s="188"/>
      <c r="AJJ65" s="188"/>
      <c r="AJK65" s="188"/>
      <c r="AJL65" s="188"/>
      <c r="AJM65" s="188"/>
      <c r="AJN65" s="188"/>
      <c r="AJO65" s="188"/>
      <c r="AJP65" s="188"/>
      <c r="AJQ65" s="188"/>
      <c r="AJR65" s="188"/>
      <c r="AJS65" s="188"/>
      <c r="AJT65" s="188"/>
      <c r="AJU65" s="188"/>
      <c r="AJV65" s="188"/>
      <c r="AJW65" s="188"/>
      <c r="AJX65" s="188"/>
      <c r="AJY65" s="188"/>
      <c r="AJZ65" s="188"/>
      <c r="AKA65" s="188"/>
      <c r="AKB65" s="188"/>
      <c r="AKC65" s="188"/>
      <c r="AKD65" s="188"/>
      <c r="AKE65" s="188"/>
      <c r="AKF65" s="188"/>
      <c r="AKG65" s="188"/>
      <c r="AKH65" s="188"/>
      <c r="AKI65" s="188"/>
      <c r="AKJ65" s="188"/>
      <c r="AKK65" s="188"/>
      <c r="AKL65" s="188"/>
      <c r="AKM65" s="188"/>
      <c r="AKN65" s="188"/>
      <c r="AKO65" s="188"/>
      <c r="AKP65" s="188"/>
      <c r="AKQ65" s="188"/>
      <c r="AKR65" s="188"/>
      <c r="AKS65" s="188"/>
      <c r="AKT65" s="188"/>
      <c r="AKU65" s="188"/>
      <c r="AKV65" s="188"/>
      <c r="AKW65" s="188"/>
      <c r="AKX65" s="188"/>
      <c r="AKY65" s="188"/>
      <c r="AKZ65" s="188"/>
      <c r="ALA65" s="188"/>
      <c r="ALB65" s="188"/>
      <c r="ALC65" s="188"/>
      <c r="ALD65" s="188"/>
      <c r="ALE65" s="188"/>
      <c r="ALF65" s="188"/>
      <c r="ALG65" s="188"/>
      <c r="ALH65" s="188"/>
      <c r="ALI65" s="188"/>
      <c r="ALJ65" s="188"/>
      <c r="ALK65" s="188"/>
      <c r="ALL65" s="188"/>
      <c r="ALM65" s="188"/>
      <c r="ALN65" s="188"/>
      <c r="ALO65" s="188"/>
      <c r="ALP65" s="188"/>
      <c r="ALQ65" s="188"/>
      <c r="ALR65" s="188"/>
      <c r="ALS65" s="188"/>
      <c r="ALT65" s="188"/>
      <c r="ALU65" s="188"/>
      <c r="ALV65" s="188"/>
      <c r="ALW65" s="188"/>
      <c r="ALX65" s="188"/>
      <c r="ALY65" s="188"/>
      <c r="ALZ65" s="188"/>
      <c r="AMA65" s="188"/>
      <c r="AMB65" s="188"/>
      <c r="AMC65" s="188"/>
      <c r="AMD65" s="188"/>
      <c r="AME65" s="188"/>
      <c r="AMF65" s="188"/>
      <c r="AMG65" s="188"/>
      <c r="AMH65" s="188"/>
      <c r="AMI65" s="188"/>
      <c r="AMJ65" s="188"/>
      <c r="AMK65" s="188"/>
      <c r="AML65" s="188"/>
      <c r="AMM65" s="188"/>
      <c r="AMN65" s="188"/>
      <c r="AMO65" s="188"/>
      <c r="AMP65" s="188"/>
      <c r="AMQ65" s="188"/>
      <c r="AMR65" s="188"/>
      <c r="AMS65" s="188"/>
      <c r="AMT65" s="188"/>
      <c r="AMU65" s="188"/>
      <c r="AMV65" s="188"/>
      <c r="AMW65" s="188"/>
      <c r="AMX65" s="188"/>
      <c r="AMY65" s="188"/>
      <c r="AMZ65" s="188"/>
      <c r="ANA65" s="188"/>
      <c r="ANB65" s="188"/>
      <c r="ANC65" s="188"/>
      <c r="AND65" s="188"/>
      <c r="ANE65" s="188"/>
      <c r="ANF65" s="188"/>
      <c r="ANG65" s="188"/>
      <c r="ANH65" s="188"/>
      <c r="ANI65" s="188"/>
      <c r="ANJ65" s="188"/>
      <c r="ANK65" s="188"/>
      <c r="ANL65" s="188"/>
      <c r="ANM65" s="188"/>
      <c r="ANN65" s="188"/>
      <c r="ANO65" s="188"/>
      <c r="ANP65" s="188"/>
      <c r="ANQ65" s="188"/>
      <c r="ANR65" s="188"/>
      <c r="ANS65" s="188"/>
      <c r="ANT65" s="188"/>
      <c r="ANU65" s="188"/>
      <c r="ANV65" s="188"/>
      <c r="ANW65" s="188"/>
      <c r="ANX65" s="188"/>
      <c r="ANY65" s="188"/>
      <c r="ANZ65" s="188"/>
      <c r="AOA65" s="188"/>
      <c r="AOB65" s="188"/>
      <c r="AOC65" s="188"/>
      <c r="AOD65" s="188"/>
      <c r="AOE65" s="188"/>
      <c r="AOF65" s="188"/>
      <c r="AOG65" s="188"/>
      <c r="AOH65" s="188"/>
      <c r="AOI65" s="188"/>
      <c r="AOJ65" s="188"/>
      <c r="AOK65" s="188"/>
      <c r="AOL65" s="188"/>
      <c r="AOM65" s="188"/>
      <c r="AON65" s="188"/>
      <c r="AOO65" s="188"/>
      <c r="AOP65" s="188"/>
      <c r="AOQ65" s="188"/>
      <c r="AOR65" s="188"/>
      <c r="AOS65" s="188"/>
      <c r="AOT65" s="188"/>
      <c r="AOU65" s="188"/>
      <c r="AOV65" s="188"/>
      <c r="AOW65" s="188"/>
      <c r="AOX65" s="188"/>
      <c r="AOY65" s="188"/>
      <c r="AOZ65" s="188"/>
      <c r="APA65" s="188"/>
      <c r="APB65" s="188"/>
      <c r="APC65" s="188"/>
      <c r="APD65" s="188"/>
      <c r="APE65" s="188"/>
      <c r="APF65" s="188"/>
      <c r="APG65" s="188"/>
      <c r="APH65" s="188"/>
      <c r="API65" s="188"/>
      <c r="APJ65" s="188"/>
      <c r="APK65" s="188"/>
      <c r="APL65" s="188"/>
      <c r="APM65" s="188"/>
      <c r="APN65" s="188"/>
      <c r="APO65" s="188"/>
      <c r="APP65" s="188"/>
      <c r="APQ65" s="188"/>
      <c r="APR65" s="188"/>
      <c r="APS65" s="188"/>
      <c r="APT65" s="188"/>
      <c r="APU65" s="188"/>
      <c r="APV65" s="188"/>
      <c r="APW65" s="188"/>
      <c r="APX65" s="188"/>
      <c r="APY65" s="188"/>
      <c r="APZ65" s="188"/>
      <c r="AQA65" s="188"/>
      <c r="AQB65" s="188"/>
      <c r="AQC65" s="188"/>
      <c r="AQD65" s="188"/>
      <c r="AQE65" s="188"/>
      <c r="AQF65" s="188"/>
      <c r="AQG65" s="188"/>
      <c r="AQH65" s="188"/>
      <c r="AQI65" s="188"/>
      <c r="AQJ65" s="188"/>
      <c r="AQK65" s="188"/>
      <c r="AQL65" s="188"/>
      <c r="AQM65" s="188"/>
      <c r="AQN65" s="188"/>
      <c r="AQO65" s="188"/>
      <c r="AQP65" s="188"/>
      <c r="AQQ65" s="188"/>
      <c r="AQR65" s="188"/>
      <c r="AQS65" s="188"/>
      <c r="AQT65" s="188"/>
      <c r="AQU65" s="188"/>
      <c r="AQV65" s="188"/>
      <c r="AQW65" s="188"/>
      <c r="AQX65" s="188"/>
      <c r="AQY65" s="188"/>
      <c r="AQZ65" s="188"/>
      <c r="ARA65" s="188"/>
      <c r="ARB65" s="188"/>
      <c r="ARC65" s="188"/>
      <c r="ARD65" s="188"/>
      <c r="ARE65" s="188"/>
      <c r="ARF65" s="188"/>
      <c r="ARG65" s="188"/>
      <c r="ARH65" s="188"/>
      <c r="ARI65" s="188"/>
      <c r="ARJ65" s="188"/>
      <c r="ARK65" s="188"/>
      <c r="ARL65" s="188"/>
      <c r="ARM65" s="188"/>
      <c r="ARN65" s="188"/>
      <c r="ARO65" s="188"/>
      <c r="ARP65" s="188"/>
      <c r="ARQ65" s="188"/>
      <c r="ARR65" s="188"/>
      <c r="ARS65" s="188"/>
      <c r="ART65" s="188"/>
      <c r="ARU65" s="188"/>
      <c r="ARV65" s="188"/>
      <c r="ARW65" s="188"/>
      <c r="ARX65" s="188"/>
      <c r="ARY65" s="188"/>
      <c r="ARZ65" s="188"/>
      <c r="ASA65" s="188"/>
      <c r="ASB65" s="188"/>
      <c r="ASC65" s="188"/>
      <c r="ASD65" s="188"/>
      <c r="ASE65" s="188"/>
      <c r="ASF65" s="188"/>
      <c r="ASG65" s="188"/>
      <c r="ASH65" s="188"/>
      <c r="ASI65" s="188"/>
      <c r="ASJ65" s="188"/>
      <c r="ASK65" s="188"/>
      <c r="ASL65" s="188"/>
      <c r="ASM65" s="188"/>
      <c r="ASN65" s="188"/>
      <c r="ASO65" s="188"/>
      <c r="ASP65" s="188"/>
      <c r="ASQ65" s="188"/>
      <c r="ASR65" s="188"/>
      <c r="ASS65" s="188"/>
      <c r="AST65" s="188"/>
      <c r="ASU65" s="188"/>
      <c r="ASV65" s="188"/>
      <c r="ASW65" s="188"/>
      <c r="ASX65" s="188"/>
      <c r="ASY65" s="188"/>
      <c r="ASZ65" s="188"/>
      <c r="ATA65" s="188"/>
      <c r="ATB65" s="188"/>
      <c r="ATC65" s="188"/>
      <c r="ATD65" s="188"/>
      <c r="ATE65" s="188"/>
      <c r="ATF65" s="188"/>
      <c r="ATG65" s="188"/>
      <c r="ATH65" s="188"/>
      <c r="ATI65" s="188"/>
      <c r="ATJ65" s="188"/>
      <c r="ATK65" s="188"/>
      <c r="ATL65" s="188"/>
      <c r="ATM65" s="188"/>
      <c r="ATN65" s="188"/>
      <c r="ATO65" s="188"/>
      <c r="ATP65" s="188"/>
      <c r="ATQ65" s="188"/>
      <c r="ATR65" s="188"/>
      <c r="ATS65" s="188"/>
      <c r="ATT65" s="188"/>
      <c r="ATU65" s="188"/>
      <c r="ATV65" s="188"/>
      <c r="ATW65" s="188"/>
      <c r="ATX65" s="188"/>
      <c r="ATY65" s="188"/>
      <c r="ATZ65" s="188"/>
      <c r="AUA65" s="188"/>
      <c r="AUB65" s="188"/>
      <c r="AUC65" s="188"/>
      <c r="AUD65" s="188"/>
      <c r="AUE65" s="188"/>
      <c r="AUF65" s="188"/>
      <c r="AUG65" s="188"/>
      <c r="AUH65" s="188"/>
      <c r="AUI65" s="188"/>
      <c r="AUJ65" s="188"/>
      <c r="AUK65" s="188"/>
      <c r="AUL65" s="188"/>
      <c r="AUM65" s="188"/>
      <c r="AUN65" s="188"/>
      <c r="AUO65" s="188"/>
      <c r="AUP65" s="188"/>
      <c r="AUQ65" s="188"/>
      <c r="AUR65" s="188"/>
      <c r="AUS65" s="188"/>
      <c r="AUT65" s="188"/>
      <c r="AUU65" s="188"/>
      <c r="AUV65" s="188"/>
      <c r="AUW65" s="188"/>
      <c r="AUX65" s="188"/>
      <c r="AUY65" s="188"/>
      <c r="AUZ65" s="188"/>
      <c r="AVA65" s="188"/>
      <c r="AVB65" s="188"/>
      <c r="AVC65" s="188"/>
      <c r="AVD65" s="188"/>
      <c r="AVE65" s="188"/>
      <c r="AVF65" s="188"/>
      <c r="AVG65" s="188"/>
      <c r="AVH65" s="188"/>
      <c r="AVI65" s="188"/>
      <c r="AVJ65" s="188"/>
      <c r="AVK65" s="188"/>
      <c r="AVL65" s="188"/>
      <c r="AVM65" s="188"/>
      <c r="AVN65" s="188"/>
      <c r="AVO65" s="188"/>
      <c r="AVP65" s="188"/>
      <c r="AVQ65" s="188"/>
      <c r="AVR65" s="188"/>
      <c r="AVS65" s="188"/>
      <c r="AVT65" s="188"/>
      <c r="AVU65" s="188"/>
      <c r="AVV65" s="188"/>
      <c r="AVW65" s="188"/>
      <c r="AVX65" s="188"/>
      <c r="AVY65" s="188"/>
      <c r="AVZ65" s="188"/>
      <c r="AWA65" s="188"/>
      <c r="AWB65" s="188"/>
      <c r="AWC65" s="188"/>
      <c r="AWD65" s="188"/>
      <c r="AWE65" s="188"/>
      <c r="AWF65" s="188"/>
      <c r="AWG65" s="188"/>
      <c r="AWH65" s="188"/>
      <c r="AWI65" s="188"/>
      <c r="AWJ65" s="188"/>
      <c r="AWK65" s="188"/>
      <c r="AWL65" s="188"/>
      <c r="AWM65" s="188"/>
      <c r="AWN65" s="188"/>
      <c r="AWO65" s="188"/>
      <c r="AWP65" s="188"/>
      <c r="AWQ65" s="188"/>
      <c r="AWR65" s="188"/>
      <c r="AWS65" s="188"/>
      <c r="AWT65" s="188"/>
      <c r="AWU65" s="188"/>
      <c r="AWV65" s="188"/>
      <c r="AWW65" s="188"/>
      <c r="AWX65" s="188"/>
      <c r="AWY65" s="188"/>
      <c r="AWZ65" s="188"/>
      <c r="AXA65" s="188"/>
      <c r="AXB65" s="188"/>
      <c r="AXC65" s="188"/>
      <c r="AXD65" s="188"/>
      <c r="AXE65" s="188"/>
      <c r="AXF65" s="188"/>
      <c r="AXG65" s="188"/>
      <c r="AXH65" s="188"/>
      <c r="AXI65" s="188"/>
      <c r="AXJ65" s="188"/>
      <c r="AXK65" s="188"/>
      <c r="AXL65" s="188"/>
      <c r="AXM65" s="188"/>
      <c r="AXN65" s="188"/>
      <c r="AXO65" s="188"/>
      <c r="AXP65" s="188"/>
      <c r="AXQ65" s="188"/>
      <c r="AXR65" s="188"/>
      <c r="AXS65" s="188"/>
      <c r="AXT65" s="188"/>
      <c r="AXU65" s="188"/>
      <c r="AXV65" s="188"/>
      <c r="AXW65" s="188"/>
      <c r="AXX65" s="188"/>
      <c r="AXY65" s="188"/>
      <c r="AXZ65" s="188"/>
      <c r="AYA65" s="188"/>
      <c r="AYB65" s="188"/>
      <c r="AYC65" s="188"/>
      <c r="AYD65" s="188"/>
      <c r="AYE65" s="188"/>
      <c r="AYF65" s="188"/>
      <c r="AYG65" s="188"/>
      <c r="AYH65" s="188"/>
      <c r="AYI65" s="188"/>
      <c r="AYJ65" s="188"/>
      <c r="AYK65" s="188"/>
      <c r="AYL65" s="188"/>
      <c r="AYM65" s="188"/>
      <c r="AYN65" s="188"/>
      <c r="AYO65" s="188"/>
      <c r="AYP65" s="188"/>
      <c r="AYQ65" s="188"/>
      <c r="AYR65" s="188"/>
      <c r="AYS65" s="188"/>
      <c r="AYT65" s="188"/>
      <c r="AYU65" s="188"/>
      <c r="AYV65" s="188"/>
      <c r="AYW65" s="188"/>
      <c r="AYX65" s="188"/>
      <c r="AYY65" s="188"/>
      <c r="AYZ65" s="188"/>
      <c r="AZA65" s="188"/>
      <c r="AZB65" s="188"/>
      <c r="AZC65" s="188"/>
      <c r="AZD65" s="188"/>
      <c r="AZE65" s="188"/>
      <c r="AZF65" s="188"/>
      <c r="AZG65" s="188"/>
      <c r="AZH65" s="188"/>
      <c r="AZI65" s="188"/>
      <c r="AZJ65" s="188"/>
      <c r="AZK65" s="188"/>
      <c r="AZL65" s="188"/>
      <c r="AZM65" s="188"/>
      <c r="AZN65" s="188"/>
      <c r="AZO65" s="188"/>
      <c r="AZP65" s="188"/>
      <c r="AZQ65" s="188"/>
      <c r="AZR65" s="188"/>
      <c r="AZS65" s="188"/>
      <c r="AZT65" s="188"/>
      <c r="AZU65" s="188"/>
      <c r="AZV65" s="188"/>
      <c r="AZW65" s="188"/>
      <c r="AZX65" s="188"/>
      <c r="AZY65" s="188"/>
      <c r="AZZ65" s="188"/>
      <c r="BAA65" s="188"/>
      <c r="BAB65" s="188"/>
      <c r="BAC65" s="188"/>
      <c r="BAD65" s="188"/>
      <c r="BAE65" s="188"/>
      <c r="BAF65" s="188"/>
      <c r="BAG65" s="188"/>
      <c r="BAH65" s="188"/>
      <c r="BAI65" s="188"/>
      <c r="BAJ65" s="188"/>
      <c r="BAK65" s="188"/>
      <c r="BAL65" s="188"/>
      <c r="BAM65" s="188"/>
      <c r="BAN65" s="188"/>
      <c r="BAO65" s="188"/>
      <c r="BAP65" s="188"/>
      <c r="BAQ65" s="188"/>
      <c r="BAR65" s="188"/>
      <c r="BAS65" s="188"/>
      <c r="BAT65" s="188"/>
      <c r="BAU65" s="188"/>
      <c r="BAV65" s="188"/>
      <c r="BAW65" s="188"/>
      <c r="BAX65" s="188"/>
      <c r="BAY65" s="188"/>
      <c r="BAZ65" s="188"/>
      <c r="BBA65" s="188"/>
      <c r="BBB65" s="188"/>
      <c r="BBC65" s="188"/>
      <c r="BBD65" s="188"/>
      <c r="BBE65" s="188"/>
      <c r="BBF65" s="188"/>
      <c r="BBG65" s="188"/>
      <c r="BBH65" s="188"/>
      <c r="BBI65" s="188"/>
      <c r="BBJ65" s="188"/>
      <c r="BBK65" s="188"/>
      <c r="BBL65" s="188"/>
      <c r="BBM65" s="188"/>
      <c r="BBN65" s="188"/>
      <c r="BBO65" s="188"/>
      <c r="BBP65" s="188"/>
      <c r="BBQ65" s="188"/>
      <c r="BBR65" s="188"/>
      <c r="BBS65" s="188"/>
      <c r="BBT65" s="188"/>
      <c r="BBU65" s="188"/>
      <c r="BBV65" s="188"/>
      <c r="BBW65" s="188"/>
      <c r="BBX65" s="188"/>
      <c r="BBY65" s="188"/>
      <c r="BBZ65" s="188"/>
      <c r="BCA65" s="188"/>
      <c r="BCB65" s="188"/>
      <c r="BCC65" s="188"/>
      <c r="BCD65" s="188"/>
      <c r="BCE65" s="188"/>
      <c r="BCF65" s="188"/>
      <c r="BCG65" s="188"/>
      <c r="BCH65" s="188"/>
      <c r="BCI65" s="188"/>
      <c r="BCJ65" s="188"/>
      <c r="BCK65" s="188"/>
      <c r="BCL65" s="188"/>
      <c r="BCM65" s="188"/>
      <c r="BCN65" s="188"/>
      <c r="BCO65" s="188"/>
      <c r="BCP65" s="188"/>
      <c r="BCQ65" s="188"/>
      <c r="BCR65" s="188"/>
      <c r="BCS65" s="188"/>
      <c r="BCT65" s="188"/>
      <c r="BCU65" s="188"/>
      <c r="BCV65" s="188"/>
      <c r="BCW65" s="188"/>
      <c r="BCX65" s="188"/>
      <c r="BCY65" s="188"/>
      <c r="BCZ65" s="188"/>
      <c r="BDA65" s="188"/>
      <c r="BDB65" s="188"/>
      <c r="BDC65" s="188"/>
      <c r="BDD65" s="188"/>
      <c r="BDE65" s="188"/>
      <c r="BDF65" s="188"/>
      <c r="BDG65" s="188"/>
      <c r="BDH65" s="188"/>
      <c r="BDI65" s="188"/>
      <c r="BDJ65" s="188"/>
      <c r="BDK65" s="188"/>
      <c r="BDL65" s="188"/>
      <c r="BDM65" s="188"/>
      <c r="BDN65" s="188"/>
      <c r="BDO65" s="188"/>
      <c r="BDP65" s="188"/>
      <c r="BDQ65" s="188"/>
      <c r="BDR65" s="188"/>
      <c r="BDS65" s="188"/>
      <c r="BDT65" s="188"/>
      <c r="BDU65" s="188"/>
      <c r="BDV65" s="188"/>
      <c r="BDW65" s="188"/>
      <c r="BDX65" s="188"/>
      <c r="BDY65" s="188"/>
      <c r="BDZ65" s="188"/>
      <c r="BEA65" s="188"/>
      <c r="BEB65" s="188"/>
      <c r="BEC65" s="188"/>
      <c r="BED65" s="188"/>
      <c r="BEE65" s="188"/>
      <c r="BEF65" s="188"/>
      <c r="BEG65" s="188"/>
      <c r="BEH65" s="188"/>
      <c r="BEI65" s="188"/>
      <c r="BEJ65" s="188"/>
      <c r="BEK65" s="188"/>
      <c r="BEL65" s="188"/>
      <c r="BEM65" s="188"/>
      <c r="BEN65" s="188"/>
      <c r="BEO65" s="188"/>
      <c r="BEP65" s="188"/>
      <c r="BEQ65" s="188"/>
      <c r="BER65" s="188"/>
      <c r="BES65" s="188"/>
      <c r="BET65" s="188"/>
      <c r="BEU65" s="188"/>
      <c r="BEV65" s="188"/>
      <c r="BEW65" s="188"/>
      <c r="BEX65" s="188"/>
      <c r="BEY65" s="188"/>
      <c r="BEZ65" s="188"/>
      <c r="BFA65" s="188"/>
      <c r="BFB65" s="188"/>
      <c r="BFC65" s="188"/>
      <c r="BFD65" s="188"/>
      <c r="BFE65" s="188"/>
      <c r="BFF65" s="188"/>
      <c r="BFG65" s="188"/>
      <c r="BFH65" s="188"/>
      <c r="BFI65" s="188"/>
      <c r="BFJ65" s="188"/>
      <c r="BFK65" s="188"/>
      <c r="BFL65" s="188"/>
      <c r="BFM65" s="188"/>
      <c r="BFN65" s="188"/>
      <c r="BFO65" s="188"/>
      <c r="BFP65" s="188"/>
      <c r="BFQ65" s="188"/>
      <c r="BFR65" s="188"/>
      <c r="BFS65" s="188"/>
      <c r="BFT65" s="188"/>
      <c r="BFU65" s="188"/>
      <c r="BFV65" s="188"/>
      <c r="BFW65" s="188"/>
      <c r="BFX65" s="188"/>
      <c r="BFY65" s="188"/>
      <c r="BFZ65" s="188"/>
      <c r="BGA65" s="188"/>
      <c r="BGB65" s="188"/>
      <c r="BGC65" s="188"/>
      <c r="BGD65" s="188"/>
      <c r="BGE65" s="188"/>
      <c r="BGF65" s="188"/>
      <c r="BGG65" s="188"/>
      <c r="BGH65" s="188"/>
      <c r="BGI65" s="188"/>
      <c r="BGJ65" s="188"/>
      <c r="BGK65" s="188"/>
      <c r="BGL65" s="188"/>
      <c r="BGM65" s="188"/>
      <c r="BGN65" s="188"/>
      <c r="BGO65" s="188"/>
      <c r="BGP65" s="188"/>
      <c r="BGQ65" s="188"/>
      <c r="BGR65" s="188"/>
      <c r="BGS65" s="188"/>
      <c r="BGT65" s="188"/>
      <c r="BGU65" s="188"/>
      <c r="BGV65" s="188"/>
      <c r="BGW65" s="188"/>
      <c r="BGX65" s="188"/>
      <c r="BGY65" s="188"/>
      <c r="BGZ65" s="188"/>
      <c r="BHA65" s="188"/>
      <c r="BHB65" s="188"/>
      <c r="BHC65" s="188"/>
      <c r="BHD65" s="188"/>
      <c r="BHE65" s="188"/>
      <c r="BHF65" s="188"/>
      <c r="BHG65" s="188"/>
      <c r="BHH65" s="188"/>
      <c r="BHI65" s="188"/>
      <c r="BHJ65" s="188"/>
      <c r="BHK65" s="188"/>
      <c r="BHL65" s="188"/>
      <c r="BHM65" s="188"/>
      <c r="BHN65" s="188"/>
      <c r="BHO65" s="188"/>
      <c r="BHP65" s="188"/>
      <c r="BHQ65" s="188"/>
      <c r="BHR65" s="188"/>
      <c r="BHS65" s="188"/>
      <c r="BHT65" s="188"/>
      <c r="BHU65" s="188"/>
      <c r="BHV65" s="188"/>
      <c r="BHW65" s="188"/>
      <c r="BHX65" s="188"/>
      <c r="BHY65" s="188"/>
      <c r="BHZ65" s="188"/>
      <c r="BIA65" s="188"/>
      <c r="BIB65" s="188"/>
      <c r="BIC65" s="188"/>
      <c r="BID65" s="188"/>
      <c r="BIE65" s="188"/>
      <c r="BIF65" s="188"/>
      <c r="BIG65" s="188"/>
      <c r="BIH65" s="188"/>
      <c r="BII65" s="188"/>
      <c r="BIJ65" s="188"/>
      <c r="BIK65" s="188"/>
      <c r="BIL65" s="188"/>
      <c r="BIM65" s="188"/>
      <c r="BIN65" s="188"/>
      <c r="BIO65" s="188"/>
      <c r="BIP65" s="188"/>
      <c r="BIQ65" s="188"/>
      <c r="BIR65" s="188"/>
      <c r="BIS65" s="188"/>
      <c r="BIT65" s="188"/>
      <c r="BIU65" s="188"/>
      <c r="BIV65" s="188"/>
      <c r="BIW65" s="188"/>
      <c r="BIX65" s="188"/>
      <c r="BIY65" s="188"/>
      <c r="BIZ65" s="188"/>
      <c r="BJA65" s="188"/>
      <c r="BJB65" s="188"/>
      <c r="BJC65" s="188"/>
      <c r="BJD65" s="188"/>
      <c r="BJE65" s="188"/>
      <c r="BJF65" s="188"/>
      <c r="BJG65" s="188"/>
      <c r="BJH65" s="188"/>
      <c r="BJI65" s="188"/>
      <c r="BJJ65" s="188"/>
      <c r="BJK65" s="188"/>
      <c r="BJL65" s="188"/>
      <c r="BJM65" s="188"/>
      <c r="BJN65" s="188"/>
      <c r="BJO65" s="188"/>
      <c r="BJP65" s="188"/>
      <c r="BJQ65" s="188"/>
      <c r="BJR65" s="188"/>
      <c r="BJS65" s="188"/>
      <c r="BJT65" s="188"/>
      <c r="BJU65" s="188"/>
      <c r="BJV65" s="188"/>
      <c r="BJW65" s="188"/>
      <c r="BJX65" s="188"/>
      <c r="BJY65" s="188"/>
      <c r="BJZ65" s="188"/>
      <c r="BKA65" s="188"/>
      <c r="BKB65" s="188"/>
      <c r="BKC65" s="188"/>
      <c r="BKD65" s="188"/>
      <c r="BKE65" s="188"/>
      <c r="BKF65" s="188"/>
      <c r="BKG65" s="188"/>
      <c r="BKH65" s="188"/>
      <c r="BKI65" s="188"/>
      <c r="BKJ65" s="188"/>
      <c r="BKK65" s="188"/>
      <c r="BKL65" s="188"/>
      <c r="BKM65" s="188"/>
      <c r="BKN65" s="188"/>
    </row>
    <row r="66" spans="1:1652" s="21" customFormat="1" x14ac:dyDescent="0.3">
      <c r="A66" s="171"/>
      <c r="B66" s="189"/>
      <c r="C66" s="189"/>
      <c r="D66" s="189"/>
      <c r="E66" s="189"/>
      <c r="F66" s="189"/>
      <c r="G66" s="189"/>
      <c r="I66" s="188"/>
      <c r="J66" s="188"/>
      <c r="K66" s="188"/>
      <c r="L66" s="188"/>
      <c r="M66" s="188"/>
      <c r="N66" s="188"/>
      <c r="O66" s="188"/>
      <c r="P66" s="188"/>
      <c r="Q66" s="188"/>
      <c r="R66" s="188"/>
      <c r="S66" s="188"/>
      <c r="T66" s="188"/>
      <c r="U66" s="188"/>
      <c r="V66" s="188"/>
      <c r="W66" s="188"/>
      <c r="X66" s="188"/>
      <c r="Y66" s="188"/>
      <c r="Z66" s="188"/>
      <c r="AA66" s="188"/>
      <c r="AB66" s="188"/>
      <c r="AC66" s="188"/>
      <c r="AD66" s="188"/>
      <c r="AE66" s="188"/>
      <c r="AF66" s="188"/>
      <c r="AG66" s="188"/>
      <c r="AH66" s="188"/>
      <c r="AI66" s="188"/>
      <c r="AJ66" s="188"/>
      <c r="AK66" s="188"/>
      <c r="AL66" s="188"/>
      <c r="AM66" s="188"/>
      <c r="AN66" s="188"/>
      <c r="AO66" s="188"/>
      <c r="AP66" s="188"/>
      <c r="AQ66" s="188"/>
      <c r="AR66" s="188"/>
      <c r="AS66" s="188"/>
      <c r="AT66" s="189"/>
      <c r="AU66" s="189"/>
      <c r="AV66" s="189"/>
      <c r="AW66" s="189"/>
      <c r="AX66" s="189"/>
      <c r="AY66" s="189"/>
      <c r="AZ66" s="189"/>
      <c r="BA66" s="189"/>
      <c r="BB66" s="189"/>
      <c r="BC66" s="189"/>
      <c r="BD66" s="189"/>
      <c r="BE66" s="188"/>
      <c r="BF66" s="188"/>
      <c r="BG66" s="188"/>
      <c r="BH66" s="188"/>
      <c r="BI66" s="188"/>
      <c r="BJ66" s="188"/>
      <c r="BK66" s="188"/>
      <c r="BL66" s="188"/>
      <c r="BM66" s="188"/>
      <c r="BN66" s="188"/>
      <c r="BO66" s="188"/>
      <c r="BP66" s="188"/>
      <c r="BQ66" s="188"/>
      <c r="BR66" s="188"/>
      <c r="BS66" s="188"/>
      <c r="BT66" s="188"/>
      <c r="BU66" s="188"/>
      <c r="BV66" s="188"/>
      <c r="BW66" s="188"/>
      <c r="BX66" s="188"/>
      <c r="BY66" s="188"/>
      <c r="BZ66" s="188"/>
      <c r="CA66" s="188"/>
      <c r="CB66" s="188"/>
      <c r="CC66" s="188"/>
      <c r="CD66" s="188"/>
      <c r="CE66" s="188"/>
      <c r="CF66" s="188"/>
      <c r="CG66" s="188"/>
      <c r="CH66" s="188"/>
      <c r="CI66" s="188"/>
      <c r="CJ66" s="188"/>
      <c r="CK66" s="188"/>
      <c r="CL66" s="188"/>
      <c r="CM66" s="188"/>
      <c r="CN66" s="188"/>
      <c r="CO66" s="188"/>
      <c r="CP66" s="188"/>
      <c r="CQ66" s="188"/>
      <c r="CR66" s="188"/>
      <c r="CS66" s="188"/>
      <c r="CT66" s="188"/>
      <c r="CU66" s="188"/>
      <c r="CV66" s="188"/>
      <c r="CW66" s="188"/>
      <c r="CX66" s="188"/>
      <c r="CY66" s="188"/>
      <c r="CZ66" s="188"/>
      <c r="DA66" s="188"/>
      <c r="DB66" s="188"/>
      <c r="DC66" s="188"/>
      <c r="DD66" s="188"/>
      <c r="DE66" s="188"/>
      <c r="DF66" s="188"/>
      <c r="DG66" s="188"/>
      <c r="DH66" s="188"/>
      <c r="DI66" s="188"/>
      <c r="DJ66" s="188"/>
      <c r="DK66" s="188"/>
      <c r="DL66" s="188"/>
      <c r="DM66" s="188"/>
      <c r="DN66" s="188"/>
      <c r="DO66" s="188"/>
      <c r="DP66" s="188"/>
      <c r="DQ66" s="188"/>
      <c r="DR66" s="188"/>
      <c r="DS66" s="188"/>
      <c r="DT66" s="188"/>
      <c r="DU66" s="188"/>
      <c r="DV66" s="188"/>
      <c r="DW66" s="188"/>
      <c r="DX66" s="188"/>
      <c r="DY66" s="188"/>
      <c r="DZ66" s="188"/>
      <c r="EA66" s="188"/>
      <c r="EB66" s="188"/>
      <c r="EC66" s="188"/>
      <c r="ED66" s="188"/>
      <c r="EE66" s="188"/>
      <c r="EF66" s="188"/>
      <c r="EG66" s="188"/>
      <c r="EH66" s="188"/>
      <c r="EI66" s="188"/>
      <c r="EJ66" s="188"/>
      <c r="EK66" s="188"/>
      <c r="EL66" s="188"/>
      <c r="EM66" s="188"/>
      <c r="EN66" s="188"/>
      <c r="EO66" s="188"/>
      <c r="EP66" s="188"/>
      <c r="EQ66" s="188"/>
      <c r="ER66" s="188"/>
      <c r="ES66" s="188"/>
      <c r="ET66" s="188"/>
      <c r="EU66" s="188"/>
      <c r="EV66" s="188"/>
      <c r="EW66" s="188"/>
      <c r="EX66" s="188"/>
      <c r="EY66" s="188"/>
      <c r="EZ66" s="188"/>
      <c r="FA66" s="188"/>
      <c r="FB66" s="188"/>
      <c r="FC66" s="188"/>
      <c r="FD66" s="188"/>
      <c r="FE66" s="188"/>
      <c r="FF66" s="188"/>
      <c r="FG66" s="188"/>
      <c r="FH66" s="188"/>
      <c r="FI66" s="188"/>
      <c r="FJ66" s="188"/>
      <c r="FK66" s="188"/>
      <c r="FL66" s="188"/>
      <c r="FM66" s="188"/>
      <c r="FN66" s="188"/>
      <c r="FO66" s="188"/>
      <c r="FP66" s="188"/>
      <c r="FQ66" s="188"/>
      <c r="FR66" s="188"/>
      <c r="FS66" s="188"/>
      <c r="FT66" s="188"/>
      <c r="FU66" s="188"/>
      <c r="FV66" s="188"/>
      <c r="FW66" s="188"/>
      <c r="FX66" s="188"/>
      <c r="FY66" s="188"/>
      <c r="FZ66" s="188"/>
      <c r="GA66" s="188"/>
      <c r="GB66" s="188"/>
      <c r="GC66" s="188"/>
      <c r="GD66" s="188"/>
      <c r="GE66" s="188"/>
      <c r="GF66" s="188"/>
      <c r="GG66" s="188"/>
      <c r="GH66" s="188"/>
      <c r="GI66" s="188"/>
      <c r="GJ66" s="188"/>
      <c r="GK66" s="188"/>
      <c r="GL66" s="188"/>
      <c r="GM66" s="188"/>
      <c r="GN66" s="188"/>
      <c r="GO66" s="188"/>
      <c r="GP66" s="188"/>
      <c r="GQ66" s="188"/>
      <c r="GR66" s="188"/>
      <c r="GS66" s="188"/>
      <c r="GT66" s="188"/>
      <c r="GU66" s="188"/>
      <c r="GV66" s="188"/>
      <c r="GW66" s="188"/>
      <c r="GX66" s="188"/>
      <c r="GY66" s="188"/>
      <c r="GZ66" s="188"/>
      <c r="HA66" s="188"/>
      <c r="HB66" s="188"/>
      <c r="HC66" s="188"/>
      <c r="HD66" s="188"/>
      <c r="HE66" s="188"/>
      <c r="HF66" s="188"/>
      <c r="HG66" s="188"/>
      <c r="HH66" s="188"/>
      <c r="HI66" s="188"/>
      <c r="HJ66" s="188"/>
      <c r="HK66" s="188"/>
      <c r="HL66" s="188"/>
      <c r="HM66" s="188"/>
      <c r="HN66" s="188"/>
      <c r="HO66" s="188"/>
      <c r="HP66" s="188"/>
      <c r="HQ66" s="188"/>
      <c r="HR66" s="188"/>
      <c r="HS66" s="188"/>
      <c r="HT66" s="188"/>
      <c r="HU66" s="188"/>
      <c r="HV66" s="188"/>
      <c r="HW66" s="188"/>
      <c r="HX66" s="188"/>
      <c r="HY66" s="188"/>
      <c r="HZ66" s="188"/>
      <c r="IA66" s="188"/>
      <c r="IB66" s="188"/>
      <c r="IC66" s="188"/>
      <c r="ID66" s="188"/>
      <c r="IE66" s="188"/>
      <c r="IF66" s="188"/>
      <c r="IG66" s="188"/>
      <c r="IH66" s="188"/>
      <c r="II66" s="188"/>
      <c r="IJ66" s="188"/>
      <c r="IK66" s="188"/>
      <c r="IL66" s="188"/>
      <c r="IM66" s="188"/>
      <c r="IN66" s="188"/>
      <c r="IO66" s="188"/>
      <c r="IP66" s="188"/>
      <c r="IQ66" s="188"/>
      <c r="IR66" s="188"/>
      <c r="IS66" s="188"/>
      <c r="IT66" s="188"/>
      <c r="IU66" s="188"/>
      <c r="IV66" s="188"/>
      <c r="IW66" s="188"/>
      <c r="IX66" s="188"/>
      <c r="IY66" s="188"/>
      <c r="IZ66" s="188"/>
      <c r="JA66" s="188"/>
      <c r="JB66" s="188"/>
      <c r="JC66" s="188"/>
      <c r="JD66" s="188"/>
      <c r="JE66" s="188"/>
      <c r="JF66" s="188"/>
      <c r="JG66" s="188"/>
      <c r="JH66" s="188"/>
      <c r="JI66" s="188"/>
      <c r="JJ66" s="188"/>
      <c r="JK66" s="188"/>
      <c r="JL66" s="188"/>
      <c r="JM66" s="188"/>
      <c r="JN66" s="188"/>
      <c r="JO66" s="188"/>
      <c r="JP66" s="188"/>
      <c r="JQ66" s="188"/>
      <c r="JR66" s="188"/>
      <c r="JS66" s="188"/>
      <c r="JT66" s="188"/>
      <c r="JU66" s="188"/>
      <c r="JV66" s="188"/>
      <c r="JW66" s="188"/>
      <c r="JX66" s="188"/>
      <c r="JY66" s="188"/>
      <c r="JZ66" s="188"/>
      <c r="KA66" s="188"/>
      <c r="KB66" s="188"/>
      <c r="KC66" s="188"/>
      <c r="KD66" s="188"/>
      <c r="KE66" s="188"/>
      <c r="KF66" s="188"/>
      <c r="KG66" s="188"/>
      <c r="KH66" s="188"/>
      <c r="KI66" s="188"/>
      <c r="KJ66" s="188"/>
      <c r="KK66" s="188"/>
      <c r="KL66" s="188"/>
      <c r="KM66" s="188"/>
      <c r="KN66" s="188"/>
      <c r="KO66" s="188"/>
      <c r="KP66" s="188"/>
      <c r="KQ66" s="188"/>
      <c r="KR66" s="188"/>
      <c r="KS66" s="188"/>
      <c r="KT66" s="188"/>
      <c r="KU66" s="188"/>
      <c r="KV66" s="188"/>
      <c r="KW66" s="188"/>
      <c r="KX66" s="188"/>
      <c r="KY66" s="188"/>
      <c r="KZ66" s="188"/>
      <c r="LA66" s="188"/>
      <c r="LB66" s="188"/>
      <c r="LC66" s="188"/>
      <c r="LD66" s="188"/>
      <c r="LE66" s="188"/>
      <c r="LF66" s="188"/>
      <c r="LG66" s="188"/>
      <c r="LH66" s="188"/>
      <c r="LI66" s="188"/>
      <c r="LJ66" s="188"/>
      <c r="LK66" s="188"/>
      <c r="LL66" s="188"/>
      <c r="LM66" s="188"/>
      <c r="LN66" s="188"/>
      <c r="LO66" s="188"/>
      <c r="LP66" s="188"/>
      <c r="LQ66" s="188"/>
      <c r="LR66" s="188"/>
      <c r="LS66" s="188"/>
      <c r="LT66" s="188"/>
      <c r="LU66" s="188"/>
      <c r="LV66" s="188"/>
      <c r="LW66" s="188"/>
      <c r="LX66" s="188"/>
      <c r="LY66" s="188"/>
      <c r="LZ66" s="188"/>
      <c r="MA66" s="188"/>
      <c r="MB66" s="188"/>
      <c r="MC66" s="188"/>
      <c r="MD66" s="188"/>
      <c r="ME66" s="188"/>
      <c r="MF66" s="188"/>
      <c r="MG66" s="188"/>
      <c r="MH66" s="188"/>
      <c r="MI66" s="188"/>
      <c r="MJ66" s="188"/>
      <c r="MK66" s="188"/>
      <c r="ML66" s="188"/>
      <c r="MM66" s="188"/>
      <c r="MN66" s="188"/>
      <c r="MO66" s="188"/>
      <c r="MP66" s="188"/>
      <c r="MQ66" s="188"/>
      <c r="MR66" s="188"/>
      <c r="MS66" s="188"/>
      <c r="MT66" s="188"/>
      <c r="MU66" s="188"/>
      <c r="MV66" s="188"/>
      <c r="MW66" s="188"/>
      <c r="MX66" s="188"/>
      <c r="MY66" s="188"/>
      <c r="MZ66" s="188"/>
      <c r="NA66" s="188"/>
      <c r="NB66" s="188"/>
      <c r="NC66" s="188"/>
      <c r="ND66" s="188"/>
      <c r="NE66" s="188"/>
      <c r="NF66" s="188"/>
      <c r="NG66" s="188"/>
      <c r="NH66" s="188"/>
      <c r="NI66" s="188"/>
      <c r="NJ66" s="188"/>
      <c r="NK66" s="188"/>
      <c r="NL66" s="188"/>
      <c r="NM66" s="188"/>
      <c r="NN66" s="188"/>
      <c r="NO66" s="188"/>
      <c r="NP66" s="188"/>
      <c r="NQ66" s="188"/>
      <c r="NR66" s="188"/>
      <c r="NS66" s="188"/>
      <c r="NT66" s="188"/>
      <c r="NU66" s="188"/>
      <c r="NV66" s="188"/>
      <c r="NW66" s="188"/>
      <c r="NX66" s="188"/>
      <c r="NY66" s="188"/>
      <c r="NZ66" s="188"/>
      <c r="OA66" s="188"/>
      <c r="OB66" s="188"/>
      <c r="OC66" s="188"/>
      <c r="OD66" s="188"/>
      <c r="OE66" s="188"/>
      <c r="OF66" s="188"/>
      <c r="OG66" s="188"/>
      <c r="OH66" s="188"/>
      <c r="OI66" s="188"/>
      <c r="OJ66" s="188"/>
      <c r="OK66" s="188"/>
      <c r="OL66" s="188"/>
      <c r="OM66" s="188"/>
      <c r="ON66" s="188"/>
      <c r="OO66" s="188"/>
      <c r="OP66" s="188"/>
      <c r="OQ66" s="188"/>
      <c r="OR66" s="188"/>
      <c r="OS66" s="188"/>
      <c r="OT66" s="188"/>
      <c r="OU66" s="188"/>
      <c r="OV66" s="188"/>
      <c r="OW66" s="188"/>
      <c r="OX66" s="188"/>
      <c r="OY66" s="188"/>
      <c r="OZ66" s="188"/>
      <c r="PA66" s="188"/>
      <c r="PB66" s="188"/>
      <c r="PC66" s="188"/>
      <c r="PD66" s="188"/>
      <c r="PE66" s="188"/>
      <c r="PF66" s="188"/>
      <c r="PG66" s="188"/>
      <c r="PH66" s="188"/>
      <c r="PI66" s="188"/>
      <c r="PJ66" s="188"/>
      <c r="PK66" s="188"/>
      <c r="PL66" s="188"/>
      <c r="PM66" s="188"/>
      <c r="PN66" s="188"/>
      <c r="PO66" s="188"/>
      <c r="PP66" s="188"/>
      <c r="PQ66" s="188"/>
      <c r="PR66" s="188"/>
      <c r="PS66" s="188"/>
      <c r="PT66" s="188"/>
      <c r="PU66" s="188"/>
      <c r="PV66" s="188"/>
      <c r="PW66" s="188"/>
      <c r="PX66" s="188"/>
      <c r="PY66" s="188"/>
      <c r="PZ66" s="188"/>
      <c r="QA66" s="188"/>
      <c r="QB66" s="188"/>
      <c r="QC66" s="188"/>
      <c r="QD66" s="188"/>
      <c r="QE66" s="188"/>
      <c r="QF66" s="188"/>
      <c r="QG66" s="188"/>
      <c r="QH66" s="188"/>
      <c r="QI66" s="188"/>
      <c r="QJ66" s="188"/>
      <c r="QK66" s="188"/>
      <c r="QL66" s="188"/>
      <c r="QM66" s="188"/>
      <c r="QN66" s="188"/>
      <c r="QO66" s="188"/>
      <c r="QP66" s="188"/>
      <c r="QQ66" s="188"/>
      <c r="QR66" s="188"/>
      <c r="QS66" s="188"/>
      <c r="QT66" s="188"/>
      <c r="QU66" s="188"/>
      <c r="QV66" s="188"/>
      <c r="QW66" s="188"/>
      <c r="QX66" s="188"/>
      <c r="QY66" s="188"/>
      <c r="QZ66" s="188"/>
      <c r="RA66" s="188"/>
      <c r="RB66" s="188"/>
      <c r="RC66" s="188"/>
      <c r="RD66" s="188"/>
      <c r="RE66" s="188"/>
      <c r="RF66" s="188"/>
      <c r="RG66" s="188"/>
      <c r="RH66" s="188"/>
      <c r="RI66" s="188"/>
      <c r="RJ66" s="188"/>
      <c r="RK66" s="188"/>
      <c r="RL66" s="188"/>
      <c r="RM66" s="188"/>
      <c r="RN66" s="188"/>
      <c r="RO66" s="188"/>
      <c r="RP66" s="188"/>
      <c r="RQ66" s="188"/>
      <c r="RR66" s="188"/>
      <c r="RS66" s="188"/>
      <c r="RT66" s="188"/>
      <c r="RU66" s="188"/>
      <c r="RV66" s="188"/>
      <c r="RW66" s="188"/>
      <c r="RX66" s="188"/>
      <c r="RY66" s="188"/>
      <c r="RZ66" s="188"/>
      <c r="SA66" s="188"/>
      <c r="SB66" s="188"/>
      <c r="SC66" s="188"/>
      <c r="SD66" s="188"/>
      <c r="SE66" s="188"/>
      <c r="SF66" s="188"/>
      <c r="SG66" s="188"/>
      <c r="SH66" s="188"/>
      <c r="SI66" s="188"/>
      <c r="SJ66" s="188"/>
      <c r="SK66" s="188"/>
      <c r="SL66" s="188"/>
      <c r="SM66" s="188"/>
      <c r="SN66" s="188"/>
      <c r="SO66" s="188"/>
      <c r="SP66" s="188"/>
      <c r="SQ66" s="188"/>
      <c r="SR66" s="188"/>
      <c r="SS66" s="188"/>
      <c r="ST66" s="188"/>
      <c r="SU66" s="188"/>
      <c r="SV66" s="188"/>
      <c r="SW66" s="188"/>
      <c r="SX66" s="188"/>
      <c r="SY66" s="188"/>
      <c r="SZ66" s="188"/>
      <c r="TA66" s="188"/>
      <c r="TB66" s="188"/>
      <c r="TC66" s="188"/>
      <c r="TD66" s="188"/>
      <c r="TE66" s="188"/>
      <c r="TF66" s="188"/>
      <c r="TG66" s="188"/>
      <c r="TH66" s="188"/>
      <c r="TI66" s="188"/>
      <c r="TJ66" s="188"/>
      <c r="TK66" s="188"/>
      <c r="TL66" s="188"/>
      <c r="TM66" s="188"/>
      <c r="TN66" s="188"/>
      <c r="TO66" s="188"/>
      <c r="TP66" s="188"/>
      <c r="TQ66" s="188"/>
      <c r="TR66" s="188"/>
      <c r="TS66" s="188"/>
      <c r="TT66" s="188"/>
      <c r="TU66" s="188"/>
      <c r="TV66" s="188"/>
      <c r="TW66" s="188"/>
      <c r="TX66" s="188"/>
      <c r="TY66" s="188"/>
      <c r="TZ66" s="188"/>
      <c r="UA66" s="188"/>
      <c r="UB66" s="188"/>
      <c r="UC66" s="188"/>
      <c r="UD66" s="188"/>
      <c r="UE66" s="188"/>
      <c r="UF66" s="188"/>
      <c r="UG66" s="188"/>
      <c r="UH66" s="188"/>
      <c r="UI66" s="188"/>
      <c r="UJ66" s="188"/>
      <c r="UK66" s="188"/>
      <c r="UL66" s="188"/>
      <c r="UM66" s="188"/>
      <c r="UN66" s="188"/>
      <c r="UO66" s="188"/>
      <c r="UP66" s="188"/>
      <c r="UQ66" s="188"/>
      <c r="UR66" s="188"/>
      <c r="US66" s="188"/>
      <c r="UT66" s="188"/>
      <c r="UU66" s="188"/>
      <c r="UV66" s="188"/>
      <c r="UW66" s="188"/>
      <c r="UX66" s="188"/>
      <c r="UY66" s="188"/>
      <c r="UZ66" s="188"/>
      <c r="VA66" s="188"/>
      <c r="VB66" s="188"/>
      <c r="VC66" s="188"/>
      <c r="VD66" s="188"/>
      <c r="VE66" s="188"/>
      <c r="VF66" s="188"/>
      <c r="VG66" s="188"/>
      <c r="VH66" s="188"/>
      <c r="VI66" s="188"/>
      <c r="VJ66" s="188"/>
      <c r="VK66" s="188"/>
      <c r="VL66" s="188"/>
      <c r="VM66" s="188"/>
      <c r="VN66" s="188"/>
      <c r="VO66" s="188"/>
      <c r="VP66" s="188"/>
      <c r="VQ66" s="188"/>
      <c r="VR66" s="188"/>
      <c r="VS66" s="188"/>
      <c r="VT66" s="188"/>
      <c r="VU66" s="188"/>
      <c r="VV66" s="188"/>
      <c r="VW66" s="188"/>
      <c r="VX66" s="188"/>
      <c r="VY66" s="188"/>
      <c r="VZ66" s="188"/>
      <c r="WA66" s="188"/>
      <c r="WB66" s="188"/>
      <c r="WC66" s="188"/>
      <c r="WD66" s="188"/>
      <c r="WE66" s="188"/>
      <c r="WF66" s="188"/>
      <c r="WG66" s="188"/>
      <c r="WH66" s="188"/>
      <c r="WI66" s="188"/>
      <c r="WJ66" s="188"/>
      <c r="WK66" s="188"/>
      <c r="WL66" s="188"/>
      <c r="WM66" s="188"/>
      <c r="WN66" s="188"/>
      <c r="WO66" s="188"/>
      <c r="WP66" s="188"/>
      <c r="WQ66" s="188"/>
      <c r="WR66" s="188"/>
      <c r="WS66" s="188"/>
      <c r="WT66" s="188"/>
      <c r="WU66" s="188"/>
      <c r="WV66" s="188"/>
      <c r="WW66" s="188"/>
      <c r="WX66" s="188"/>
      <c r="WY66" s="188"/>
      <c r="WZ66" s="188"/>
      <c r="XA66" s="188"/>
      <c r="XB66" s="188"/>
      <c r="XC66" s="188"/>
      <c r="XD66" s="188"/>
      <c r="XE66" s="188"/>
      <c r="XF66" s="188"/>
      <c r="XG66" s="188"/>
      <c r="XH66" s="188"/>
      <c r="XI66" s="188"/>
      <c r="XJ66" s="188"/>
      <c r="XK66" s="188"/>
      <c r="XL66" s="188"/>
      <c r="XM66" s="188"/>
      <c r="XN66" s="188"/>
      <c r="XO66" s="188"/>
      <c r="XP66" s="188"/>
      <c r="XQ66" s="188"/>
      <c r="XR66" s="188"/>
      <c r="XS66" s="188"/>
      <c r="XT66" s="188"/>
      <c r="XU66" s="188"/>
      <c r="XV66" s="188"/>
      <c r="XW66" s="188"/>
      <c r="XX66" s="188"/>
      <c r="XY66" s="188"/>
      <c r="XZ66" s="188"/>
      <c r="YA66" s="188"/>
      <c r="YB66" s="188"/>
      <c r="YC66" s="188"/>
      <c r="YD66" s="188"/>
      <c r="YE66" s="188"/>
      <c r="YF66" s="188"/>
      <c r="YG66" s="188"/>
      <c r="YH66" s="188"/>
      <c r="YI66" s="188"/>
      <c r="YJ66" s="188"/>
      <c r="YK66" s="188"/>
      <c r="YL66" s="188"/>
      <c r="YM66" s="188"/>
      <c r="YN66" s="188"/>
      <c r="YO66" s="188"/>
      <c r="YP66" s="188"/>
      <c r="YQ66" s="188"/>
      <c r="YR66" s="188"/>
      <c r="YS66" s="188"/>
      <c r="YT66" s="188"/>
      <c r="YU66" s="188"/>
      <c r="YV66" s="188"/>
      <c r="YW66" s="188"/>
      <c r="YX66" s="188"/>
      <c r="YY66" s="188"/>
      <c r="YZ66" s="188"/>
      <c r="ZA66" s="188"/>
      <c r="ZB66" s="188"/>
      <c r="ZC66" s="188"/>
      <c r="ZD66" s="188"/>
      <c r="ZE66" s="188"/>
      <c r="ZF66" s="188"/>
      <c r="ZG66" s="188"/>
      <c r="ZH66" s="188"/>
      <c r="ZI66" s="188"/>
      <c r="ZJ66" s="188"/>
      <c r="ZK66" s="188"/>
      <c r="ZL66" s="188"/>
      <c r="ZM66" s="188"/>
      <c r="ZN66" s="188"/>
      <c r="ZO66" s="188"/>
      <c r="ZP66" s="188"/>
      <c r="ZQ66" s="188"/>
      <c r="ZR66" s="188"/>
      <c r="ZS66" s="188"/>
      <c r="ZT66" s="188"/>
      <c r="ZU66" s="188"/>
      <c r="ZV66" s="188"/>
      <c r="ZW66" s="188"/>
      <c r="ZX66" s="188"/>
      <c r="ZY66" s="188"/>
      <c r="ZZ66" s="188"/>
      <c r="AAA66" s="188"/>
      <c r="AAB66" s="188"/>
      <c r="AAC66" s="188"/>
      <c r="AAD66" s="188"/>
      <c r="AAE66" s="188"/>
      <c r="AAF66" s="188"/>
      <c r="AAG66" s="188"/>
      <c r="AAH66" s="188"/>
      <c r="AAI66" s="188"/>
      <c r="AAJ66" s="188"/>
      <c r="AAK66" s="188"/>
      <c r="AAL66" s="188"/>
      <c r="AAM66" s="188"/>
      <c r="AAN66" s="188"/>
      <c r="AAO66" s="188"/>
      <c r="AAP66" s="188"/>
      <c r="AAQ66" s="188"/>
      <c r="AAR66" s="188"/>
      <c r="AAS66" s="188"/>
      <c r="AAT66" s="188"/>
      <c r="AAU66" s="188"/>
      <c r="AAV66" s="188"/>
      <c r="AAW66" s="188"/>
      <c r="AAX66" s="188"/>
      <c r="AAY66" s="188"/>
      <c r="AAZ66" s="188"/>
      <c r="ABA66" s="188"/>
      <c r="ABB66" s="188"/>
      <c r="ABC66" s="188"/>
      <c r="ABD66" s="188"/>
      <c r="ABE66" s="188"/>
      <c r="ABF66" s="188"/>
      <c r="ABG66" s="188"/>
      <c r="ABH66" s="188"/>
      <c r="ABI66" s="188"/>
      <c r="ABJ66" s="188"/>
      <c r="ABK66" s="188"/>
      <c r="ABL66" s="188"/>
      <c r="ABM66" s="188"/>
      <c r="ABN66" s="188"/>
      <c r="ABO66" s="188"/>
      <c r="ABP66" s="188"/>
      <c r="ABQ66" s="188"/>
      <c r="ABR66" s="188"/>
      <c r="ABS66" s="188"/>
      <c r="ABT66" s="188"/>
      <c r="ABU66" s="188"/>
      <c r="ABV66" s="188"/>
      <c r="ABW66" s="188"/>
      <c r="ABX66" s="188"/>
      <c r="ABY66" s="188"/>
      <c r="ABZ66" s="188"/>
      <c r="ACA66" s="188"/>
      <c r="ACB66" s="188"/>
      <c r="ACC66" s="188"/>
      <c r="ACD66" s="188"/>
      <c r="ACE66" s="188"/>
      <c r="ACF66" s="188"/>
      <c r="ACG66" s="188"/>
      <c r="ACH66" s="188"/>
      <c r="ACI66" s="188"/>
      <c r="ACJ66" s="188"/>
      <c r="ACK66" s="188"/>
      <c r="ACL66" s="188"/>
      <c r="ACM66" s="188"/>
      <c r="ACN66" s="188"/>
      <c r="ACO66" s="188"/>
      <c r="ACP66" s="188"/>
      <c r="ACQ66" s="188"/>
      <c r="ACR66" s="188"/>
      <c r="ACS66" s="188"/>
      <c r="ACT66" s="188"/>
      <c r="ACU66" s="188"/>
      <c r="ACV66" s="188"/>
      <c r="ACW66" s="188"/>
      <c r="ACX66" s="188"/>
      <c r="ACY66" s="188"/>
      <c r="ACZ66" s="188"/>
      <c r="ADA66" s="188"/>
      <c r="ADB66" s="188"/>
      <c r="ADC66" s="188"/>
      <c r="ADD66" s="188"/>
      <c r="ADE66" s="188"/>
      <c r="ADF66" s="188"/>
      <c r="ADG66" s="188"/>
      <c r="ADH66" s="188"/>
      <c r="ADI66" s="188"/>
      <c r="ADJ66" s="188"/>
      <c r="ADK66" s="188"/>
      <c r="ADL66" s="188"/>
      <c r="ADM66" s="188"/>
      <c r="ADN66" s="188"/>
      <c r="ADO66" s="188"/>
      <c r="ADP66" s="188"/>
      <c r="ADQ66" s="188"/>
      <c r="ADR66" s="188"/>
      <c r="ADS66" s="188"/>
      <c r="ADT66" s="188"/>
      <c r="ADU66" s="188"/>
      <c r="ADV66" s="188"/>
      <c r="ADW66" s="188"/>
      <c r="ADX66" s="188"/>
      <c r="ADY66" s="188"/>
      <c r="ADZ66" s="188"/>
      <c r="AEA66" s="188"/>
      <c r="AEB66" s="188"/>
      <c r="AEC66" s="188"/>
      <c r="AED66" s="188"/>
      <c r="AEE66" s="188"/>
      <c r="AEF66" s="188"/>
      <c r="AEG66" s="188"/>
      <c r="AEH66" s="188"/>
      <c r="AEI66" s="188"/>
      <c r="AEJ66" s="188"/>
      <c r="AEK66" s="188"/>
      <c r="AEL66" s="188"/>
      <c r="AEM66" s="188"/>
      <c r="AEN66" s="188"/>
      <c r="AEO66" s="188"/>
      <c r="AEP66" s="188"/>
      <c r="AEQ66" s="188"/>
      <c r="AER66" s="188"/>
      <c r="AES66" s="188"/>
      <c r="AET66" s="188"/>
      <c r="AEU66" s="188"/>
      <c r="AEV66" s="188"/>
      <c r="AEW66" s="188"/>
      <c r="AEX66" s="188"/>
      <c r="AEY66" s="188"/>
      <c r="AEZ66" s="188"/>
      <c r="AFA66" s="188"/>
      <c r="AFB66" s="188"/>
      <c r="AFC66" s="188"/>
      <c r="AFD66" s="188"/>
      <c r="AFE66" s="188"/>
      <c r="AFF66" s="188"/>
      <c r="AFG66" s="188"/>
      <c r="AFH66" s="188"/>
      <c r="AFI66" s="188"/>
      <c r="AFJ66" s="188"/>
      <c r="AFK66" s="188"/>
      <c r="AFL66" s="188"/>
      <c r="AFM66" s="188"/>
      <c r="AFN66" s="188"/>
      <c r="AFO66" s="188"/>
      <c r="AFP66" s="188"/>
      <c r="AFQ66" s="188"/>
      <c r="AFR66" s="188"/>
      <c r="AFS66" s="188"/>
      <c r="AFT66" s="188"/>
      <c r="AFU66" s="188"/>
      <c r="AFV66" s="188"/>
      <c r="AFW66" s="188"/>
      <c r="AFX66" s="188"/>
      <c r="AFY66" s="188"/>
      <c r="AFZ66" s="188"/>
      <c r="AGA66" s="188"/>
      <c r="AGB66" s="188"/>
      <c r="AGC66" s="188"/>
      <c r="AGD66" s="188"/>
      <c r="AGE66" s="188"/>
      <c r="AGF66" s="188"/>
      <c r="AGG66" s="188"/>
      <c r="AGH66" s="188"/>
      <c r="AGI66" s="188"/>
      <c r="AGJ66" s="188"/>
      <c r="AGK66" s="188"/>
      <c r="AGL66" s="188"/>
      <c r="AGM66" s="188"/>
      <c r="AGN66" s="188"/>
      <c r="AGO66" s="188"/>
      <c r="AGP66" s="188"/>
      <c r="AGQ66" s="188"/>
      <c r="AGR66" s="188"/>
      <c r="AGS66" s="188"/>
      <c r="AGT66" s="188"/>
      <c r="AGU66" s="188"/>
      <c r="AGV66" s="188"/>
      <c r="AGW66" s="188"/>
      <c r="AGX66" s="188"/>
      <c r="AGY66" s="188"/>
      <c r="AGZ66" s="188"/>
      <c r="AHA66" s="188"/>
      <c r="AHB66" s="188"/>
      <c r="AHC66" s="188"/>
      <c r="AHD66" s="188"/>
      <c r="AHE66" s="188"/>
      <c r="AHF66" s="188"/>
      <c r="AHG66" s="188"/>
      <c r="AHH66" s="188"/>
      <c r="AHI66" s="188"/>
      <c r="AHJ66" s="188"/>
      <c r="AHK66" s="188"/>
      <c r="AHL66" s="188"/>
      <c r="AHM66" s="188"/>
      <c r="AHN66" s="188"/>
      <c r="AHO66" s="188"/>
      <c r="AHP66" s="188"/>
      <c r="AHQ66" s="188"/>
      <c r="AHR66" s="188"/>
      <c r="AHS66" s="188"/>
      <c r="AHT66" s="188"/>
      <c r="AHU66" s="188"/>
      <c r="AHV66" s="188"/>
      <c r="AHW66" s="188"/>
      <c r="AHX66" s="188"/>
      <c r="AHY66" s="188"/>
      <c r="AHZ66" s="188"/>
      <c r="AIA66" s="188"/>
      <c r="AIB66" s="188"/>
      <c r="AIC66" s="188"/>
      <c r="AID66" s="188"/>
      <c r="AIE66" s="188"/>
      <c r="AIF66" s="188"/>
      <c r="AIG66" s="188"/>
      <c r="AIH66" s="188"/>
      <c r="AII66" s="188"/>
      <c r="AIJ66" s="188"/>
      <c r="AIK66" s="188"/>
      <c r="AIL66" s="188"/>
      <c r="AIM66" s="188"/>
      <c r="AIN66" s="188"/>
      <c r="AIO66" s="188"/>
      <c r="AIP66" s="188"/>
      <c r="AIQ66" s="188"/>
      <c r="AIR66" s="188"/>
      <c r="AIS66" s="188"/>
      <c r="AIT66" s="188"/>
      <c r="AIU66" s="188"/>
      <c r="AIV66" s="188"/>
      <c r="AIW66" s="188"/>
      <c r="AIX66" s="188"/>
      <c r="AIY66" s="188"/>
      <c r="AIZ66" s="188"/>
      <c r="AJA66" s="188"/>
      <c r="AJB66" s="188"/>
      <c r="AJC66" s="188"/>
      <c r="AJD66" s="188"/>
      <c r="AJE66" s="188"/>
      <c r="AJF66" s="188"/>
      <c r="AJG66" s="188"/>
      <c r="AJH66" s="188"/>
      <c r="AJI66" s="188"/>
      <c r="AJJ66" s="188"/>
      <c r="AJK66" s="188"/>
      <c r="AJL66" s="188"/>
      <c r="AJM66" s="188"/>
      <c r="AJN66" s="188"/>
      <c r="AJO66" s="188"/>
      <c r="AJP66" s="188"/>
      <c r="AJQ66" s="188"/>
      <c r="AJR66" s="188"/>
      <c r="AJS66" s="188"/>
      <c r="AJT66" s="188"/>
      <c r="AJU66" s="188"/>
      <c r="AJV66" s="188"/>
      <c r="AJW66" s="188"/>
      <c r="AJX66" s="188"/>
      <c r="AJY66" s="188"/>
      <c r="AJZ66" s="188"/>
      <c r="AKA66" s="188"/>
      <c r="AKB66" s="188"/>
      <c r="AKC66" s="188"/>
      <c r="AKD66" s="188"/>
      <c r="AKE66" s="188"/>
      <c r="AKF66" s="188"/>
      <c r="AKG66" s="188"/>
      <c r="AKH66" s="188"/>
      <c r="AKI66" s="188"/>
      <c r="AKJ66" s="188"/>
      <c r="AKK66" s="188"/>
      <c r="AKL66" s="188"/>
      <c r="AKM66" s="188"/>
      <c r="AKN66" s="188"/>
      <c r="AKO66" s="188"/>
      <c r="AKP66" s="188"/>
      <c r="AKQ66" s="188"/>
      <c r="AKR66" s="188"/>
      <c r="AKS66" s="188"/>
      <c r="AKT66" s="188"/>
      <c r="AKU66" s="188"/>
      <c r="AKV66" s="188"/>
      <c r="AKW66" s="188"/>
      <c r="AKX66" s="188"/>
      <c r="AKY66" s="188"/>
      <c r="AKZ66" s="188"/>
      <c r="ALA66" s="188"/>
      <c r="ALB66" s="188"/>
      <c r="ALC66" s="188"/>
      <c r="ALD66" s="188"/>
      <c r="ALE66" s="188"/>
      <c r="ALF66" s="188"/>
      <c r="ALG66" s="188"/>
      <c r="ALH66" s="188"/>
      <c r="ALI66" s="188"/>
      <c r="ALJ66" s="188"/>
      <c r="ALK66" s="188"/>
      <c r="ALL66" s="188"/>
      <c r="ALM66" s="188"/>
      <c r="ALN66" s="188"/>
      <c r="ALO66" s="188"/>
      <c r="ALP66" s="188"/>
      <c r="ALQ66" s="188"/>
      <c r="ALR66" s="188"/>
      <c r="ALS66" s="188"/>
      <c r="ALT66" s="188"/>
      <c r="ALU66" s="188"/>
      <c r="ALV66" s="188"/>
      <c r="ALW66" s="188"/>
      <c r="ALX66" s="188"/>
      <c r="ALY66" s="188"/>
      <c r="ALZ66" s="188"/>
      <c r="AMA66" s="188"/>
      <c r="AMB66" s="188"/>
      <c r="AMC66" s="188"/>
      <c r="AMD66" s="188"/>
      <c r="AME66" s="188"/>
      <c r="AMF66" s="188"/>
      <c r="AMG66" s="188"/>
      <c r="AMH66" s="188"/>
      <c r="AMI66" s="188"/>
      <c r="AMJ66" s="188"/>
      <c r="AMK66" s="188"/>
      <c r="AML66" s="188"/>
      <c r="AMM66" s="188"/>
      <c r="AMN66" s="188"/>
      <c r="AMO66" s="188"/>
      <c r="AMP66" s="188"/>
      <c r="AMQ66" s="188"/>
      <c r="AMR66" s="188"/>
      <c r="AMS66" s="188"/>
      <c r="AMT66" s="188"/>
      <c r="AMU66" s="188"/>
      <c r="AMV66" s="188"/>
      <c r="AMW66" s="188"/>
      <c r="AMX66" s="188"/>
      <c r="AMY66" s="188"/>
      <c r="AMZ66" s="188"/>
      <c r="ANA66" s="188"/>
      <c r="ANB66" s="188"/>
      <c r="ANC66" s="188"/>
      <c r="AND66" s="188"/>
      <c r="ANE66" s="188"/>
      <c r="ANF66" s="188"/>
      <c r="ANG66" s="188"/>
      <c r="ANH66" s="188"/>
      <c r="ANI66" s="188"/>
      <c r="ANJ66" s="188"/>
      <c r="ANK66" s="188"/>
      <c r="ANL66" s="188"/>
      <c r="ANM66" s="188"/>
      <c r="ANN66" s="188"/>
      <c r="ANO66" s="188"/>
      <c r="ANP66" s="188"/>
      <c r="ANQ66" s="188"/>
      <c r="ANR66" s="188"/>
      <c r="ANS66" s="188"/>
      <c r="ANT66" s="188"/>
      <c r="ANU66" s="188"/>
      <c r="ANV66" s="188"/>
      <c r="ANW66" s="188"/>
      <c r="ANX66" s="188"/>
      <c r="ANY66" s="188"/>
      <c r="ANZ66" s="188"/>
      <c r="AOA66" s="188"/>
      <c r="AOB66" s="188"/>
      <c r="AOC66" s="188"/>
      <c r="AOD66" s="188"/>
      <c r="AOE66" s="188"/>
      <c r="AOF66" s="188"/>
      <c r="AOG66" s="188"/>
      <c r="AOH66" s="188"/>
      <c r="AOI66" s="188"/>
      <c r="AOJ66" s="188"/>
      <c r="AOK66" s="188"/>
      <c r="AOL66" s="188"/>
      <c r="AOM66" s="188"/>
      <c r="AON66" s="188"/>
      <c r="AOO66" s="188"/>
      <c r="AOP66" s="188"/>
      <c r="AOQ66" s="188"/>
      <c r="AOR66" s="188"/>
      <c r="AOS66" s="188"/>
      <c r="AOT66" s="188"/>
      <c r="AOU66" s="188"/>
      <c r="AOV66" s="188"/>
      <c r="AOW66" s="188"/>
      <c r="AOX66" s="188"/>
      <c r="AOY66" s="188"/>
      <c r="AOZ66" s="188"/>
      <c r="APA66" s="188"/>
      <c r="APB66" s="188"/>
      <c r="APC66" s="188"/>
      <c r="APD66" s="188"/>
      <c r="APE66" s="188"/>
      <c r="APF66" s="188"/>
      <c r="APG66" s="188"/>
      <c r="APH66" s="188"/>
      <c r="API66" s="188"/>
      <c r="APJ66" s="188"/>
      <c r="APK66" s="188"/>
      <c r="APL66" s="188"/>
      <c r="APM66" s="188"/>
      <c r="APN66" s="188"/>
      <c r="APO66" s="188"/>
      <c r="APP66" s="188"/>
      <c r="APQ66" s="188"/>
      <c r="APR66" s="188"/>
      <c r="APS66" s="188"/>
      <c r="APT66" s="188"/>
      <c r="APU66" s="188"/>
      <c r="APV66" s="188"/>
      <c r="APW66" s="188"/>
      <c r="APX66" s="188"/>
      <c r="APY66" s="188"/>
      <c r="APZ66" s="188"/>
      <c r="AQA66" s="188"/>
      <c r="AQB66" s="188"/>
      <c r="AQC66" s="188"/>
      <c r="AQD66" s="188"/>
      <c r="AQE66" s="188"/>
      <c r="AQF66" s="188"/>
      <c r="AQG66" s="188"/>
      <c r="AQH66" s="188"/>
      <c r="AQI66" s="188"/>
      <c r="AQJ66" s="188"/>
      <c r="AQK66" s="188"/>
      <c r="AQL66" s="188"/>
      <c r="AQM66" s="188"/>
      <c r="AQN66" s="188"/>
      <c r="AQO66" s="188"/>
      <c r="AQP66" s="188"/>
      <c r="AQQ66" s="188"/>
      <c r="AQR66" s="188"/>
      <c r="AQS66" s="188"/>
      <c r="AQT66" s="188"/>
      <c r="AQU66" s="188"/>
      <c r="AQV66" s="188"/>
      <c r="AQW66" s="188"/>
      <c r="AQX66" s="188"/>
      <c r="AQY66" s="188"/>
      <c r="AQZ66" s="188"/>
      <c r="ARA66" s="188"/>
      <c r="ARB66" s="188"/>
      <c r="ARC66" s="188"/>
      <c r="ARD66" s="188"/>
      <c r="ARE66" s="188"/>
      <c r="ARF66" s="188"/>
      <c r="ARG66" s="188"/>
      <c r="ARH66" s="188"/>
      <c r="ARI66" s="188"/>
      <c r="ARJ66" s="188"/>
      <c r="ARK66" s="188"/>
      <c r="ARL66" s="188"/>
      <c r="ARM66" s="188"/>
      <c r="ARN66" s="188"/>
      <c r="ARO66" s="188"/>
      <c r="ARP66" s="188"/>
      <c r="ARQ66" s="188"/>
      <c r="ARR66" s="188"/>
      <c r="ARS66" s="188"/>
      <c r="ART66" s="188"/>
      <c r="ARU66" s="188"/>
      <c r="ARV66" s="188"/>
      <c r="ARW66" s="188"/>
      <c r="ARX66" s="188"/>
      <c r="ARY66" s="188"/>
      <c r="ARZ66" s="188"/>
      <c r="ASA66" s="188"/>
      <c r="ASB66" s="188"/>
      <c r="ASC66" s="188"/>
      <c r="ASD66" s="188"/>
      <c r="ASE66" s="188"/>
      <c r="ASF66" s="188"/>
      <c r="ASG66" s="188"/>
      <c r="ASH66" s="188"/>
      <c r="ASI66" s="188"/>
      <c r="ASJ66" s="188"/>
      <c r="ASK66" s="188"/>
      <c r="ASL66" s="188"/>
      <c r="ASM66" s="188"/>
      <c r="ASN66" s="188"/>
      <c r="ASO66" s="188"/>
      <c r="ASP66" s="188"/>
      <c r="ASQ66" s="188"/>
      <c r="ASR66" s="188"/>
      <c r="ASS66" s="188"/>
      <c r="AST66" s="188"/>
      <c r="ASU66" s="188"/>
      <c r="ASV66" s="188"/>
      <c r="ASW66" s="188"/>
      <c r="ASX66" s="188"/>
      <c r="ASY66" s="188"/>
      <c r="ASZ66" s="188"/>
      <c r="ATA66" s="188"/>
      <c r="ATB66" s="188"/>
      <c r="ATC66" s="188"/>
      <c r="ATD66" s="188"/>
      <c r="ATE66" s="188"/>
      <c r="ATF66" s="188"/>
      <c r="ATG66" s="188"/>
      <c r="ATH66" s="188"/>
      <c r="ATI66" s="188"/>
      <c r="ATJ66" s="188"/>
      <c r="ATK66" s="188"/>
      <c r="ATL66" s="188"/>
      <c r="ATM66" s="188"/>
      <c r="ATN66" s="188"/>
      <c r="ATO66" s="188"/>
      <c r="ATP66" s="188"/>
      <c r="ATQ66" s="188"/>
      <c r="ATR66" s="188"/>
      <c r="ATS66" s="188"/>
      <c r="ATT66" s="188"/>
      <c r="ATU66" s="188"/>
      <c r="ATV66" s="188"/>
      <c r="ATW66" s="188"/>
      <c r="ATX66" s="188"/>
      <c r="ATY66" s="188"/>
      <c r="ATZ66" s="188"/>
      <c r="AUA66" s="188"/>
      <c r="AUB66" s="188"/>
      <c r="AUC66" s="188"/>
      <c r="AUD66" s="188"/>
      <c r="AUE66" s="188"/>
      <c r="AUF66" s="188"/>
      <c r="AUG66" s="188"/>
      <c r="AUH66" s="188"/>
      <c r="AUI66" s="188"/>
      <c r="AUJ66" s="188"/>
      <c r="AUK66" s="188"/>
      <c r="AUL66" s="188"/>
      <c r="AUM66" s="188"/>
      <c r="AUN66" s="188"/>
      <c r="AUO66" s="188"/>
      <c r="AUP66" s="188"/>
      <c r="AUQ66" s="188"/>
      <c r="AUR66" s="188"/>
      <c r="AUS66" s="188"/>
      <c r="AUT66" s="188"/>
      <c r="AUU66" s="188"/>
      <c r="AUV66" s="188"/>
      <c r="AUW66" s="188"/>
      <c r="AUX66" s="188"/>
      <c r="AUY66" s="188"/>
      <c r="AUZ66" s="188"/>
      <c r="AVA66" s="188"/>
      <c r="AVB66" s="188"/>
      <c r="AVC66" s="188"/>
      <c r="AVD66" s="188"/>
      <c r="AVE66" s="188"/>
      <c r="AVF66" s="188"/>
      <c r="AVG66" s="188"/>
      <c r="AVH66" s="188"/>
      <c r="AVI66" s="188"/>
      <c r="AVJ66" s="188"/>
      <c r="AVK66" s="188"/>
      <c r="AVL66" s="188"/>
      <c r="AVM66" s="188"/>
      <c r="AVN66" s="188"/>
      <c r="AVO66" s="188"/>
      <c r="AVP66" s="188"/>
      <c r="AVQ66" s="188"/>
      <c r="AVR66" s="188"/>
      <c r="AVS66" s="188"/>
      <c r="AVT66" s="188"/>
      <c r="AVU66" s="188"/>
      <c r="AVV66" s="188"/>
      <c r="AVW66" s="188"/>
      <c r="AVX66" s="188"/>
      <c r="AVY66" s="188"/>
      <c r="AVZ66" s="188"/>
      <c r="AWA66" s="188"/>
      <c r="AWB66" s="188"/>
      <c r="AWC66" s="188"/>
      <c r="AWD66" s="188"/>
      <c r="AWE66" s="188"/>
      <c r="AWF66" s="188"/>
      <c r="AWG66" s="188"/>
      <c r="AWH66" s="188"/>
      <c r="AWI66" s="188"/>
      <c r="AWJ66" s="188"/>
      <c r="AWK66" s="188"/>
      <c r="AWL66" s="188"/>
      <c r="AWM66" s="188"/>
      <c r="AWN66" s="188"/>
      <c r="AWO66" s="188"/>
      <c r="AWP66" s="188"/>
      <c r="AWQ66" s="188"/>
      <c r="AWR66" s="188"/>
      <c r="AWS66" s="188"/>
      <c r="AWT66" s="188"/>
      <c r="AWU66" s="188"/>
      <c r="AWV66" s="188"/>
      <c r="AWW66" s="188"/>
      <c r="AWX66" s="188"/>
      <c r="AWY66" s="188"/>
      <c r="AWZ66" s="188"/>
      <c r="AXA66" s="188"/>
      <c r="AXB66" s="188"/>
      <c r="AXC66" s="188"/>
      <c r="AXD66" s="188"/>
      <c r="AXE66" s="188"/>
      <c r="AXF66" s="188"/>
      <c r="AXG66" s="188"/>
      <c r="AXH66" s="188"/>
      <c r="AXI66" s="188"/>
      <c r="AXJ66" s="188"/>
      <c r="AXK66" s="188"/>
      <c r="AXL66" s="188"/>
      <c r="AXM66" s="188"/>
      <c r="AXN66" s="188"/>
      <c r="AXO66" s="188"/>
      <c r="AXP66" s="188"/>
      <c r="AXQ66" s="188"/>
      <c r="AXR66" s="188"/>
      <c r="AXS66" s="188"/>
      <c r="AXT66" s="188"/>
      <c r="AXU66" s="188"/>
      <c r="AXV66" s="188"/>
      <c r="AXW66" s="188"/>
      <c r="AXX66" s="188"/>
      <c r="AXY66" s="188"/>
      <c r="AXZ66" s="188"/>
      <c r="AYA66" s="188"/>
      <c r="AYB66" s="188"/>
      <c r="AYC66" s="188"/>
      <c r="AYD66" s="188"/>
      <c r="AYE66" s="188"/>
      <c r="AYF66" s="188"/>
      <c r="AYG66" s="188"/>
      <c r="AYH66" s="188"/>
      <c r="AYI66" s="188"/>
      <c r="AYJ66" s="188"/>
      <c r="AYK66" s="188"/>
      <c r="AYL66" s="188"/>
      <c r="AYM66" s="188"/>
      <c r="AYN66" s="188"/>
      <c r="AYO66" s="188"/>
      <c r="AYP66" s="188"/>
      <c r="AYQ66" s="188"/>
      <c r="AYR66" s="188"/>
      <c r="AYS66" s="188"/>
      <c r="AYT66" s="188"/>
      <c r="AYU66" s="188"/>
      <c r="AYV66" s="188"/>
      <c r="AYW66" s="188"/>
      <c r="AYX66" s="188"/>
      <c r="AYY66" s="188"/>
      <c r="AYZ66" s="188"/>
      <c r="AZA66" s="188"/>
      <c r="AZB66" s="188"/>
      <c r="AZC66" s="188"/>
      <c r="AZD66" s="188"/>
      <c r="AZE66" s="188"/>
      <c r="AZF66" s="188"/>
      <c r="AZG66" s="188"/>
      <c r="AZH66" s="188"/>
      <c r="AZI66" s="188"/>
      <c r="AZJ66" s="188"/>
      <c r="AZK66" s="188"/>
      <c r="AZL66" s="188"/>
      <c r="AZM66" s="188"/>
      <c r="AZN66" s="188"/>
      <c r="AZO66" s="188"/>
      <c r="AZP66" s="188"/>
      <c r="AZQ66" s="188"/>
      <c r="AZR66" s="188"/>
      <c r="AZS66" s="188"/>
      <c r="AZT66" s="188"/>
      <c r="AZU66" s="188"/>
      <c r="AZV66" s="188"/>
      <c r="AZW66" s="188"/>
      <c r="AZX66" s="188"/>
      <c r="AZY66" s="188"/>
      <c r="AZZ66" s="188"/>
      <c r="BAA66" s="188"/>
      <c r="BAB66" s="188"/>
      <c r="BAC66" s="188"/>
      <c r="BAD66" s="188"/>
      <c r="BAE66" s="188"/>
      <c r="BAF66" s="188"/>
      <c r="BAG66" s="188"/>
      <c r="BAH66" s="188"/>
      <c r="BAI66" s="188"/>
      <c r="BAJ66" s="188"/>
      <c r="BAK66" s="188"/>
      <c r="BAL66" s="188"/>
      <c r="BAM66" s="188"/>
      <c r="BAN66" s="188"/>
      <c r="BAO66" s="188"/>
      <c r="BAP66" s="188"/>
      <c r="BAQ66" s="188"/>
      <c r="BAR66" s="188"/>
      <c r="BAS66" s="188"/>
      <c r="BAT66" s="188"/>
      <c r="BAU66" s="188"/>
      <c r="BAV66" s="188"/>
      <c r="BAW66" s="188"/>
      <c r="BAX66" s="188"/>
      <c r="BAY66" s="188"/>
      <c r="BAZ66" s="188"/>
      <c r="BBA66" s="188"/>
      <c r="BBB66" s="188"/>
      <c r="BBC66" s="188"/>
      <c r="BBD66" s="188"/>
      <c r="BBE66" s="188"/>
      <c r="BBF66" s="188"/>
      <c r="BBG66" s="188"/>
      <c r="BBH66" s="188"/>
      <c r="BBI66" s="188"/>
      <c r="BBJ66" s="188"/>
      <c r="BBK66" s="188"/>
      <c r="BBL66" s="188"/>
      <c r="BBM66" s="188"/>
      <c r="BBN66" s="188"/>
      <c r="BBO66" s="188"/>
      <c r="BBP66" s="188"/>
      <c r="BBQ66" s="188"/>
      <c r="BBR66" s="188"/>
      <c r="BBS66" s="188"/>
      <c r="BBT66" s="188"/>
      <c r="BBU66" s="188"/>
      <c r="BBV66" s="188"/>
      <c r="BBW66" s="188"/>
      <c r="BBX66" s="188"/>
      <c r="BBY66" s="188"/>
      <c r="BBZ66" s="188"/>
      <c r="BCA66" s="188"/>
      <c r="BCB66" s="188"/>
      <c r="BCC66" s="188"/>
      <c r="BCD66" s="188"/>
      <c r="BCE66" s="188"/>
      <c r="BCF66" s="188"/>
      <c r="BCG66" s="188"/>
      <c r="BCH66" s="188"/>
      <c r="BCI66" s="188"/>
      <c r="BCJ66" s="188"/>
      <c r="BCK66" s="188"/>
      <c r="BCL66" s="188"/>
      <c r="BCM66" s="188"/>
      <c r="BCN66" s="188"/>
      <c r="BCO66" s="188"/>
      <c r="BCP66" s="188"/>
      <c r="BCQ66" s="188"/>
      <c r="BCR66" s="188"/>
      <c r="BCS66" s="188"/>
      <c r="BCT66" s="188"/>
      <c r="BCU66" s="188"/>
      <c r="BCV66" s="188"/>
      <c r="BCW66" s="188"/>
      <c r="BCX66" s="188"/>
      <c r="BCY66" s="188"/>
      <c r="BCZ66" s="188"/>
      <c r="BDA66" s="188"/>
      <c r="BDB66" s="188"/>
      <c r="BDC66" s="188"/>
      <c r="BDD66" s="188"/>
      <c r="BDE66" s="188"/>
      <c r="BDF66" s="188"/>
      <c r="BDG66" s="188"/>
      <c r="BDH66" s="188"/>
      <c r="BDI66" s="188"/>
      <c r="BDJ66" s="188"/>
      <c r="BDK66" s="188"/>
      <c r="BDL66" s="188"/>
      <c r="BDM66" s="188"/>
      <c r="BDN66" s="188"/>
      <c r="BDO66" s="188"/>
      <c r="BDP66" s="188"/>
      <c r="BDQ66" s="188"/>
      <c r="BDR66" s="188"/>
      <c r="BDS66" s="188"/>
      <c r="BDT66" s="188"/>
      <c r="BDU66" s="188"/>
      <c r="BDV66" s="188"/>
      <c r="BDW66" s="188"/>
      <c r="BDX66" s="188"/>
      <c r="BDY66" s="188"/>
      <c r="BDZ66" s="188"/>
      <c r="BEA66" s="188"/>
      <c r="BEB66" s="188"/>
      <c r="BEC66" s="188"/>
      <c r="BED66" s="188"/>
      <c r="BEE66" s="188"/>
      <c r="BEF66" s="188"/>
      <c r="BEG66" s="188"/>
      <c r="BEH66" s="188"/>
      <c r="BEI66" s="188"/>
      <c r="BEJ66" s="188"/>
      <c r="BEK66" s="188"/>
      <c r="BEL66" s="188"/>
      <c r="BEM66" s="188"/>
      <c r="BEN66" s="188"/>
      <c r="BEO66" s="188"/>
      <c r="BEP66" s="188"/>
      <c r="BEQ66" s="188"/>
      <c r="BER66" s="188"/>
      <c r="BES66" s="188"/>
      <c r="BET66" s="188"/>
      <c r="BEU66" s="188"/>
      <c r="BEV66" s="188"/>
      <c r="BEW66" s="188"/>
      <c r="BEX66" s="188"/>
      <c r="BEY66" s="188"/>
      <c r="BEZ66" s="188"/>
      <c r="BFA66" s="188"/>
      <c r="BFB66" s="188"/>
      <c r="BFC66" s="188"/>
      <c r="BFD66" s="188"/>
      <c r="BFE66" s="188"/>
      <c r="BFF66" s="188"/>
      <c r="BFG66" s="188"/>
      <c r="BFH66" s="188"/>
      <c r="BFI66" s="188"/>
      <c r="BFJ66" s="188"/>
      <c r="BFK66" s="188"/>
      <c r="BFL66" s="188"/>
      <c r="BFM66" s="188"/>
      <c r="BFN66" s="188"/>
      <c r="BFO66" s="188"/>
      <c r="BFP66" s="188"/>
      <c r="BFQ66" s="188"/>
      <c r="BFR66" s="188"/>
      <c r="BFS66" s="188"/>
      <c r="BFT66" s="188"/>
      <c r="BFU66" s="188"/>
      <c r="BFV66" s="188"/>
      <c r="BFW66" s="188"/>
      <c r="BFX66" s="188"/>
      <c r="BFY66" s="188"/>
      <c r="BFZ66" s="188"/>
      <c r="BGA66" s="188"/>
      <c r="BGB66" s="188"/>
      <c r="BGC66" s="188"/>
      <c r="BGD66" s="188"/>
      <c r="BGE66" s="188"/>
      <c r="BGF66" s="188"/>
      <c r="BGG66" s="188"/>
      <c r="BGH66" s="188"/>
      <c r="BGI66" s="188"/>
      <c r="BGJ66" s="188"/>
      <c r="BGK66" s="188"/>
      <c r="BGL66" s="188"/>
      <c r="BGM66" s="188"/>
      <c r="BGN66" s="188"/>
      <c r="BGO66" s="188"/>
      <c r="BGP66" s="188"/>
      <c r="BGQ66" s="188"/>
      <c r="BGR66" s="188"/>
      <c r="BGS66" s="188"/>
      <c r="BGT66" s="188"/>
      <c r="BGU66" s="188"/>
      <c r="BGV66" s="188"/>
      <c r="BGW66" s="188"/>
      <c r="BGX66" s="188"/>
      <c r="BGY66" s="188"/>
      <c r="BGZ66" s="188"/>
      <c r="BHA66" s="188"/>
      <c r="BHB66" s="188"/>
      <c r="BHC66" s="188"/>
      <c r="BHD66" s="188"/>
      <c r="BHE66" s="188"/>
      <c r="BHF66" s="188"/>
      <c r="BHG66" s="188"/>
      <c r="BHH66" s="188"/>
      <c r="BHI66" s="188"/>
      <c r="BHJ66" s="188"/>
      <c r="BHK66" s="188"/>
      <c r="BHL66" s="188"/>
      <c r="BHM66" s="188"/>
      <c r="BHN66" s="188"/>
      <c r="BHO66" s="188"/>
      <c r="BHP66" s="188"/>
      <c r="BHQ66" s="188"/>
      <c r="BHR66" s="188"/>
      <c r="BHS66" s="188"/>
      <c r="BHT66" s="188"/>
      <c r="BHU66" s="188"/>
      <c r="BHV66" s="188"/>
      <c r="BHW66" s="188"/>
      <c r="BHX66" s="188"/>
      <c r="BHY66" s="188"/>
      <c r="BHZ66" s="188"/>
      <c r="BIA66" s="188"/>
      <c r="BIB66" s="188"/>
      <c r="BIC66" s="188"/>
      <c r="BID66" s="188"/>
      <c r="BIE66" s="188"/>
      <c r="BIF66" s="188"/>
      <c r="BIG66" s="188"/>
      <c r="BIH66" s="188"/>
      <c r="BII66" s="188"/>
      <c r="BIJ66" s="188"/>
      <c r="BIK66" s="188"/>
      <c r="BIL66" s="188"/>
      <c r="BIM66" s="188"/>
      <c r="BIN66" s="188"/>
      <c r="BIO66" s="188"/>
      <c r="BIP66" s="188"/>
      <c r="BIQ66" s="188"/>
      <c r="BIR66" s="188"/>
      <c r="BIS66" s="188"/>
      <c r="BIT66" s="188"/>
      <c r="BIU66" s="188"/>
      <c r="BIV66" s="188"/>
      <c r="BIW66" s="188"/>
      <c r="BIX66" s="188"/>
      <c r="BIY66" s="188"/>
      <c r="BIZ66" s="188"/>
      <c r="BJA66" s="188"/>
      <c r="BJB66" s="188"/>
      <c r="BJC66" s="188"/>
      <c r="BJD66" s="188"/>
      <c r="BJE66" s="188"/>
      <c r="BJF66" s="188"/>
      <c r="BJG66" s="188"/>
      <c r="BJH66" s="188"/>
      <c r="BJI66" s="188"/>
      <c r="BJJ66" s="188"/>
      <c r="BJK66" s="188"/>
      <c r="BJL66" s="188"/>
      <c r="BJM66" s="188"/>
      <c r="BJN66" s="188"/>
      <c r="BJO66" s="188"/>
      <c r="BJP66" s="188"/>
      <c r="BJQ66" s="188"/>
      <c r="BJR66" s="188"/>
      <c r="BJS66" s="188"/>
      <c r="BJT66" s="188"/>
      <c r="BJU66" s="188"/>
      <c r="BJV66" s="188"/>
      <c r="BJW66" s="188"/>
      <c r="BJX66" s="188"/>
      <c r="BJY66" s="188"/>
      <c r="BJZ66" s="188"/>
      <c r="BKA66" s="188"/>
      <c r="BKB66" s="188"/>
      <c r="BKC66" s="188"/>
      <c r="BKD66" s="188"/>
      <c r="BKE66" s="188"/>
      <c r="BKF66" s="188"/>
      <c r="BKG66" s="188"/>
      <c r="BKH66" s="188"/>
      <c r="BKI66" s="188"/>
      <c r="BKJ66" s="188"/>
      <c r="BKK66" s="188"/>
      <c r="BKL66" s="188"/>
      <c r="BKM66" s="188"/>
      <c r="BKN66" s="188"/>
    </row>
    <row r="67" spans="1:1652" s="21" customFormat="1" x14ac:dyDescent="0.3">
      <c r="A67" s="171"/>
      <c r="B67" s="189"/>
      <c r="C67" s="189"/>
      <c r="D67" s="189"/>
      <c r="E67" s="189"/>
      <c r="F67" s="189"/>
      <c r="G67" s="189"/>
      <c r="I67" s="188"/>
      <c r="J67" s="188"/>
      <c r="K67" s="188"/>
      <c r="L67" s="188"/>
      <c r="M67" s="188"/>
      <c r="N67" s="188"/>
      <c r="O67" s="188"/>
      <c r="P67" s="188"/>
      <c r="Q67" s="188"/>
      <c r="R67" s="188"/>
      <c r="S67" s="188"/>
      <c r="T67" s="188"/>
      <c r="U67" s="188"/>
      <c r="V67" s="188"/>
      <c r="W67" s="188"/>
      <c r="X67" s="188"/>
      <c r="Y67" s="188"/>
      <c r="Z67" s="188"/>
      <c r="AA67" s="188"/>
      <c r="AB67" s="188"/>
      <c r="AC67" s="188"/>
      <c r="AD67" s="188"/>
      <c r="AE67" s="188"/>
      <c r="AF67" s="188"/>
      <c r="AG67" s="188"/>
      <c r="AH67" s="188"/>
      <c r="AI67" s="188"/>
      <c r="AJ67" s="188"/>
      <c r="AK67" s="188"/>
      <c r="AL67" s="188"/>
      <c r="AM67" s="188"/>
      <c r="AN67" s="188"/>
      <c r="AO67" s="188"/>
      <c r="AP67" s="188"/>
      <c r="AQ67" s="188"/>
      <c r="AR67" s="188"/>
      <c r="AS67" s="188"/>
      <c r="AT67" s="189"/>
      <c r="AU67" s="189"/>
      <c r="AV67" s="189"/>
      <c r="AW67" s="189"/>
      <c r="AX67" s="189"/>
      <c r="AY67" s="189"/>
      <c r="AZ67" s="189"/>
      <c r="BA67" s="189"/>
      <c r="BB67" s="189"/>
      <c r="BC67" s="189"/>
      <c r="BD67" s="189"/>
      <c r="BE67" s="188"/>
      <c r="BF67" s="188"/>
      <c r="BG67" s="188"/>
      <c r="BH67" s="188"/>
      <c r="BI67" s="188"/>
      <c r="BJ67" s="188"/>
      <c r="BK67" s="188"/>
      <c r="BL67" s="188"/>
      <c r="BM67" s="188"/>
      <c r="BN67" s="188"/>
      <c r="BO67" s="188"/>
      <c r="BP67" s="188"/>
      <c r="BQ67" s="188"/>
      <c r="BR67" s="188"/>
      <c r="BS67" s="188"/>
      <c r="BT67" s="188"/>
      <c r="BU67" s="188"/>
      <c r="BV67" s="188"/>
      <c r="BW67" s="188"/>
      <c r="BX67" s="188"/>
      <c r="BY67" s="188"/>
      <c r="BZ67" s="188"/>
      <c r="CA67" s="188"/>
      <c r="CB67" s="188"/>
      <c r="CC67" s="188"/>
      <c r="CD67" s="188"/>
      <c r="CE67" s="188"/>
      <c r="CF67" s="188"/>
      <c r="CG67" s="188"/>
      <c r="CH67" s="188"/>
      <c r="CI67" s="188"/>
      <c r="CJ67" s="188"/>
      <c r="CK67" s="188"/>
      <c r="CL67" s="188"/>
      <c r="CM67" s="188"/>
      <c r="CN67" s="188"/>
      <c r="CO67" s="188"/>
      <c r="CP67" s="188"/>
      <c r="CQ67" s="188"/>
      <c r="CR67" s="188"/>
      <c r="CS67" s="188"/>
      <c r="CT67" s="188"/>
      <c r="CU67" s="188"/>
      <c r="CV67" s="188"/>
      <c r="CW67" s="188"/>
      <c r="CX67" s="188"/>
      <c r="CY67" s="188"/>
      <c r="CZ67" s="188"/>
      <c r="DA67" s="188"/>
      <c r="DB67" s="188"/>
      <c r="DC67" s="188"/>
      <c r="DD67" s="188"/>
      <c r="DE67" s="188"/>
      <c r="DF67" s="188"/>
      <c r="DG67" s="188"/>
      <c r="DH67" s="188"/>
      <c r="DI67" s="188"/>
      <c r="DJ67" s="188"/>
      <c r="DK67" s="188"/>
      <c r="DL67" s="188"/>
      <c r="DM67" s="188"/>
      <c r="DN67" s="188"/>
      <c r="DO67" s="188"/>
      <c r="DP67" s="188"/>
      <c r="DQ67" s="188"/>
      <c r="DR67" s="188"/>
      <c r="DS67" s="188"/>
      <c r="DT67" s="188"/>
      <c r="DU67" s="188"/>
      <c r="DV67" s="188"/>
      <c r="DW67" s="188"/>
      <c r="DX67" s="188"/>
      <c r="DY67" s="188"/>
      <c r="DZ67" s="188"/>
      <c r="EA67" s="188"/>
      <c r="EB67" s="188"/>
      <c r="EC67" s="188"/>
      <c r="ED67" s="188"/>
      <c r="EE67" s="188"/>
      <c r="EF67" s="188"/>
      <c r="EG67" s="188"/>
      <c r="EH67" s="188"/>
      <c r="EI67" s="188"/>
      <c r="EJ67" s="188"/>
      <c r="EK67" s="188"/>
      <c r="EL67" s="188"/>
      <c r="EM67" s="188"/>
      <c r="EN67" s="188"/>
      <c r="EO67" s="188"/>
      <c r="EP67" s="188"/>
      <c r="EQ67" s="188"/>
      <c r="ER67" s="188"/>
      <c r="ES67" s="188"/>
      <c r="ET67" s="188"/>
      <c r="EU67" s="188"/>
      <c r="EV67" s="188"/>
      <c r="EW67" s="188"/>
      <c r="EX67" s="188"/>
      <c r="EY67" s="188"/>
      <c r="EZ67" s="188"/>
      <c r="FA67" s="188"/>
      <c r="FB67" s="188"/>
      <c r="FC67" s="188"/>
      <c r="FD67" s="188"/>
      <c r="FE67" s="188"/>
      <c r="FF67" s="188"/>
      <c r="FG67" s="188"/>
      <c r="FH67" s="188"/>
      <c r="FI67" s="188"/>
      <c r="FJ67" s="188"/>
      <c r="FK67" s="188"/>
      <c r="FL67" s="188"/>
      <c r="FM67" s="188"/>
      <c r="FN67" s="188"/>
      <c r="FO67" s="188"/>
      <c r="FP67" s="188"/>
      <c r="FQ67" s="188"/>
      <c r="FR67" s="188"/>
      <c r="FS67" s="188"/>
      <c r="FT67" s="188"/>
      <c r="FU67" s="188"/>
      <c r="FV67" s="188"/>
      <c r="FW67" s="188"/>
      <c r="FX67" s="188"/>
      <c r="FY67" s="188"/>
      <c r="FZ67" s="188"/>
      <c r="GA67" s="188"/>
      <c r="GB67" s="188"/>
      <c r="GC67" s="188"/>
      <c r="GD67" s="188"/>
      <c r="GE67" s="188"/>
      <c r="GF67" s="188"/>
      <c r="GG67" s="188"/>
      <c r="GH67" s="188"/>
      <c r="GI67" s="188"/>
      <c r="GJ67" s="188"/>
      <c r="GK67" s="188"/>
      <c r="GL67" s="188"/>
      <c r="GM67" s="188"/>
      <c r="GN67" s="188"/>
      <c r="GO67" s="188"/>
      <c r="GP67" s="188"/>
      <c r="GQ67" s="188"/>
      <c r="GR67" s="188"/>
      <c r="GS67" s="188"/>
      <c r="GT67" s="188"/>
      <c r="GU67" s="188"/>
      <c r="GV67" s="188"/>
      <c r="GW67" s="188"/>
      <c r="GX67" s="188"/>
      <c r="GY67" s="188"/>
      <c r="GZ67" s="188"/>
      <c r="HA67" s="188"/>
      <c r="HB67" s="188"/>
      <c r="HC67" s="188"/>
      <c r="HD67" s="188"/>
      <c r="HE67" s="188"/>
      <c r="HF67" s="188"/>
      <c r="HG67" s="188"/>
      <c r="HH67" s="188"/>
      <c r="HI67" s="188"/>
      <c r="HJ67" s="188"/>
      <c r="HK67" s="188"/>
      <c r="HL67" s="188"/>
      <c r="HM67" s="188"/>
      <c r="HN67" s="188"/>
      <c r="HO67" s="188"/>
      <c r="HP67" s="188"/>
      <c r="HQ67" s="188"/>
      <c r="HR67" s="188"/>
      <c r="HS67" s="188"/>
      <c r="HT67" s="188"/>
      <c r="HU67" s="188"/>
      <c r="HV67" s="188"/>
      <c r="HW67" s="188"/>
      <c r="HX67" s="188"/>
      <c r="HY67" s="188"/>
      <c r="HZ67" s="188"/>
      <c r="IA67" s="188"/>
      <c r="IB67" s="188"/>
      <c r="IC67" s="188"/>
      <c r="ID67" s="188"/>
      <c r="IE67" s="188"/>
      <c r="IF67" s="188"/>
      <c r="IG67" s="188"/>
      <c r="IH67" s="188"/>
      <c r="II67" s="188"/>
      <c r="IJ67" s="188"/>
      <c r="IK67" s="188"/>
      <c r="IL67" s="188"/>
      <c r="IM67" s="188"/>
      <c r="IN67" s="188"/>
      <c r="IO67" s="188"/>
      <c r="IP67" s="188"/>
      <c r="IQ67" s="188"/>
      <c r="IR67" s="188"/>
      <c r="IS67" s="188"/>
      <c r="IT67" s="188"/>
      <c r="IU67" s="188"/>
      <c r="IV67" s="188"/>
      <c r="IW67" s="188"/>
      <c r="IX67" s="188"/>
      <c r="IY67" s="188"/>
      <c r="IZ67" s="188"/>
      <c r="JA67" s="188"/>
      <c r="JB67" s="188"/>
      <c r="JC67" s="188"/>
      <c r="JD67" s="188"/>
      <c r="JE67" s="188"/>
      <c r="JF67" s="188"/>
      <c r="JG67" s="188"/>
      <c r="JH67" s="188"/>
      <c r="JI67" s="188"/>
      <c r="JJ67" s="188"/>
      <c r="JK67" s="188"/>
      <c r="JL67" s="188"/>
      <c r="JM67" s="188"/>
      <c r="JN67" s="188"/>
      <c r="JO67" s="188"/>
      <c r="JP67" s="188"/>
      <c r="JQ67" s="188"/>
      <c r="JR67" s="188"/>
      <c r="JS67" s="188"/>
      <c r="JT67" s="188"/>
      <c r="JU67" s="188"/>
      <c r="JV67" s="188"/>
      <c r="JW67" s="188"/>
      <c r="JX67" s="188"/>
      <c r="JY67" s="188"/>
      <c r="JZ67" s="188"/>
      <c r="KA67" s="188"/>
      <c r="KB67" s="188"/>
      <c r="KC67" s="188"/>
      <c r="KD67" s="188"/>
      <c r="KE67" s="188"/>
      <c r="KF67" s="188"/>
      <c r="KG67" s="188"/>
      <c r="KH67" s="188"/>
      <c r="KI67" s="188"/>
      <c r="KJ67" s="188"/>
      <c r="KK67" s="188"/>
      <c r="KL67" s="188"/>
      <c r="KM67" s="188"/>
      <c r="KN67" s="188"/>
      <c r="KO67" s="188"/>
      <c r="KP67" s="188"/>
      <c r="KQ67" s="188"/>
      <c r="KR67" s="188"/>
      <c r="KS67" s="188"/>
      <c r="KT67" s="188"/>
      <c r="KU67" s="188"/>
      <c r="KV67" s="188"/>
      <c r="KW67" s="188"/>
      <c r="KX67" s="188"/>
      <c r="KY67" s="188"/>
      <c r="KZ67" s="188"/>
      <c r="LA67" s="188"/>
      <c r="LB67" s="188"/>
      <c r="LC67" s="188"/>
      <c r="LD67" s="188"/>
      <c r="LE67" s="188"/>
      <c r="LF67" s="188"/>
      <c r="LG67" s="188"/>
      <c r="LH67" s="188"/>
      <c r="LI67" s="188"/>
      <c r="LJ67" s="188"/>
      <c r="LK67" s="188"/>
      <c r="LL67" s="188"/>
      <c r="LM67" s="188"/>
      <c r="LN67" s="188"/>
      <c r="LO67" s="188"/>
      <c r="LP67" s="188"/>
      <c r="LQ67" s="188"/>
      <c r="LR67" s="188"/>
      <c r="LS67" s="188"/>
      <c r="LT67" s="188"/>
      <c r="LU67" s="188"/>
      <c r="LV67" s="188"/>
      <c r="LW67" s="188"/>
      <c r="LX67" s="188"/>
      <c r="LY67" s="188"/>
      <c r="LZ67" s="188"/>
      <c r="MA67" s="188"/>
      <c r="MB67" s="188"/>
      <c r="MC67" s="188"/>
      <c r="MD67" s="188"/>
      <c r="ME67" s="188"/>
      <c r="MF67" s="188"/>
      <c r="MG67" s="188"/>
      <c r="MH67" s="188"/>
      <c r="MI67" s="188"/>
      <c r="MJ67" s="188"/>
      <c r="MK67" s="188"/>
      <c r="ML67" s="188"/>
      <c r="MM67" s="188"/>
      <c r="MN67" s="188"/>
      <c r="MO67" s="188"/>
      <c r="MP67" s="188"/>
      <c r="MQ67" s="188"/>
      <c r="MR67" s="188"/>
      <c r="MS67" s="188"/>
      <c r="MT67" s="188"/>
      <c r="MU67" s="188"/>
      <c r="MV67" s="188"/>
      <c r="MW67" s="188"/>
      <c r="MX67" s="188"/>
      <c r="MY67" s="188"/>
      <c r="MZ67" s="188"/>
      <c r="NA67" s="188"/>
      <c r="NB67" s="188"/>
      <c r="NC67" s="188"/>
      <c r="ND67" s="188"/>
      <c r="NE67" s="188"/>
      <c r="NF67" s="188"/>
      <c r="NG67" s="188"/>
      <c r="NH67" s="188"/>
      <c r="NI67" s="188"/>
      <c r="NJ67" s="188"/>
      <c r="NK67" s="188"/>
      <c r="NL67" s="188"/>
      <c r="NM67" s="188"/>
      <c r="NN67" s="188"/>
      <c r="NO67" s="188"/>
      <c r="NP67" s="188"/>
      <c r="NQ67" s="188"/>
      <c r="NR67" s="188"/>
      <c r="NS67" s="188"/>
      <c r="NT67" s="188"/>
      <c r="NU67" s="188"/>
      <c r="NV67" s="188"/>
      <c r="NW67" s="188"/>
      <c r="NX67" s="188"/>
      <c r="NY67" s="188"/>
      <c r="NZ67" s="188"/>
      <c r="OA67" s="188"/>
      <c r="OB67" s="188"/>
      <c r="OC67" s="188"/>
      <c r="OD67" s="188"/>
      <c r="OE67" s="188"/>
      <c r="OF67" s="188"/>
      <c r="OG67" s="188"/>
      <c r="OH67" s="188"/>
      <c r="OI67" s="188"/>
      <c r="OJ67" s="188"/>
      <c r="OK67" s="188"/>
      <c r="OL67" s="188"/>
      <c r="OM67" s="188"/>
      <c r="ON67" s="188"/>
      <c r="OO67" s="188"/>
      <c r="OP67" s="188"/>
      <c r="OQ67" s="188"/>
      <c r="OR67" s="188"/>
      <c r="OS67" s="188"/>
      <c r="OT67" s="188"/>
      <c r="OU67" s="188"/>
      <c r="OV67" s="188"/>
      <c r="OW67" s="188"/>
      <c r="OX67" s="188"/>
      <c r="OY67" s="188"/>
      <c r="OZ67" s="188"/>
      <c r="PA67" s="188"/>
      <c r="PB67" s="188"/>
      <c r="PC67" s="188"/>
      <c r="PD67" s="188"/>
      <c r="PE67" s="188"/>
      <c r="PF67" s="188"/>
      <c r="PG67" s="188"/>
      <c r="PH67" s="188"/>
      <c r="PI67" s="188"/>
      <c r="PJ67" s="188"/>
      <c r="PK67" s="188"/>
      <c r="PL67" s="188"/>
      <c r="PM67" s="188"/>
      <c r="PN67" s="188"/>
      <c r="PO67" s="188"/>
      <c r="PP67" s="188"/>
      <c r="PQ67" s="188"/>
      <c r="PR67" s="188"/>
      <c r="PS67" s="188"/>
      <c r="PT67" s="188"/>
      <c r="PU67" s="188"/>
      <c r="PV67" s="188"/>
      <c r="PW67" s="188"/>
      <c r="PX67" s="188"/>
      <c r="PY67" s="188"/>
      <c r="PZ67" s="188"/>
      <c r="QA67" s="188"/>
      <c r="QB67" s="188"/>
      <c r="QC67" s="188"/>
      <c r="QD67" s="188"/>
      <c r="QE67" s="188"/>
      <c r="QF67" s="188"/>
      <c r="QG67" s="188"/>
      <c r="QH67" s="188"/>
      <c r="QI67" s="188"/>
      <c r="QJ67" s="188"/>
      <c r="QK67" s="188"/>
      <c r="QL67" s="188"/>
      <c r="QM67" s="188"/>
      <c r="QN67" s="188"/>
      <c r="QO67" s="188"/>
      <c r="QP67" s="188"/>
      <c r="QQ67" s="188"/>
      <c r="QR67" s="188"/>
      <c r="QS67" s="188"/>
      <c r="QT67" s="188"/>
      <c r="QU67" s="188"/>
      <c r="QV67" s="188"/>
      <c r="QW67" s="188"/>
      <c r="QX67" s="188"/>
      <c r="QY67" s="188"/>
      <c r="QZ67" s="188"/>
      <c r="RA67" s="188"/>
      <c r="RB67" s="188"/>
      <c r="RC67" s="188"/>
      <c r="RD67" s="188"/>
      <c r="RE67" s="188"/>
      <c r="RF67" s="188"/>
      <c r="RG67" s="188"/>
      <c r="RH67" s="188"/>
      <c r="RI67" s="188"/>
      <c r="RJ67" s="188"/>
      <c r="RK67" s="188"/>
      <c r="RL67" s="188"/>
      <c r="RM67" s="188"/>
      <c r="RN67" s="188"/>
      <c r="RO67" s="188"/>
      <c r="RP67" s="188"/>
      <c r="RQ67" s="188"/>
      <c r="RR67" s="188"/>
      <c r="RS67" s="188"/>
      <c r="RT67" s="188"/>
      <c r="RU67" s="188"/>
      <c r="RV67" s="188"/>
      <c r="RW67" s="188"/>
      <c r="RX67" s="188"/>
      <c r="RY67" s="188"/>
      <c r="RZ67" s="188"/>
      <c r="SA67" s="188"/>
      <c r="SB67" s="188"/>
      <c r="SC67" s="188"/>
      <c r="SD67" s="188"/>
      <c r="SE67" s="188"/>
      <c r="SF67" s="188"/>
      <c r="SG67" s="188"/>
      <c r="SH67" s="188"/>
      <c r="SI67" s="188"/>
      <c r="SJ67" s="188"/>
      <c r="SK67" s="188"/>
      <c r="SL67" s="188"/>
      <c r="SM67" s="188"/>
      <c r="SN67" s="188"/>
      <c r="SO67" s="188"/>
      <c r="SP67" s="188"/>
      <c r="SQ67" s="188"/>
      <c r="SR67" s="188"/>
      <c r="SS67" s="188"/>
      <c r="ST67" s="188"/>
      <c r="SU67" s="188"/>
      <c r="SV67" s="188"/>
      <c r="SW67" s="188"/>
      <c r="SX67" s="188"/>
      <c r="SY67" s="188"/>
      <c r="SZ67" s="188"/>
      <c r="TA67" s="188"/>
      <c r="TB67" s="188"/>
      <c r="TC67" s="188"/>
      <c r="TD67" s="188"/>
      <c r="TE67" s="188"/>
      <c r="TF67" s="188"/>
      <c r="TG67" s="188"/>
      <c r="TH67" s="188"/>
      <c r="TI67" s="188"/>
      <c r="TJ67" s="188"/>
      <c r="TK67" s="188"/>
      <c r="TL67" s="188"/>
      <c r="TM67" s="188"/>
      <c r="TN67" s="188"/>
      <c r="TO67" s="188"/>
      <c r="TP67" s="188"/>
      <c r="TQ67" s="188"/>
      <c r="TR67" s="188"/>
      <c r="TS67" s="188"/>
      <c r="TT67" s="188"/>
      <c r="TU67" s="188"/>
      <c r="TV67" s="188"/>
      <c r="TW67" s="188"/>
      <c r="TX67" s="188"/>
      <c r="TY67" s="188"/>
      <c r="TZ67" s="188"/>
      <c r="UA67" s="188"/>
      <c r="UB67" s="188"/>
      <c r="UC67" s="188"/>
      <c r="UD67" s="188"/>
      <c r="UE67" s="188"/>
      <c r="UF67" s="188"/>
      <c r="UG67" s="188"/>
      <c r="UH67" s="188"/>
      <c r="UI67" s="188"/>
      <c r="UJ67" s="188"/>
      <c r="UK67" s="188"/>
      <c r="UL67" s="188"/>
      <c r="UM67" s="188"/>
      <c r="UN67" s="188"/>
      <c r="UO67" s="188"/>
      <c r="UP67" s="188"/>
      <c r="UQ67" s="188"/>
      <c r="UR67" s="188"/>
      <c r="US67" s="188"/>
      <c r="UT67" s="188"/>
      <c r="UU67" s="188"/>
      <c r="UV67" s="188"/>
      <c r="UW67" s="188"/>
      <c r="UX67" s="188"/>
      <c r="UY67" s="188"/>
      <c r="UZ67" s="188"/>
      <c r="VA67" s="188"/>
      <c r="VB67" s="188"/>
      <c r="VC67" s="188"/>
      <c r="VD67" s="188"/>
      <c r="VE67" s="188"/>
      <c r="VF67" s="188"/>
      <c r="VG67" s="188"/>
      <c r="VH67" s="188"/>
      <c r="VI67" s="188"/>
      <c r="VJ67" s="188"/>
      <c r="VK67" s="188"/>
      <c r="VL67" s="188"/>
      <c r="VM67" s="188"/>
      <c r="VN67" s="188"/>
      <c r="VO67" s="188"/>
      <c r="VP67" s="188"/>
      <c r="VQ67" s="188"/>
      <c r="VR67" s="188"/>
      <c r="VS67" s="188"/>
      <c r="VT67" s="188"/>
      <c r="VU67" s="188"/>
      <c r="VV67" s="188"/>
      <c r="VW67" s="188"/>
      <c r="VX67" s="188"/>
      <c r="VY67" s="188"/>
      <c r="VZ67" s="188"/>
      <c r="WA67" s="188"/>
      <c r="WB67" s="188"/>
      <c r="WC67" s="188"/>
      <c r="WD67" s="188"/>
      <c r="WE67" s="188"/>
      <c r="WF67" s="188"/>
      <c r="WG67" s="188"/>
      <c r="WH67" s="188"/>
      <c r="WI67" s="188"/>
      <c r="WJ67" s="188"/>
      <c r="WK67" s="188"/>
      <c r="WL67" s="188"/>
      <c r="WM67" s="188"/>
      <c r="WN67" s="188"/>
      <c r="WO67" s="188"/>
      <c r="WP67" s="188"/>
      <c r="WQ67" s="188"/>
      <c r="WR67" s="188"/>
      <c r="WS67" s="188"/>
      <c r="WT67" s="188"/>
      <c r="WU67" s="188"/>
      <c r="WV67" s="188"/>
      <c r="WW67" s="188"/>
      <c r="WX67" s="188"/>
      <c r="WY67" s="188"/>
      <c r="WZ67" s="188"/>
      <c r="XA67" s="188"/>
      <c r="XB67" s="188"/>
      <c r="XC67" s="188"/>
      <c r="XD67" s="188"/>
      <c r="XE67" s="188"/>
      <c r="XF67" s="188"/>
      <c r="XG67" s="188"/>
      <c r="XH67" s="188"/>
      <c r="XI67" s="188"/>
      <c r="XJ67" s="188"/>
      <c r="XK67" s="188"/>
      <c r="XL67" s="188"/>
      <c r="XM67" s="188"/>
      <c r="XN67" s="188"/>
      <c r="XO67" s="188"/>
      <c r="XP67" s="188"/>
      <c r="XQ67" s="188"/>
      <c r="XR67" s="188"/>
      <c r="XS67" s="188"/>
      <c r="XT67" s="188"/>
      <c r="XU67" s="188"/>
      <c r="XV67" s="188"/>
      <c r="XW67" s="188"/>
      <c r="XX67" s="188"/>
      <c r="XY67" s="188"/>
      <c r="XZ67" s="188"/>
      <c r="YA67" s="188"/>
      <c r="YB67" s="188"/>
      <c r="YC67" s="188"/>
      <c r="YD67" s="188"/>
      <c r="YE67" s="188"/>
      <c r="YF67" s="188"/>
      <c r="YG67" s="188"/>
      <c r="YH67" s="188"/>
      <c r="YI67" s="188"/>
      <c r="YJ67" s="188"/>
      <c r="YK67" s="188"/>
      <c r="YL67" s="188"/>
      <c r="YM67" s="188"/>
      <c r="YN67" s="188"/>
      <c r="YO67" s="188"/>
      <c r="YP67" s="188"/>
      <c r="YQ67" s="188"/>
      <c r="YR67" s="188"/>
      <c r="YS67" s="188"/>
      <c r="YT67" s="188"/>
      <c r="YU67" s="188"/>
      <c r="YV67" s="188"/>
      <c r="YW67" s="188"/>
      <c r="YX67" s="188"/>
      <c r="YY67" s="188"/>
      <c r="YZ67" s="188"/>
      <c r="ZA67" s="188"/>
      <c r="ZB67" s="188"/>
      <c r="ZC67" s="188"/>
      <c r="ZD67" s="188"/>
      <c r="ZE67" s="188"/>
      <c r="ZF67" s="188"/>
      <c r="ZG67" s="188"/>
      <c r="ZH67" s="188"/>
      <c r="ZI67" s="188"/>
      <c r="ZJ67" s="188"/>
      <c r="ZK67" s="188"/>
      <c r="ZL67" s="188"/>
      <c r="ZM67" s="188"/>
      <c r="ZN67" s="188"/>
      <c r="ZO67" s="188"/>
      <c r="ZP67" s="188"/>
      <c r="ZQ67" s="188"/>
      <c r="ZR67" s="188"/>
      <c r="ZS67" s="188"/>
      <c r="ZT67" s="188"/>
      <c r="ZU67" s="188"/>
      <c r="ZV67" s="188"/>
      <c r="ZW67" s="188"/>
      <c r="ZX67" s="188"/>
      <c r="ZY67" s="188"/>
      <c r="ZZ67" s="188"/>
      <c r="AAA67" s="188"/>
      <c r="AAB67" s="188"/>
      <c r="AAC67" s="188"/>
      <c r="AAD67" s="188"/>
      <c r="AAE67" s="188"/>
      <c r="AAF67" s="188"/>
      <c r="AAG67" s="188"/>
      <c r="AAH67" s="188"/>
      <c r="AAI67" s="188"/>
      <c r="AAJ67" s="188"/>
      <c r="AAK67" s="188"/>
      <c r="AAL67" s="188"/>
      <c r="AAM67" s="188"/>
      <c r="AAN67" s="188"/>
      <c r="AAO67" s="188"/>
      <c r="AAP67" s="188"/>
      <c r="AAQ67" s="188"/>
      <c r="AAR67" s="188"/>
      <c r="AAS67" s="188"/>
      <c r="AAT67" s="188"/>
      <c r="AAU67" s="188"/>
      <c r="AAV67" s="188"/>
      <c r="AAW67" s="188"/>
      <c r="AAX67" s="188"/>
      <c r="AAY67" s="188"/>
      <c r="AAZ67" s="188"/>
      <c r="ABA67" s="188"/>
      <c r="ABB67" s="188"/>
      <c r="ABC67" s="188"/>
      <c r="ABD67" s="188"/>
      <c r="ABE67" s="188"/>
      <c r="ABF67" s="188"/>
      <c r="ABG67" s="188"/>
      <c r="ABH67" s="188"/>
      <c r="ABI67" s="188"/>
      <c r="ABJ67" s="188"/>
      <c r="ABK67" s="188"/>
      <c r="ABL67" s="188"/>
      <c r="ABM67" s="188"/>
      <c r="ABN67" s="188"/>
      <c r="ABO67" s="188"/>
      <c r="ABP67" s="188"/>
      <c r="ABQ67" s="188"/>
      <c r="ABR67" s="188"/>
      <c r="ABS67" s="188"/>
      <c r="ABT67" s="188"/>
      <c r="ABU67" s="188"/>
      <c r="ABV67" s="188"/>
      <c r="ABW67" s="188"/>
      <c r="ABX67" s="188"/>
      <c r="ABY67" s="188"/>
      <c r="ABZ67" s="188"/>
      <c r="ACA67" s="188"/>
      <c r="ACB67" s="188"/>
      <c r="ACC67" s="188"/>
      <c r="ACD67" s="188"/>
      <c r="ACE67" s="188"/>
      <c r="ACF67" s="188"/>
      <c r="ACG67" s="188"/>
      <c r="ACH67" s="188"/>
      <c r="ACI67" s="188"/>
      <c r="ACJ67" s="188"/>
      <c r="ACK67" s="188"/>
      <c r="ACL67" s="188"/>
      <c r="ACM67" s="188"/>
      <c r="ACN67" s="188"/>
      <c r="ACO67" s="188"/>
      <c r="ACP67" s="188"/>
      <c r="ACQ67" s="188"/>
      <c r="ACR67" s="188"/>
      <c r="ACS67" s="188"/>
      <c r="ACT67" s="188"/>
      <c r="ACU67" s="188"/>
      <c r="ACV67" s="188"/>
      <c r="ACW67" s="188"/>
      <c r="ACX67" s="188"/>
      <c r="ACY67" s="188"/>
      <c r="ACZ67" s="188"/>
      <c r="ADA67" s="188"/>
      <c r="ADB67" s="188"/>
      <c r="ADC67" s="188"/>
      <c r="ADD67" s="188"/>
      <c r="ADE67" s="188"/>
      <c r="ADF67" s="188"/>
      <c r="ADG67" s="188"/>
      <c r="ADH67" s="188"/>
      <c r="ADI67" s="188"/>
      <c r="ADJ67" s="188"/>
      <c r="ADK67" s="188"/>
      <c r="ADL67" s="188"/>
      <c r="ADM67" s="188"/>
      <c r="ADN67" s="188"/>
      <c r="ADO67" s="188"/>
      <c r="ADP67" s="188"/>
      <c r="ADQ67" s="188"/>
      <c r="ADR67" s="188"/>
      <c r="ADS67" s="188"/>
      <c r="ADT67" s="188"/>
      <c r="ADU67" s="188"/>
      <c r="ADV67" s="188"/>
      <c r="ADW67" s="188"/>
      <c r="ADX67" s="188"/>
      <c r="ADY67" s="188"/>
      <c r="ADZ67" s="188"/>
      <c r="AEA67" s="188"/>
      <c r="AEB67" s="188"/>
      <c r="AEC67" s="188"/>
      <c r="AED67" s="188"/>
      <c r="AEE67" s="188"/>
      <c r="AEF67" s="188"/>
      <c r="AEG67" s="188"/>
      <c r="AEH67" s="188"/>
      <c r="AEI67" s="188"/>
      <c r="AEJ67" s="188"/>
      <c r="AEK67" s="188"/>
      <c r="AEL67" s="188"/>
      <c r="AEM67" s="188"/>
      <c r="AEN67" s="188"/>
      <c r="AEO67" s="188"/>
      <c r="AEP67" s="188"/>
      <c r="AEQ67" s="188"/>
      <c r="AER67" s="188"/>
      <c r="AES67" s="188"/>
      <c r="AET67" s="188"/>
      <c r="AEU67" s="188"/>
      <c r="AEV67" s="188"/>
      <c r="AEW67" s="188"/>
      <c r="AEX67" s="188"/>
      <c r="AEY67" s="188"/>
      <c r="AEZ67" s="188"/>
      <c r="AFA67" s="188"/>
      <c r="AFB67" s="188"/>
      <c r="AFC67" s="188"/>
      <c r="AFD67" s="188"/>
      <c r="AFE67" s="188"/>
      <c r="AFF67" s="188"/>
      <c r="AFG67" s="188"/>
      <c r="AFH67" s="188"/>
      <c r="AFI67" s="188"/>
      <c r="AFJ67" s="188"/>
      <c r="AFK67" s="188"/>
      <c r="AFL67" s="188"/>
      <c r="AFM67" s="188"/>
      <c r="AFN67" s="188"/>
      <c r="AFO67" s="188"/>
      <c r="AFP67" s="188"/>
      <c r="AFQ67" s="188"/>
      <c r="AFR67" s="188"/>
      <c r="AFS67" s="188"/>
      <c r="AFT67" s="188"/>
      <c r="AFU67" s="188"/>
      <c r="AFV67" s="188"/>
      <c r="AFW67" s="188"/>
      <c r="AFX67" s="188"/>
      <c r="AFY67" s="188"/>
      <c r="AFZ67" s="188"/>
      <c r="AGA67" s="188"/>
      <c r="AGB67" s="188"/>
      <c r="AGC67" s="188"/>
      <c r="AGD67" s="188"/>
      <c r="AGE67" s="188"/>
      <c r="AGF67" s="188"/>
      <c r="AGG67" s="188"/>
      <c r="AGH67" s="188"/>
      <c r="AGI67" s="188"/>
      <c r="AGJ67" s="188"/>
      <c r="AGK67" s="188"/>
      <c r="AGL67" s="188"/>
      <c r="AGM67" s="188"/>
      <c r="AGN67" s="188"/>
      <c r="AGO67" s="188"/>
      <c r="AGP67" s="188"/>
      <c r="AGQ67" s="188"/>
      <c r="AGR67" s="188"/>
      <c r="AGS67" s="188"/>
      <c r="AGT67" s="188"/>
      <c r="AGU67" s="188"/>
      <c r="AGV67" s="188"/>
      <c r="AGW67" s="188"/>
      <c r="AGX67" s="188"/>
      <c r="AGY67" s="188"/>
      <c r="AGZ67" s="188"/>
      <c r="AHA67" s="188"/>
      <c r="AHB67" s="188"/>
      <c r="AHC67" s="188"/>
      <c r="AHD67" s="188"/>
      <c r="AHE67" s="188"/>
      <c r="AHF67" s="188"/>
      <c r="AHG67" s="188"/>
      <c r="AHH67" s="188"/>
      <c r="AHI67" s="188"/>
      <c r="AHJ67" s="188"/>
      <c r="AHK67" s="188"/>
      <c r="AHL67" s="188"/>
      <c r="AHM67" s="188"/>
      <c r="AHN67" s="188"/>
      <c r="AHO67" s="188"/>
      <c r="AHP67" s="188"/>
      <c r="AHQ67" s="188"/>
      <c r="AHR67" s="188"/>
      <c r="AHS67" s="188"/>
      <c r="AHT67" s="188"/>
      <c r="AHU67" s="188"/>
      <c r="AHV67" s="188"/>
      <c r="AHW67" s="188"/>
      <c r="AHX67" s="188"/>
      <c r="AHY67" s="188"/>
      <c r="AHZ67" s="188"/>
      <c r="AIA67" s="188"/>
      <c r="AIB67" s="188"/>
      <c r="AIC67" s="188"/>
      <c r="AID67" s="188"/>
      <c r="AIE67" s="188"/>
      <c r="AIF67" s="188"/>
      <c r="AIG67" s="188"/>
      <c r="AIH67" s="188"/>
      <c r="AII67" s="188"/>
      <c r="AIJ67" s="188"/>
      <c r="AIK67" s="188"/>
      <c r="AIL67" s="188"/>
      <c r="AIM67" s="188"/>
      <c r="AIN67" s="188"/>
      <c r="AIO67" s="188"/>
      <c r="AIP67" s="188"/>
      <c r="AIQ67" s="188"/>
      <c r="AIR67" s="188"/>
      <c r="AIS67" s="188"/>
      <c r="AIT67" s="188"/>
      <c r="AIU67" s="188"/>
      <c r="AIV67" s="188"/>
      <c r="AIW67" s="188"/>
      <c r="AIX67" s="188"/>
      <c r="AIY67" s="188"/>
      <c r="AIZ67" s="188"/>
      <c r="AJA67" s="188"/>
      <c r="AJB67" s="188"/>
      <c r="AJC67" s="188"/>
      <c r="AJD67" s="188"/>
      <c r="AJE67" s="188"/>
      <c r="AJF67" s="188"/>
      <c r="AJG67" s="188"/>
      <c r="AJH67" s="188"/>
      <c r="AJI67" s="188"/>
      <c r="AJJ67" s="188"/>
      <c r="AJK67" s="188"/>
      <c r="AJL67" s="188"/>
      <c r="AJM67" s="188"/>
      <c r="AJN67" s="188"/>
      <c r="AJO67" s="188"/>
      <c r="AJP67" s="188"/>
      <c r="AJQ67" s="188"/>
      <c r="AJR67" s="188"/>
      <c r="AJS67" s="188"/>
      <c r="AJT67" s="188"/>
      <c r="AJU67" s="188"/>
      <c r="AJV67" s="188"/>
      <c r="AJW67" s="188"/>
      <c r="AJX67" s="188"/>
      <c r="AJY67" s="188"/>
      <c r="AJZ67" s="188"/>
      <c r="AKA67" s="188"/>
      <c r="AKB67" s="188"/>
      <c r="AKC67" s="188"/>
      <c r="AKD67" s="188"/>
      <c r="AKE67" s="188"/>
      <c r="AKF67" s="188"/>
      <c r="AKG67" s="188"/>
      <c r="AKH67" s="188"/>
      <c r="AKI67" s="188"/>
      <c r="AKJ67" s="188"/>
      <c r="AKK67" s="188"/>
      <c r="AKL67" s="188"/>
      <c r="AKM67" s="188"/>
      <c r="AKN67" s="188"/>
      <c r="AKO67" s="188"/>
      <c r="AKP67" s="188"/>
      <c r="AKQ67" s="188"/>
      <c r="AKR67" s="188"/>
      <c r="AKS67" s="188"/>
      <c r="AKT67" s="188"/>
      <c r="AKU67" s="188"/>
      <c r="AKV67" s="188"/>
      <c r="AKW67" s="188"/>
      <c r="AKX67" s="188"/>
      <c r="AKY67" s="188"/>
      <c r="AKZ67" s="188"/>
      <c r="ALA67" s="188"/>
      <c r="ALB67" s="188"/>
      <c r="ALC67" s="188"/>
      <c r="ALD67" s="188"/>
      <c r="ALE67" s="188"/>
      <c r="ALF67" s="188"/>
      <c r="ALG67" s="188"/>
      <c r="ALH67" s="188"/>
      <c r="ALI67" s="188"/>
      <c r="ALJ67" s="188"/>
      <c r="ALK67" s="188"/>
      <c r="ALL67" s="188"/>
      <c r="ALM67" s="188"/>
      <c r="ALN67" s="188"/>
      <c r="ALO67" s="188"/>
      <c r="ALP67" s="188"/>
      <c r="ALQ67" s="188"/>
      <c r="ALR67" s="188"/>
      <c r="ALS67" s="188"/>
      <c r="ALT67" s="188"/>
      <c r="ALU67" s="188"/>
      <c r="ALV67" s="188"/>
      <c r="ALW67" s="188"/>
      <c r="ALX67" s="188"/>
      <c r="ALY67" s="188"/>
      <c r="ALZ67" s="188"/>
      <c r="AMA67" s="188"/>
      <c r="AMB67" s="188"/>
      <c r="AMC67" s="188"/>
      <c r="AMD67" s="188"/>
      <c r="AME67" s="188"/>
      <c r="AMF67" s="188"/>
      <c r="AMG67" s="188"/>
      <c r="AMH67" s="188"/>
      <c r="AMI67" s="188"/>
      <c r="AMJ67" s="188"/>
      <c r="AMK67" s="188"/>
      <c r="AML67" s="188"/>
      <c r="AMM67" s="188"/>
      <c r="AMN67" s="188"/>
      <c r="AMO67" s="188"/>
      <c r="AMP67" s="188"/>
      <c r="AMQ67" s="188"/>
      <c r="AMR67" s="188"/>
      <c r="AMS67" s="188"/>
      <c r="AMT67" s="188"/>
      <c r="AMU67" s="188"/>
      <c r="AMV67" s="188"/>
      <c r="AMW67" s="188"/>
      <c r="AMX67" s="188"/>
      <c r="AMY67" s="188"/>
      <c r="AMZ67" s="188"/>
      <c r="ANA67" s="188"/>
      <c r="ANB67" s="188"/>
      <c r="ANC67" s="188"/>
      <c r="AND67" s="188"/>
      <c r="ANE67" s="188"/>
      <c r="ANF67" s="188"/>
      <c r="ANG67" s="188"/>
      <c r="ANH67" s="188"/>
      <c r="ANI67" s="188"/>
      <c r="ANJ67" s="188"/>
      <c r="ANK67" s="188"/>
      <c r="ANL67" s="188"/>
      <c r="ANM67" s="188"/>
      <c r="ANN67" s="188"/>
      <c r="ANO67" s="188"/>
      <c r="ANP67" s="188"/>
      <c r="ANQ67" s="188"/>
      <c r="ANR67" s="188"/>
      <c r="ANS67" s="188"/>
      <c r="ANT67" s="188"/>
      <c r="ANU67" s="188"/>
      <c r="ANV67" s="188"/>
      <c r="ANW67" s="188"/>
      <c r="ANX67" s="188"/>
      <c r="ANY67" s="188"/>
      <c r="ANZ67" s="188"/>
      <c r="AOA67" s="188"/>
      <c r="AOB67" s="188"/>
      <c r="AOC67" s="188"/>
      <c r="AOD67" s="188"/>
      <c r="AOE67" s="188"/>
      <c r="AOF67" s="188"/>
      <c r="AOG67" s="188"/>
      <c r="AOH67" s="188"/>
      <c r="AOI67" s="188"/>
      <c r="AOJ67" s="188"/>
      <c r="AOK67" s="188"/>
      <c r="AOL67" s="188"/>
      <c r="AOM67" s="188"/>
      <c r="AON67" s="188"/>
      <c r="AOO67" s="188"/>
      <c r="AOP67" s="188"/>
      <c r="AOQ67" s="188"/>
      <c r="AOR67" s="188"/>
      <c r="AOS67" s="188"/>
      <c r="AOT67" s="188"/>
      <c r="AOU67" s="188"/>
      <c r="AOV67" s="188"/>
      <c r="AOW67" s="188"/>
      <c r="AOX67" s="188"/>
      <c r="AOY67" s="188"/>
      <c r="AOZ67" s="188"/>
      <c r="APA67" s="188"/>
      <c r="APB67" s="188"/>
      <c r="APC67" s="188"/>
      <c r="APD67" s="188"/>
      <c r="APE67" s="188"/>
      <c r="APF67" s="188"/>
      <c r="APG67" s="188"/>
      <c r="APH67" s="188"/>
      <c r="API67" s="188"/>
      <c r="APJ67" s="188"/>
      <c r="APK67" s="188"/>
      <c r="APL67" s="188"/>
      <c r="APM67" s="188"/>
      <c r="APN67" s="188"/>
      <c r="APO67" s="188"/>
      <c r="APP67" s="188"/>
      <c r="APQ67" s="188"/>
      <c r="APR67" s="188"/>
      <c r="APS67" s="188"/>
      <c r="APT67" s="188"/>
      <c r="APU67" s="188"/>
      <c r="APV67" s="188"/>
      <c r="APW67" s="188"/>
      <c r="APX67" s="188"/>
      <c r="APY67" s="188"/>
      <c r="APZ67" s="188"/>
      <c r="AQA67" s="188"/>
      <c r="AQB67" s="188"/>
      <c r="AQC67" s="188"/>
      <c r="AQD67" s="188"/>
      <c r="AQE67" s="188"/>
      <c r="AQF67" s="188"/>
      <c r="AQG67" s="188"/>
      <c r="AQH67" s="188"/>
      <c r="AQI67" s="188"/>
      <c r="AQJ67" s="188"/>
      <c r="AQK67" s="188"/>
      <c r="AQL67" s="188"/>
      <c r="AQM67" s="188"/>
      <c r="AQN67" s="188"/>
      <c r="AQO67" s="188"/>
      <c r="AQP67" s="188"/>
      <c r="AQQ67" s="188"/>
      <c r="AQR67" s="188"/>
      <c r="AQS67" s="188"/>
      <c r="AQT67" s="188"/>
      <c r="AQU67" s="188"/>
      <c r="AQV67" s="188"/>
      <c r="AQW67" s="188"/>
      <c r="AQX67" s="188"/>
      <c r="AQY67" s="188"/>
      <c r="AQZ67" s="188"/>
      <c r="ARA67" s="188"/>
      <c r="ARB67" s="188"/>
      <c r="ARC67" s="188"/>
      <c r="ARD67" s="188"/>
      <c r="ARE67" s="188"/>
      <c r="ARF67" s="188"/>
      <c r="ARG67" s="188"/>
      <c r="ARH67" s="188"/>
      <c r="ARI67" s="188"/>
      <c r="ARJ67" s="188"/>
      <c r="ARK67" s="188"/>
      <c r="ARL67" s="188"/>
      <c r="ARM67" s="188"/>
      <c r="ARN67" s="188"/>
      <c r="ARO67" s="188"/>
      <c r="ARP67" s="188"/>
      <c r="ARQ67" s="188"/>
      <c r="ARR67" s="188"/>
      <c r="ARS67" s="188"/>
      <c r="ART67" s="188"/>
      <c r="ARU67" s="188"/>
      <c r="ARV67" s="188"/>
      <c r="ARW67" s="188"/>
      <c r="ARX67" s="188"/>
      <c r="ARY67" s="188"/>
      <c r="ARZ67" s="188"/>
      <c r="ASA67" s="188"/>
      <c r="ASB67" s="188"/>
      <c r="ASC67" s="188"/>
      <c r="ASD67" s="188"/>
      <c r="ASE67" s="188"/>
      <c r="ASF67" s="188"/>
      <c r="ASG67" s="188"/>
      <c r="ASH67" s="188"/>
      <c r="ASI67" s="188"/>
      <c r="ASJ67" s="188"/>
      <c r="ASK67" s="188"/>
      <c r="ASL67" s="188"/>
      <c r="ASM67" s="188"/>
      <c r="ASN67" s="188"/>
      <c r="ASO67" s="188"/>
      <c r="ASP67" s="188"/>
      <c r="ASQ67" s="188"/>
      <c r="ASR67" s="188"/>
      <c r="ASS67" s="188"/>
      <c r="AST67" s="188"/>
      <c r="ASU67" s="188"/>
      <c r="ASV67" s="188"/>
      <c r="ASW67" s="188"/>
      <c r="ASX67" s="188"/>
      <c r="ASY67" s="188"/>
      <c r="ASZ67" s="188"/>
      <c r="ATA67" s="188"/>
      <c r="ATB67" s="188"/>
      <c r="ATC67" s="188"/>
      <c r="ATD67" s="188"/>
      <c r="ATE67" s="188"/>
      <c r="ATF67" s="188"/>
      <c r="ATG67" s="188"/>
      <c r="ATH67" s="188"/>
      <c r="ATI67" s="188"/>
      <c r="ATJ67" s="188"/>
      <c r="ATK67" s="188"/>
      <c r="ATL67" s="188"/>
      <c r="ATM67" s="188"/>
      <c r="ATN67" s="188"/>
      <c r="ATO67" s="188"/>
      <c r="ATP67" s="188"/>
      <c r="ATQ67" s="188"/>
      <c r="ATR67" s="188"/>
      <c r="ATS67" s="188"/>
      <c r="ATT67" s="188"/>
      <c r="ATU67" s="188"/>
      <c r="ATV67" s="188"/>
      <c r="ATW67" s="188"/>
      <c r="ATX67" s="188"/>
      <c r="ATY67" s="188"/>
      <c r="ATZ67" s="188"/>
      <c r="AUA67" s="188"/>
      <c r="AUB67" s="188"/>
      <c r="AUC67" s="188"/>
      <c r="AUD67" s="188"/>
      <c r="AUE67" s="188"/>
      <c r="AUF67" s="188"/>
      <c r="AUG67" s="188"/>
      <c r="AUH67" s="188"/>
      <c r="AUI67" s="188"/>
      <c r="AUJ67" s="188"/>
      <c r="AUK67" s="188"/>
      <c r="AUL67" s="188"/>
      <c r="AUM67" s="188"/>
      <c r="AUN67" s="188"/>
      <c r="AUO67" s="188"/>
      <c r="AUP67" s="188"/>
      <c r="AUQ67" s="188"/>
      <c r="AUR67" s="188"/>
      <c r="AUS67" s="188"/>
      <c r="AUT67" s="188"/>
      <c r="AUU67" s="188"/>
      <c r="AUV67" s="188"/>
      <c r="AUW67" s="188"/>
      <c r="AUX67" s="188"/>
      <c r="AUY67" s="188"/>
      <c r="AUZ67" s="188"/>
      <c r="AVA67" s="188"/>
      <c r="AVB67" s="188"/>
      <c r="AVC67" s="188"/>
      <c r="AVD67" s="188"/>
      <c r="AVE67" s="188"/>
      <c r="AVF67" s="188"/>
      <c r="AVG67" s="188"/>
      <c r="AVH67" s="188"/>
      <c r="AVI67" s="188"/>
      <c r="AVJ67" s="188"/>
      <c r="AVK67" s="188"/>
      <c r="AVL67" s="188"/>
      <c r="AVM67" s="188"/>
      <c r="AVN67" s="188"/>
      <c r="AVO67" s="188"/>
      <c r="AVP67" s="188"/>
      <c r="AVQ67" s="188"/>
      <c r="AVR67" s="188"/>
      <c r="AVS67" s="188"/>
      <c r="AVT67" s="188"/>
      <c r="AVU67" s="188"/>
      <c r="AVV67" s="188"/>
      <c r="AVW67" s="188"/>
      <c r="AVX67" s="188"/>
      <c r="AVY67" s="188"/>
      <c r="AVZ67" s="188"/>
      <c r="AWA67" s="188"/>
      <c r="AWB67" s="188"/>
      <c r="AWC67" s="188"/>
      <c r="AWD67" s="188"/>
      <c r="AWE67" s="188"/>
      <c r="AWF67" s="188"/>
      <c r="AWG67" s="188"/>
      <c r="AWH67" s="188"/>
      <c r="AWI67" s="188"/>
      <c r="AWJ67" s="188"/>
      <c r="AWK67" s="188"/>
      <c r="AWL67" s="188"/>
      <c r="AWM67" s="188"/>
      <c r="AWN67" s="188"/>
      <c r="AWO67" s="188"/>
      <c r="AWP67" s="188"/>
      <c r="AWQ67" s="188"/>
      <c r="AWR67" s="188"/>
      <c r="AWS67" s="188"/>
      <c r="AWT67" s="188"/>
      <c r="AWU67" s="188"/>
      <c r="AWV67" s="188"/>
      <c r="AWW67" s="188"/>
      <c r="AWX67" s="188"/>
      <c r="AWY67" s="188"/>
      <c r="AWZ67" s="188"/>
      <c r="AXA67" s="188"/>
      <c r="AXB67" s="188"/>
      <c r="AXC67" s="188"/>
      <c r="AXD67" s="188"/>
      <c r="AXE67" s="188"/>
      <c r="AXF67" s="188"/>
      <c r="AXG67" s="188"/>
      <c r="AXH67" s="188"/>
      <c r="AXI67" s="188"/>
      <c r="AXJ67" s="188"/>
      <c r="AXK67" s="188"/>
      <c r="AXL67" s="188"/>
      <c r="AXM67" s="188"/>
      <c r="AXN67" s="188"/>
      <c r="AXO67" s="188"/>
      <c r="AXP67" s="188"/>
      <c r="AXQ67" s="188"/>
      <c r="AXR67" s="188"/>
      <c r="AXS67" s="188"/>
      <c r="AXT67" s="188"/>
      <c r="AXU67" s="188"/>
      <c r="AXV67" s="188"/>
      <c r="AXW67" s="188"/>
      <c r="AXX67" s="188"/>
      <c r="AXY67" s="188"/>
      <c r="AXZ67" s="188"/>
      <c r="AYA67" s="188"/>
      <c r="AYB67" s="188"/>
      <c r="AYC67" s="188"/>
      <c r="AYD67" s="188"/>
      <c r="AYE67" s="188"/>
      <c r="AYF67" s="188"/>
      <c r="AYG67" s="188"/>
      <c r="AYH67" s="188"/>
      <c r="AYI67" s="188"/>
      <c r="AYJ67" s="188"/>
      <c r="AYK67" s="188"/>
      <c r="AYL67" s="188"/>
      <c r="AYM67" s="188"/>
      <c r="AYN67" s="188"/>
      <c r="AYO67" s="188"/>
      <c r="AYP67" s="188"/>
      <c r="AYQ67" s="188"/>
      <c r="AYR67" s="188"/>
      <c r="AYS67" s="188"/>
      <c r="AYT67" s="188"/>
      <c r="AYU67" s="188"/>
      <c r="AYV67" s="188"/>
      <c r="AYW67" s="188"/>
      <c r="AYX67" s="188"/>
      <c r="AYY67" s="188"/>
      <c r="AYZ67" s="188"/>
      <c r="AZA67" s="188"/>
      <c r="AZB67" s="188"/>
      <c r="AZC67" s="188"/>
      <c r="AZD67" s="188"/>
      <c r="AZE67" s="188"/>
      <c r="AZF67" s="188"/>
      <c r="AZG67" s="188"/>
      <c r="AZH67" s="188"/>
      <c r="AZI67" s="188"/>
      <c r="AZJ67" s="188"/>
      <c r="AZK67" s="188"/>
      <c r="AZL67" s="188"/>
      <c r="AZM67" s="188"/>
      <c r="AZN67" s="188"/>
      <c r="AZO67" s="188"/>
      <c r="AZP67" s="188"/>
      <c r="AZQ67" s="188"/>
      <c r="AZR67" s="188"/>
      <c r="AZS67" s="188"/>
      <c r="AZT67" s="188"/>
      <c r="AZU67" s="188"/>
      <c r="AZV67" s="188"/>
      <c r="AZW67" s="188"/>
      <c r="AZX67" s="188"/>
      <c r="AZY67" s="188"/>
      <c r="AZZ67" s="188"/>
      <c r="BAA67" s="188"/>
      <c r="BAB67" s="188"/>
      <c r="BAC67" s="188"/>
      <c r="BAD67" s="188"/>
      <c r="BAE67" s="188"/>
      <c r="BAF67" s="188"/>
      <c r="BAG67" s="188"/>
      <c r="BAH67" s="188"/>
      <c r="BAI67" s="188"/>
      <c r="BAJ67" s="188"/>
      <c r="BAK67" s="188"/>
      <c r="BAL67" s="188"/>
      <c r="BAM67" s="188"/>
      <c r="BAN67" s="188"/>
      <c r="BAO67" s="188"/>
      <c r="BAP67" s="188"/>
      <c r="BAQ67" s="188"/>
      <c r="BAR67" s="188"/>
      <c r="BAS67" s="188"/>
      <c r="BAT67" s="188"/>
      <c r="BAU67" s="188"/>
      <c r="BAV67" s="188"/>
      <c r="BAW67" s="188"/>
      <c r="BAX67" s="188"/>
      <c r="BAY67" s="188"/>
      <c r="BAZ67" s="188"/>
      <c r="BBA67" s="188"/>
      <c r="BBB67" s="188"/>
      <c r="BBC67" s="188"/>
      <c r="BBD67" s="188"/>
      <c r="BBE67" s="188"/>
      <c r="BBF67" s="188"/>
      <c r="BBG67" s="188"/>
      <c r="BBH67" s="188"/>
      <c r="BBI67" s="188"/>
      <c r="BBJ67" s="188"/>
      <c r="BBK67" s="188"/>
      <c r="BBL67" s="188"/>
      <c r="BBM67" s="188"/>
      <c r="BBN67" s="188"/>
      <c r="BBO67" s="188"/>
      <c r="BBP67" s="188"/>
      <c r="BBQ67" s="188"/>
      <c r="BBR67" s="188"/>
      <c r="BBS67" s="188"/>
      <c r="BBT67" s="188"/>
      <c r="BBU67" s="188"/>
      <c r="BBV67" s="188"/>
      <c r="BBW67" s="188"/>
      <c r="BBX67" s="188"/>
      <c r="BBY67" s="188"/>
      <c r="BBZ67" s="188"/>
      <c r="BCA67" s="188"/>
      <c r="BCB67" s="188"/>
      <c r="BCC67" s="188"/>
      <c r="BCD67" s="188"/>
      <c r="BCE67" s="188"/>
      <c r="BCF67" s="188"/>
      <c r="BCG67" s="188"/>
      <c r="BCH67" s="188"/>
      <c r="BCI67" s="188"/>
      <c r="BCJ67" s="188"/>
      <c r="BCK67" s="188"/>
      <c r="BCL67" s="188"/>
      <c r="BCM67" s="188"/>
      <c r="BCN67" s="188"/>
      <c r="BCO67" s="188"/>
      <c r="BCP67" s="188"/>
      <c r="BCQ67" s="188"/>
      <c r="BCR67" s="188"/>
      <c r="BCS67" s="188"/>
      <c r="BCT67" s="188"/>
      <c r="BCU67" s="188"/>
      <c r="BCV67" s="188"/>
      <c r="BCW67" s="188"/>
      <c r="BCX67" s="188"/>
      <c r="BCY67" s="188"/>
      <c r="BCZ67" s="188"/>
      <c r="BDA67" s="188"/>
      <c r="BDB67" s="188"/>
      <c r="BDC67" s="188"/>
      <c r="BDD67" s="188"/>
      <c r="BDE67" s="188"/>
      <c r="BDF67" s="188"/>
      <c r="BDG67" s="188"/>
      <c r="BDH67" s="188"/>
      <c r="BDI67" s="188"/>
      <c r="BDJ67" s="188"/>
      <c r="BDK67" s="188"/>
      <c r="BDL67" s="188"/>
      <c r="BDM67" s="188"/>
      <c r="BDN67" s="188"/>
      <c r="BDO67" s="188"/>
      <c r="BDP67" s="188"/>
      <c r="BDQ67" s="188"/>
      <c r="BDR67" s="188"/>
      <c r="BDS67" s="188"/>
      <c r="BDT67" s="188"/>
      <c r="BDU67" s="188"/>
      <c r="BDV67" s="188"/>
      <c r="BDW67" s="188"/>
      <c r="BDX67" s="188"/>
      <c r="BDY67" s="188"/>
      <c r="BDZ67" s="188"/>
      <c r="BEA67" s="188"/>
      <c r="BEB67" s="188"/>
      <c r="BEC67" s="188"/>
      <c r="BED67" s="188"/>
      <c r="BEE67" s="188"/>
      <c r="BEF67" s="188"/>
      <c r="BEG67" s="188"/>
      <c r="BEH67" s="188"/>
      <c r="BEI67" s="188"/>
      <c r="BEJ67" s="188"/>
      <c r="BEK67" s="188"/>
      <c r="BEL67" s="188"/>
      <c r="BEM67" s="188"/>
      <c r="BEN67" s="188"/>
      <c r="BEO67" s="188"/>
      <c r="BEP67" s="188"/>
      <c r="BEQ67" s="188"/>
      <c r="BER67" s="188"/>
      <c r="BES67" s="188"/>
      <c r="BET67" s="188"/>
      <c r="BEU67" s="188"/>
      <c r="BEV67" s="188"/>
      <c r="BEW67" s="188"/>
      <c r="BEX67" s="188"/>
      <c r="BEY67" s="188"/>
      <c r="BEZ67" s="188"/>
      <c r="BFA67" s="188"/>
      <c r="BFB67" s="188"/>
      <c r="BFC67" s="188"/>
      <c r="BFD67" s="188"/>
      <c r="BFE67" s="188"/>
      <c r="BFF67" s="188"/>
      <c r="BFG67" s="188"/>
      <c r="BFH67" s="188"/>
      <c r="BFI67" s="188"/>
      <c r="BFJ67" s="188"/>
      <c r="BFK67" s="188"/>
      <c r="BFL67" s="188"/>
      <c r="BFM67" s="188"/>
      <c r="BFN67" s="188"/>
      <c r="BFO67" s="188"/>
      <c r="BFP67" s="188"/>
      <c r="BFQ67" s="188"/>
      <c r="BFR67" s="188"/>
      <c r="BFS67" s="188"/>
      <c r="BFT67" s="188"/>
      <c r="BFU67" s="188"/>
      <c r="BFV67" s="188"/>
      <c r="BFW67" s="188"/>
      <c r="BFX67" s="188"/>
      <c r="BFY67" s="188"/>
      <c r="BFZ67" s="188"/>
      <c r="BGA67" s="188"/>
      <c r="BGB67" s="188"/>
      <c r="BGC67" s="188"/>
      <c r="BGD67" s="188"/>
      <c r="BGE67" s="188"/>
      <c r="BGF67" s="188"/>
      <c r="BGG67" s="188"/>
      <c r="BGH67" s="188"/>
      <c r="BGI67" s="188"/>
      <c r="BGJ67" s="188"/>
      <c r="BGK67" s="188"/>
      <c r="BGL67" s="188"/>
      <c r="BGM67" s="188"/>
      <c r="BGN67" s="188"/>
      <c r="BGO67" s="188"/>
      <c r="BGP67" s="188"/>
      <c r="BGQ67" s="188"/>
      <c r="BGR67" s="188"/>
      <c r="BGS67" s="188"/>
      <c r="BGT67" s="188"/>
      <c r="BGU67" s="188"/>
      <c r="BGV67" s="188"/>
      <c r="BGW67" s="188"/>
      <c r="BGX67" s="188"/>
      <c r="BGY67" s="188"/>
      <c r="BGZ67" s="188"/>
      <c r="BHA67" s="188"/>
      <c r="BHB67" s="188"/>
      <c r="BHC67" s="188"/>
      <c r="BHD67" s="188"/>
      <c r="BHE67" s="188"/>
      <c r="BHF67" s="188"/>
      <c r="BHG67" s="188"/>
      <c r="BHH67" s="188"/>
      <c r="BHI67" s="188"/>
      <c r="BHJ67" s="188"/>
      <c r="BHK67" s="188"/>
      <c r="BHL67" s="188"/>
      <c r="BHM67" s="188"/>
      <c r="BHN67" s="188"/>
      <c r="BHO67" s="188"/>
      <c r="BHP67" s="188"/>
      <c r="BHQ67" s="188"/>
      <c r="BHR67" s="188"/>
      <c r="BHS67" s="188"/>
      <c r="BHT67" s="188"/>
      <c r="BHU67" s="188"/>
      <c r="BHV67" s="188"/>
      <c r="BHW67" s="188"/>
      <c r="BHX67" s="188"/>
      <c r="BHY67" s="188"/>
      <c r="BHZ67" s="188"/>
      <c r="BIA67" s="188"/>
      <c r="BIB67" s="188"/>
      <c r="BIC67" s="188"/>
      <c r="BID67" s="188"/>
      <c r="BIE67" s="188"/>
      <c r="BIF67" s="188"/>
      <c r="BIG67" s="188"/>
      <c r="BIH67" s="188"/>
      <c r="BII67" s="188"/>
      <c r="BIJ67" s="188"/>
      <c r="BIK67" s="188"/>
      <c r="BIL67" s="188"/>
      <c r="BIM67" s="188"/>
      <c r="BIN67" s="188"/>
      <c r="BIO67" s="188"/>
      <c r="BIP67" s="188"/>
      <c r="BIQ67" s="188"/>
      <c r="BIR67" s="188"/>
      <c r="BIS67" s="188"/>
      <c r="BIT67" s="188"/>
      <c r="BIU67" s="188"/>
      <c r="BIV67" s="188"/>
      <c r="BIW67" s="188"/>
      <c r="BIX67" s="188"/>
      <c r="BIY67" s="188"/>
      <c r="BIZ67" s="188"/>
      <c r="BJA67" s="188"/>
      <c r="BJB67" s="188"/>
      <c r="BJC67" s="188"/>
      <c r="BJD67" s="188"/>
      <c r="BJE67" s="188"/>
      <c r="BJF67" s="188"/>
      <c r="BJG67" s="188"/>
      <c r="BJH67" s="188"/>
      <c r="BJI67" s="188"/>
      <c r="BJJ67" s="188"/>
      <c r="BJK67" s="188"/>
      <c r="BJL67" s="188"/>
      <c r="BJM67" s="188"/>
      <c r="BJN67" s="188"/>
      <c r="BJO67" s="188"/>
      <c r="BJP67" s="188"/>
      <c r="BJQ67" s="188"/>
      <c r="BJR67" s="188"/>
      <c r="BJS67" s="188"/>
      <c r="BJT67" s="188"/>
      <c r="BJU67" s="188"/>
      <c r="BJV67" s="188"/>
      <c r="BJW67" s="188"/>
      <c r="BJX67" s="188"/>
      <c r="BJY67" s="188"/>
      <c r="BJZ67" s="188"/>
      <c r="BKA67" s="188"/>
      <c r="BKB67" s="188"/>
      <c r="BKC67" s="188"/>
      <c r="BKD67" s="188"/>
      <c r="BKE67" s="188"/>
      <c r="BKF67" s="188"/>
      <c r="BKG67" s="188"/>
      <c r="BKH67" s="188"/>
      <c r="BKI67" s="188"/>
      <c r="BKJ67" s="188"/>
      <c r="BKK67" s="188"/>
      <c r="BKL67" s="188"/>
      <c r="BKM67" s="188"/>
      <c r="BKN67" s="188"/>
    </row>
    <row r="68" spans="1:1652" s="21" customFormat="1" x14ac:dyDescent="0.3">
      <c r="A68" s="171"/>
      <c r="B68" s="189"/>
      <c r="C68" s="189"/>
      <c r="D68" s="189"/>
      <c r="E68" s="189"/>
      <c r="F68" s="189"/>
      <c r="G68" s="189"/>
      <c r="I68" s="188"/>
      <c r="J68" s="188"/>
      <c r="K68" s="188"/>
      <c r="L68" s="188"/>
      <c r="M68" s="188"/>
      <c r="N68" s="188"/>
      <c r="O68" s="188"/>
      <c r="P68" s="188"/>
      <c r="Q68" s="188"/>
      <c r="R68" s="188"/>
      <c r="S68" s="188"/>
      <c r="T68" s="188"/>
      <c r="U68" s="188"/>
      <c r="V68" s="188"/>
      <c r="W68" s="188"/>
      <c r="X68" s="188"/>
      <c r="Y68" s="188"/>
      <c r="Z68" s="188"/>
      <c r="AA68" s="188"/>
      <c r="AB68" s="188"/>
      <c r="AC68" s="188"/>
      <c r="AD68" s="188"/>
      <c r="AE68" s="188"/>
      <c r="AF68" s="188"/>
      <c r="AG68" s="188"/>
      <c r="AH68" s="188"/>
      <c r="AI68" s="188"/>
      <c r="AJ68" s="188"/>
      <c r="AK68" s="188"/>
      <c r="AL68" s="188"/>
      <c r="AM68" s="188"/>
      <c r="AN68" s="188"/>
      <c r="AO68" s="188"/>
      <c r="AP68" s="188"/>
      <c r="AQ68" s="188"/>
      <c r="AR68" s="188"/>
      <c r="AS68" s="188"/>
      <c r="AT68" s="189"/>
      <c r="AU68" s="189"/>
      <c r="AV68" s="189"/>
      <c r="AW68" s="189"/>
      <c r="AX68" s="189"/>
      <c r="AY68" s="189"/>
      <c r="AZ68" s="189"/>
      <c r="BA68" s="189"/>
      <c r="BB68" s="189"/>
      <c r="BC68" s="189"/>
      <c r="BD68" s="189"/>
      <c r="BE68" s="188"/>
      <c r="BF68" s="188"/>
      <c r="BG68" s="188"/>
      <c r="BH68" s="188"/>
      <c r="BI68" s="188"/>
      <c r="BJ68" s="188"/>
      <c r="BK68" s="188"/>
      <c r="BL68" s="188"/>
      <c r="BM68" s="188"/>
      <c r="BN68" s="188"/>
      <c r="BO68" s="188"/>
      <c r="BP68" s="188"/>
      <c r="BQ68" s="188"/>
      <c r="BR68" s="188"/>
      <c r="BS68" s="188"/>
      <c r="BT68" s="188"/>
      <c r="BU68" s="188"/>
      <c r="BV68" s="188"/>
      <c r="BW68" s="188"/>
      <c r="BX68" s="188"/>
      <c r="BY68" s="188"/>
      <c r="BZ68" s="188"/>
      <c r="CA68" s="188"/>
      <c r="CB68" s="188"/>
      <c r="CC68" s="188"/>
      <c r="CD68" s="188"/>
      <c r="CE68" s="188"/>
      <c r="CF68" s="188"/>
      <c r="CG68" s="188"/>
      <c r="CH68" s="188"/>
      <c r="CI68" s="188"/>
      <c r="CJ68" s="188"/>
      <c r="CK68" s="188"/>
      <c r="CL68" s="188"/>
      <c r="CM68" s="188"/>
      <c r="CN68" s="188"/>
      <c r="CO68" s="188"/>
      <c r="CP68" s="188"/>
      <c r="CQ68" s="188"/>
      <c r="CR68" s="188"/>
      <c r="CS68" s="188"/>
      <c r="CT68" s="188"/>
      <c r="CU68" s="188"/>
      <c r="CV68" s="188"/>
      <c r="CW68" s="188"/>
      <c r="CX68" s="188"/>
      <c r="CY68" s="188"/>
      <c r="CZ68" s="188"/>
      <c r="DA68" s="188"/>
      <c r="DB68" s="188"/>
      <c r="DC68" s="188"/>
      <c r="DD68" s="188"/>
      <c r="DE68" s="188"/>
      <c r="DF68" s="188"/>
      <c r="DG68" s="188"/>
      <c r="DH68" s="188"/>
      <c r="DI68" s="188"/>
      <c r="DJ68" s="188"/>
      <c r="DK68" s="188"/>
      <c r="DL68" s="188"/>
      <c r="DM68" s="188"/>
      <c r="DN68" s="188"/>
      <c r="DO68" s="188"/>
      <c r="DP68" s="188"/>
      <c r="DQ68" s="188"/>
      <c r="DR68" s="188"/>
      <c r="DS68" s="188"/>
      <c r="DT68" s="188"/>
      <c r="DU68" s="188"/>
      <c r="DV68" s="188"/>
      <c r="DW68" s="188"/>
      <c r="DX68" s="188"/>
      <c r="DY68" s="188"/>
      <c r="DZ68" s="188"/>
      <c r="EA68" s="188"/>
      <c r="EB68" s="188"/>
      <c r="EC68" s="188"/>
      <c r="ED68" s="188"/>
      <c r="EE68" s="188"/>
      <c r="EF68" s="188"/>
      <c r="EG68" s="188"/>
      <c r="EH68" s="188"/>
      <c r="EI68" s="188"/>
      <c r="EJ68" s="188"/>
      <c r="EK68" s="188"/>
      <c r="EL68" s="188"/>
      <c r="EM68" s="188"/>
      <c r="EN68" s="188"/>
      <c r="EO68" s="188"/>
      <c r="EP68" s="188"/>
      <c r="EQ68" s="188"/>
      <c r="ER68" s="188"/>
      <c r="ES68" s="188"/>
      <c r="ET68" s="188"/>
      <c r="EU68" s="188"/>
      <c r="EV68" s="188"/>
      <c r="EW68" s="188"/>
      <c r="EX68" s="188"/>
      <c r="EY68" s="188"/>
      <c r="EZ68" s="188"/>
      <c r="FA68" s="188"/>
      <c r="FB68" s="188"/>
      <c r="FC68" s="188"/>
      <c r="FD68" s="188"/>
      <c r="FE68" s="188"/>
      <c r="FF68" s="188"/>
      <c r="FG68" s="188"/>
      <c r="FH68" s="188"/>
      <c r="FI68" s="188"/>
      <c r="FJ68" s="188"/>
      <c r="FK68" s="188"/>
      <c r="FL68" s="188"/>
      <c r="FM68" s="188"/>
      <c r="FN68" s="188"/>
      <c r="FO68" s="188"/>
      <c r="FP68" s="188"/>
      <c r="FQ68" s="188"/>
      <c r="FR68" s="188"/>
      <c r="FS68" s="188"/>
      <c r="FT68" s="188"/>
      <c r="FU68" s="188"/>
      <c r="FV68" s="188"/>
      <c r="FW68" s="188"/>
      <c r="FX68" s="188"/>
      <c r="FY68" s="188"/>
      <c r="FZ68" s="188"/>
      <c r="GA68" s="188"/>
      <c r="GB68" s="188"/>
      <c r="GC68" s="188"/>
      <c r="GD68" s="188"/>
      <c r="GE68" s="188"/>
      <c r="GF68" s="188"/>
      <c r="GG68" s="188"/>
      <c r="GH68" s="188"/>
      <c r="GI68" s="188"/>
      <c r="GJ68" s="188"/>
      <c r="GK68" s="188"/>
      <c r="GL68" s="188"/>
      <c r="GM68" s="188"/>
      <c r="GN68" s="188"/>
      <c r="GO68" s="188"/>
      <c r="GP68" s="188"/>
      <c r="GQ68" s="188"/>
      <c r="GR68" s="188"/>
      <c r="GS68" s="188"/>
      <c r="GT68" s="188"/>
      <c r="GU68" s="188"/>
      <c r="GV68" s="188"/>
      <c r="GW68" s="188"/>
      <c r="GX68" s="188"/>
      <c r="GY68" s="188"/>
      <c r="GZ68" s="188"/>
      <c r="HA68" s="188"/>
      <c r="HB68" s="188"/>
      <c r="HC68" s="188"/>
      <c r="HD68" s="188"/>
      <c r="HE68" s="188"/>
      <c r="HF68" s="188"/>
      <c r="HG68" s="188"/>
      <c r="HH68" s="188"/>
      <c r="HI68" s="188"/>
      <c r="HJ68" s="188"/>
      <c r="HK68" s="188"/>
      <c r="HL68" s="188"/>
      <c r="HM68" s="188"/>
      <c r="HN68" s="188"/>
      <c r="HO68" s="188"/>
      <c r="HP68" s="188"/>
      <c r="HQ68" s="188"/>
      <c r="HR68" s="188"/>
      <c r="HS68" s="188"/>
      <c r="HT68" s="188"/>
      <c r="HU68" s="188"/>
      <c r="HV68" s="188"/>
      <c r="HW68" s="188"/>
      <c r="HX68" s="188"/>
      <c r="HY68" s="188"/>
      <c r="HZ68" s="188"/>
      <c r="IA68" s="188"/>
      <c r="IB68" s="188"/>
      <c r="IC68" s="188"/>
      <c r="ID68" s="188"/>
      <c r="IE68" s="188"/>
      <c r="IF68" s="188"/>
      <c r="IG68" s="188"/>
      <c r="IH68" s="188"/>
      <c r="II68" s="188"/>
      <c r="IJ68" s="188"/>
      <c r="IK68" s="188"/>
      <c r="IL68" s="188"/>
      <c r="IM68" s="188"/>
      <c r="IN68" s="188"/>
      <c r="IO68" s="188"/>
      <c r="IP68" s="188"/>
      <c r="IQ68" s="188"/>
      <c r="IR68" s="188"/>
      <c r="IS68" s="188"/>
      <c r="IT68" s="188"/>
      <c r="IU68" s="188"/>
      <c r="IV68" s="188"/>
      <c r="IW68" s="188"/>
      <c r="IX68" s="188"/>
      <c r="IY68" s="188"/>
      <c r="IZ68" s="188"/>
      <c r="JA68" s="188"/>
      <c r="JB68" s="188"/>
      <c r="JC68" s="188"/>
      <c r="JD68" s="188"/>
      <c r="JE68" s="188"/>
      <c r="JF68" s="188"/>
      <c r="JG68" s="188"/>
      <c r="JH68" s="188"/>
      <c r="JI68" s="188"/>
      <c r="JJ68" s="188"/>
      <c r="JK68" s="188"/>
      <c r="JL68" s="188"/>
      <c r="JM68" s="188"/>
      <c r="JN68" s="188"/>
      <c r="JO68" s="188"/>
      <c r="JP68" s="188"/>
      <c r="JQ68" s="188"/>
      <c r="JR68" s="188"/>
      <c r="JS68" s="188"/>
      <c r="JT68" s="188"/>
      <c r="JU68" s="188"/>
      <c r="JV68" s="188"/>
      <c r="JW68" s="188"/>
      <c r="JX68" s="188"/>
      <c r="JY68" s="188"/>
      <c r="JZ68" s="188"/>
      <c r="KA68" s="188"/>
      <c r="KB68" s="188"/>
      <c r="KC68" s="188"/>
      <c r="KD68" s="188"/>
      <c r="KE68" s="188"/>
      <c r="KF68" s="188"/>
      <c r="KG68" s="188"/>
      <c r="KH68" s="188"/>
      <c r="KI68" s="188"/>
      <c r="KJ68" s="188"/>
      <c r="KK68" s="188"/>
      <c r="KL68" s="188"/>
      <c r="KM68" s="188"/>
      <c r="KN68" s="188"/>
      <c r="KO68" s="188"/>
      <c r="KP68" s="188"/>
      <c r="KQ68" s="188"/>
      <c r="KR68" s="188"/>
      <c r="KS68" s="188"/>
      <c r="KT68" s="188"/>
      <c r="KU68" s="188"/>
      <c r="KV68" s="188"/>
      <c r="KW68" s="188"/>
      <c r="KX68" s="188"/>
      <c r="KY68" s="188"/>
      <c r="KZ68" s="188"/>
      <c r="LA68" s="188"/>
      <c r="LB68" s="188"/>
      <c r="LC68" s="188"/>
      <c r="LD68" s="188"/>
      <c r="LE68" s="188"/>
      <c r="LF68" s="188"/>
      <c r="LG68" s="188"/>
      <c r="LH68" s="188"/>
      <c r="LI68" s="188"/>
      <c r="LJ68" s="188"/>
      <c r="LK68" s="188"/>
      <c r="LL68" s="188"/>
      <c r="LM68" s="188"/>
      <c r="LN68" s="188"/>
      <c r="LO68" s="188"/>
      <c r="LP68" s="188"/>
      <c r="LQ68" s="188"/>
      <c r="LR68" s="188"/>
      <c r="LS68" s="188"/>
      <c r="LT68" s="188"/>
      <c r="LU68" s="188"/>
      <c r="LV68" s="188"/>
      <c r="LW68" s="188"/>
      <c r="LX68" s="188"/>
      <c r="LY68" s="188"/>
      <c r="LZ68" s="188"/>
      <c r="MA68" s="188"/>
      <c r="MB68" s="188"/>
      <c r="MC68" s="188"/>
      <c r="MD68" s="188"/>
      <c r="ME68" s="188"/>
      <c r="MF68" s="188"/>
      <c r="MG68" s="188"/>
      <c r="MH68" s="188"/>
      <c r="MI68" s="188"/>
      <c r="MJ68" s="188"/>
      <c r="MK68" s="188"/>
      <c r="ML68" s="188"/>
      <c r="MM68" s="188"/>
      <c r="MN68" s="188"/>
      <c r="MO68" s="188"/>
      <c r="MP68" s="188"/>
      <c r="MQ68" s="188"/>
      <c r="MR68" s="188"/>
      <c r="MS68" s="188"/>
      <c r="MT68" s="188"/>
      <c r="MU68" s="188"/>
      <c r="MV68" s="188"/>
      <c r="MW68" s="188"/>
      <c r="MX68" s="188"/>
      <c r="MY68" s="188"/>
      <c r="MZ68" s="188"/>
      <c r="NA68" s="188"/>
      <c r="NB68" s="188"/>
      <c r="NC68" s="188"/>
      <c r="ND68" s="188"/>
      <c r="NE68" s="188"/>
      <c r="NF68" s="188"/>
      <c r="NG68" s="188"/>
      <c r="NH68" s="188"/>
      <c r="NI68" s="188"/>
      <c r="NJ68" s="188"/>
      <c r="NK68" s="188"/>
      <c r="NL68" s="188"/>
      <c r="NM68" s="188"/>
      <c r="NN68" s="188"/>
      <c r="NO68" s="188"/>
      <c r="NP68" s="188"/>
      <c r="NQ68" s="188"/>
      <c r="NR68" s="188"/>
      <c r="NS68" s="188"/>
      <c r="NT68" s="188"/>
      <c r="NU68" s="188"/>
      <c r="NV68" s="188"/>
      <c r="NW68" s="188"/>
      <c r="NX68" s="188"/>
      <c r="NY68" s="188"/>
      <c r="NZ68" s="188"/>
      <c r="OA68" s="188"/>
      <c r="OB68" s="188"/>
      <c r="OC68" s="188"/>
      <c r="OD68" s="188"/>
      <c r="OE68" s="188"/>
      <c r="OF68" s="188"/>
      <c r="OG68" s="188"/>
      <c r="OH68" s="188"/>
      <c r="OI68" s="188"/>
      <c r="OJ68" s="188"/>
      <c r="OK68" s="188"/>
      <c r="OL68" s="188"/>
      <c r="OM68" s="188"/>
      <c r="ON68" s="188"/>
      <c r="OO68" s="188"/>
      <c r="OP68" s="188"/>
      <c r="OQ68" s="188"/>
      <c r="OR68" s="188"/>
      <c r="OS68" s="188"/>
      <c r="OT68" s="188"/>
      <c r="OU68" s="188"/>
      <c r="OV68" s="188"/>
      <c r="OW68" s="188"/>
      <c r="OX68" s="188"/>
      <c r="OY68" s="188"/>
      <c r="OZ68" s="188"/>
      <c r="PA68" s="188"/>
      <c r="PB68" s="188"/>
      <c r="PC68" s="188"/>
      <c r="PD68" s="188"/>
      <c r="PE68" s="188"/>
      <c r="PF68" s="188"/>
      <c r="PG68" s="188"/>
      <c r="PH68" s="188"/>
      <c r="PI68" s="188"/>
      <c r="PJ68" s="188"/>
      <c r="PK68" s="188"/>
      <c r="PL68" s="188"/>
      <c r="PM68" s="188"/>
      <c r="PN68" s="188"/>
      <c r="PO68" s="188"/>
      <c r="PP68" s="188"/>
      <c r="PQ68" s="188"/>
      <c r="PR68" s="188"/>
      <c r="PS68" s="188"/>
      <c r="PT68" s="188"/>
      <c r="PU68" s="188"/>
      <c r="PV68" s="188"/>
      <c r="PW68" s="188"/>
      <c r="PX68" s="188"/>
      <c r="PY68" s="188"/>
      <c r="PZ68" s="188"/>
      <c r="QA68" s="188"/>
      <c r="QB68" s="188"/>
      <c r="QC68" s="188"/>
      <c r="QD68" s="188"/>
      <c r="QE68" s="188"/>
      <c r="QF68" s="188"/>
      <c r="QG68" s="188"/>
      <c r="QH68" s="188"/>
      <c r="QI68" s="188"/>
      <c r="QJ68" s="188"/>
      <c r="QK68" s="188"/>
      <c r="QL68" s="188"/>
      <c r="QM68" s="188"/>
      <c r="QN68" s="188"/>
      <c r="QO68" s="188"/>
      <c r="QP68" s="188"/>
      <c r="QQ68" s="188"/>
      <c r="QR68" s="188"/>
      <c r="QS68" s="188"/>
      <c r="QT68" s="188"/>
      <c r="QU68" s="188"/>
      <c r="QV68" s="188"/>
      <c r="QW68" s="188"/>
      <c r="QX68" s="188"/>
      <c r="QY68" s="188"/>
      <c r="QZ68" s="188"/>
      <c r="RA68" s="188"/>
      <c r="RB68" s="188"/>
      <c r="RC68" s="188"/>
      <c r="RD68" s="188"/>
      <c r="RE68" s="188"/>
      <c r="RF68" s="188"/>
      <c r="RG68" s="188"/>
      <c r="RH68" s="188"/>
      <c r="RI68" s="188"/>
      <c r="RJ68" s="188"/>
      <c r="RK68" s="188"/>
      <c r="RL68" s="188"/>
      <c r="RM68" s="188"/>
      <c r="RN68" s="188"/>
      <c r="RO68" s="188"/>
      <c r="RP68" s="188"/>
      <c r="RQ68" s="188"/>
      <c r="RR68" s="188"/>
      <c r="RS68" s="188"/>
      <c r="RT68" s="188"/>
      <c r="RU68" s="188"/>
      <c r="RV68" s="188"/>
      <c r="RW68" s="188"/>
      <c r="RX68" s="188"/>
      <c r="RY68" s="188"/>
      <c r="RZ68" s="188"/>
      <c r="SA68" s="188"/>
      <c r="SB68" s="188"/>
      <c r="SC68" s="188"/>
      <c r="SD68" s="188"/>
      <c r="SE68" s="188"/>
      <c r="SF68" s="188"/>
      <c r="SG68" s="188"/>
      <c r="SH68" s="188"/>
      <c r="SI68" s="188"/>
      <c r="SJ68" s="188"/>
      <c r="SK68" s="188"/>
      <c r="SL68" s="188"/>
      <c r="SM68" s="188"/>
      <c r="SN68" s="188"/>
      <c r="SO68" s="188"/>
      <c r="SP68" s="188"/>
      <c r="SQ68" s="188"/>
      <c r="SR68" s="188"/>
      <c r="SS68" s="188"/>
      <c r="ST68" s="188"/>
      <c r="SU68" s="188"/>
      <c r="SV68" s="188"/>
      <c r="SW68" s="188"/>
      <c r="SX68" s="188"/>
      <c r="SY68" s="188"/>
      <c r="SZ68" s="188"/>
      <c r="TA68" s="188"/>
      <c r="TB68" s="188"/>
      <c r="TC68" s="188"/>
      <c r="TD68" s="188"/>
      <c r="TE68" s="188"/>
      <c r="TF68" s="188"/>
      <c r="TG68" s="188"/>
      <c r="TH68" s="188"/>
      <c r="TI68" s="188"/>
      <c r="TJ68" s="188"/>
      <c r="TK68" s="188"/>
      <c r="TL68" s="188"/>
      <c r="TM68" s="188"/>
      <c r="TN68" s="188"/>
      <c r="TO68" s="188"/>
      <c r="TP68" s="188"/>
      <c r="TQ68" s="188"/>
      <c r="TR68" s="188"/>
      <c r="TS68" s="188"/>
      <c r="TT68" s="188"/>
      <c r="TU68" s="188"/>
      <c r="TV68" s="188"/>
      <c r="TW68" s="188"/>
      <c r="TX68" s="188"/>
      <c r="TY68" s="188"/>
      <c r="TZ68" s="188"/>
      <c r="UA68" s="188"/>
      <c r="UB68" s="188"/>
      <c r="UC68" s="188"/>
      <c r="UD68" s="188"/>
      <c r="UE68" s="188"/>
      <c r="UF68" s="188"/>
      <c r="UG68" s="188"/>
      <c r="UH68" s="188"/>
      <c r="UI68" s="188"/>
      <c r="UJ68" s="188"/>
      <c r="UK68" s="188"/>
      <c r="UL68" s="188"/>
      <c r="UM68" s="188"/>
      <c r="UN68" s="188"/>
      <c r="UO68" s="188"/>
      <c r="UP68" s="188"/>
      <c r="UQ68" s="188"/>
      <c r="UR68" s="188"/>
      <c r="US68" s="188"/>
      <c r="UT68" s="188"/>
      <c r="UU68" s="188"/>
      <c r="UV68" s="188"/>
      <c r="UW68" s="188"/>
      <c r="UX68" s="188"/>
      <c r="UY68" s="188"/>
      <c r="UZ68" s="188"/>
      <c r="VA68" s="188"/>
      <c r="VB68" s="188"/>
      <c r="VC68" s="188"/>
      <c r="VD68" s="188"/>
      <c r="VE68" s="188"/>
      <c r="VF68" s="188"/>
      <c r="VG68" s="188"/>
      <c r="VH68" s="188"/>
      <c r="VI68" s="188"/>
      <c r="VJ68" s="188"/>
      <c r="VK68" s="188"/>
      <c r="VL68" s="188"/>
      <c r="VM68" s="188"/>
      <c r="VN68" s="188"/>
      <c r="VO68" s="188"/>
      <c r="VP68" s="188"/>
      <c r="VQ68" s="188"/>
      <c r="VR68" s="188"/>
      <c r="VS68" s="188"/>
      <c r="VT68" s="188"/>
      <c r="VU68" s="188"/>
      <c r="VV68" s="188"/>
      <c r="VW68" s="188"/>
      <c r="VX68" s="188"/>
      <c r="VY68" s="188"/>
      <c r="VZ68" s="188"/>
      <c r="WA68" s="188"/>
      <c r="WB68" s="188"/>
      <c r="WC68" s="188"/>
      <c r="WD68" s="188"/>
      <c r="WE68" s="188"/>
      <c r="WF68" s="188"/>
      <c r="WG68" s="188"/>
      <c r="WH68" s="188"/>
      <c r="WI68" s="188"/>
      <c r="WJ68" s="188"/>
      <c r="WK68" s="188"/>
      <c r="WL68" s="188"/>
      <c r="WM68" s="188"/>
      <c r="WN68" s="188"/>
      <c r="WO68" s="188"/>
      <c r="WP68" s="188"/>
      <c r="WQ68" s="188"/>
      <c r="WR68" s="188"/>
      <c r="WS68" s="188"/>
      <c r="WT68" s="188"/>
      <c r="WU68" s="188"/>
      <c r="WV68" s="188"/>
      <c r="WW68" s="188"/>
      <c r="WX68" s="188"/>
      <c r="WY68" s="188"/>
      <c r="WZ68" s="188"/>
      <c r="XA68" s="188"/>
      <c r="XB68" s="188"/>
      <c r="XC68" s="188"/>
      <c r="XD68" s="188"/>
      <c r="XE68" s="188"/>
      <c r="XF68" s="188"/>
      <c r="XG68" s="188"/>
      <c r="XH68" s="188"/>
      <c r="XI68" s="188"/>
      <c r="XJ68" s="188"/>
      <c r="XK68" s="188"/>
      <c r="XL68" s="188"/>
      <c r="XM68" s="188"/>
      <c r="XN68" s="188"/>
      <c r="XO68" s="188"/>
      <c r="XP68" s="188"/>
      <c r="XQ68" s="188"/>
      <c r="XR68" s="188"/>
      <c r="XS68" s="188"/>
      <c r="XT68" s="188"/>
      <c r="XU68" s="188"/>
      <c r="XV68" s="188"/>
      <c r="XW68" s="188"/>
      <c r="XX68" s="188"/>
      <c r="XY68" s="188"/>
      <c r="XZ68" s="188"/>
      <c r="YA68" s="188"/>
      <c r="YB68" s="188"/>
      <c r="YC68" s="188"/>
      <c r="YD68" s="188"/>
      <c r="YE68" s="188"/>
      <c r="YF68" s="188"/>
      <c r="YG68" s="188"/>
      <c r="YH68" s="188"/>
      <c r="YI68" s="188"/>
      <c r="YJ68" s="188"/>
      <c r="YK68" s="188"/>
      <c r="YL68" s="188"/>
      <c r="YM68" s="188"/>
      <c r="YN68" s="188"/>
      <c r="YO68" s="188"/>
      <c r="YP68" s="188"/>
      <c r="YQ68" s="188"/>
      <c r="YR68" s="188"/>
      <c r="YS68" s="188"/>
      <c r="YT68" s="188"/>
      <c r="YU68" s="188"/>
      <c r="YV68" s="188"/>
      <c r="YW68" s="188"/>
      <c r="YX68" s="188"/>
      <c r="YY68" s="188"/>
      <c r="YZ68" s="188"/>
      <c r="ZA68" s="188"/>
      <c r="ZB68" s="188"/>
      <c r="ZC68" s="188"/>
      <c r="ZD68" s="188"/>
      <c r="ZE68" s="188"/>
      <c r="ZF68" s="188"/>
      <c r="ZG68" s="188"/>
      <c r="ZH68" s="188"/>
      <c r="ZI68" s="188"/>
      <c r="ZJ68" s="188"/>
      <c r="ZK68" s="188"/>
      <c r="ZL68" s="188"/>
      <c r="ZM68" s="188"/>
      <c r="ZN68" s="188"/>
      <c r="ZO68" s="188"/>
      <c r="ZP68" s="188"/>
      <c r="ZQ68" s="188"/>
      <c r="ZR68" s="188"/>
      <c r="ZS68" s="188"/>
      <c r="ZT68" s="188"/>
      <c r="ZU68" s="188"/>
      <c r="ZV68" s="188"/>
      <c r="ZW68" s="188"/>
      <c r="ZX68" s="188"/>
      <c r="ZY68" s="188"/>
      <c r="ZZ68" s="188"/>
      <c r="AAA68" s="188"/>
      <c r="AAB68" s="188"/>
      <c r="AAC68" s="188"/>
      <c r="AAD68" s="188"/>
      <c r="AAE68" s="188"/>
      <c r="AAF68" s="188"/>
      <c r="AAG68" s="188"/>
      <c r="AAH68" s="188"/>
      <c r="AAI68" s="188"/>
      <c r="AAJ68" s="188"/>
      <c r="AAK68" s="188"/>
      <c r="AAL68" s="188"/>
      <c r="AAM68" s="188"/>
      <c r="AAN68" s="188"/>
      <c r="AAO68" s="188"/>
      <c r="AAP68" s="188"/>
      <c r="AAQ68" s="188"/>
      <c r="AAR68" s="188"/>
      <c r="AAS68" s="188"/>
      <c r="AAT68" s="188"/>
      <c r="AAU68" s="188"/>
      <c r="AAV68" s="188"/>
      <c r="AAW68" s="188"/>
      <c r="AAX68" s="188"/>
      <c r="AAY68" s="188"/>
      <c r="AAZ68" s="188"/>
      <c r="ABA68" s="188"/>
      <c r="ABB68" s="188"/>
      <c r="ABC68" s="188"/>
      <c r="ABD68" s="188"/>
      <c r="ABE68" s="188"/>
      <c r="ABF68" s="188"/>
      <c r="ABG68" s="188"/>
      <c r="ABH68" s="188"/>
      <c r="ABI68" s="188"/>
      <c r="ABJ68" s="188"/>
      <c r="ABK68" s="188"/>
      <c r="ABL68" s="188"/>
      <c r="ABM68" s="188"/>
      <c r="ABN68" s="188"/>
      <c r="ABO68" s="188"/>
      <c r="ABP68" s="188"/>
      <c r="ABQ68" s="188"/>
      <c r="ABR68" s="188"/>
      <c r="ABS68" s="188"/>
      <c r="ABT68" s="188"/>
      <c r="ABU68" s="188"/>
      <c r="ABV68" s="188"/>
      <c r="ABW68" s="188"/>
      <c r="ABX68" s="188"/>
      <c r="ABY68" s="188"/>
      <c r="ABZ68" s="188"/>
      <c r="ACA68" s="188"/>
      <c r="ACB68" s="188"/>
      <c r="ACC68" s="188"/>
      <c r="ACD68" s="188"/>
      <c r="ACE68" s="188"/>
      <c r="ACF68" s="188"/>
      <c r="ACG68" s="188"/>
      <c r="ACH68" s="188"/>
      <c r="ACI68" s="188"/>
      <c r="ACJ68" s="188"/>
      <c r="ACK68" s="188"/>
      <c r="ACL68" s="188"/>
      <c r="ACM68" s="188"/>
      <c r="ACN68" s="188"/>
      <c r="ACO68" s="188"/>
      <c r="ACP68" s="188"/>
      <c r="ACQ68" s="188"/>
      <c r="ACR68" s="188"/>
      <c r="ACS68" s="188"/>
      <c r="ACT68" s="188"/>
      <c r="ACU68" s="188"/>
      <c r="ACV68" s="188"/>
      <c r="ACW68" s="188"/>
      <c r="ACX68" s="188"/>
      <c r="ACY68" s="188"/>
      <c r="ACZ68" s="188"/>
      <c r="ADA68" s="188"/>
      <c r="ADB68" s="188"/>
      <c r="ADC68" s="188"/>
      <c r="ADD68" s="188"/>
      <c r="ADE68" s="188"/>
      <c r="ADF68" s="188"/>
      <c r="ADG68" s="188"/>
      <c r="ADH68" s="188"/>
      <c r="ADI68" s="188"/>
      <c r="ADJ68" s="188"/>
      <c r="ADK68" s="188"/>
      <c r="ADL68" s="188"/>
      <c r="ADM68" s="188"/>
      <c r="ADN68" s="188"/>
      <c r="ADO68" s="188"/>
      <c r="ADP68" s="188"/>
      <c r="ADQ68" s="188"/>
      <c r="ADR68" s="188"/>
      <c r="ADS68" s="188"/>
      <c r="ADT68" s="188"/>
      <c r="ADU68" s="188"/>
      <c r="ADV68" s="188"/>
      <c r="ADW68" s="188"/>
      <c r="ADX68" s="188"/>
      <c r="ADY68" s="188"/>
      <c r="ADZ68" s="188"/>
      <c r="AEA68" s="188"/>
      <c r="AEB68" s="188"/>
      <c r="AEC68" s="188"/>
      <c r="AED68" s="188"/>
      <c r="AEE68" s="188"/>
      <c r="AEF68" s="188"/>
      <c r="AEG68" s="188"/>
      <c r="AEH68" s="188"/>
      <c r="AEI68" s="188"/>
      <c r="AEJ68" s="188"/>
      <c r="AEK68" s="188"/>
      <c r="AEL68" s="188"/>
      <c r="AEM68" s="188"/>
      <c r="AEN68" s="188"/>
      <c r="AEO68" s="188"/>
      <c r="AEP68" s="188"/>
      <c r="AEQ68" s="188"/>
      <c r="AER68" s="188"/>
      <c r="AES68" s="188"/>
      <c r="AET68" s="188"/>
      <c r="AEU68" s="188"/>
      <c r="AEV68" s="188"/>
      <c r="AEW68" s="188"/>
      <c r="AEX68" s="188"/>
      <c r="AEY68" s="188"/>
      <c r="AEZ68" s="188"/>
      <c r="AFA68" s="188"/>
      <c r="AFB68" s="188"/>
      <c r="AFC68" s="188"/>
      <c r="AFD68" s="188"/>
      <c r="AFE68" s="188"/>
      <c r="AFF68" s="188"/>
      <c r="AFG68" s="188"/>
      <c r="AFH68" s="188"/>
      <c r="AFI68" s="188"/>
      <c r="AFJ68" s="188"/>
      <c r="AFK68" s="188"/>
      <c r="AFL68" s="188"/>
      <c r="AFM68" s="188"/>
      <c r="AFN68" s="188"/>
      <c r="AFO68" s="188"/>
      <c r="AFP68" s="188"/>
      <c r="AFQ68" s="188"/>
      <c r="AFR68" s="188"/>
      <c r="AFS68" s="188"/>
      <c r="AFT68" s="188"/>
      <c r="AFU68" s="188"/>
      <c r="AFV68" s="188"/>
      <c r="AFW68" s="188"/>
      <c r="AFX68" s="188"/>
      <c r="AFY68" s="188"/>
      <c r="AFZ68" s="188"/>
      <c r="AGA68" s="188"/>
      <c r="AGB68" s="188"/>
      <c r="AGC68" s="188"/>
      <c r="AGD68" s="188"/>
      <c r="AGE68" s="188"/>
      <c r="AGF68" s="188"/>
      <c r="AGG68" s="188"/>
      <c r="AGH68" s="188"/>
      <c r="AGI68" s="188"/>
      <c r="AGJ68" s="188"/>
      <c r="AGK68" s="188"/>
      <c r="AGL68" s="188"/>
      <c r="AGM68" s="188"/>
      <c r="AGN68" s="188"/>
      <c r="AGO68" s="188"/>
      <c r="AGP68" s="188"/>
      <c r="AGQ68" s="188"/>
      <c r="AGR68" s="188"/>
      <c r="AGS68" s="188"/>
      <c r="AGT68" s="188"/>
      <c r="AGU68" s="188"/>
      <c r="AGV68" s="188"/>
      <c r="AGW68" s="188"/>
      <c r="AGX68" s="188"/>
      <c r="AGY68" s="188"/>
      <c r="AGZ68" s="188"/>
      <c r="AHA68" s="188"/>
      <c r="AHB68" s="188"/>
      <c r="AHC68" s="188"/>
      <c r="AHD68" s="188"/>
      <c r="AHE68" s="188"/>
      <c r="AHF68" s="188"/>
      <c r="AHG68" s="188"/>
      <c r="AHH68" s="188"/>
      <c r="AHI68" s="188"/>
      <c r="AHJ68" s="188"/>
      <c r="AHK68" s="188"/>
      <c r="AHL68" s="188"/>
      <c r="AHM68" s="188"/>
      <c r="AHN68" s="188"/>
      <c r="AHO68" s="188"/>
      <c r="AHP68" s="188"/>
      <c r="AHQ68" s="188"/>
      <c r="AHR68" s="188"/>
      <c r="AHS68" s="188"/>
      <c r="AHT68" s="188"/>
      <c r="AHU68" s="188"/>
      <c r="AHV68" s="188"/>
      <c r="AHW68" s="188"/>
      <c r="AHX68" s="188"/>
      <c r="AHY68" s="188"/>
      <c r="AHZ68" s="188"/>
      <c r="AIA68" s="188"/>
      <c r="AIB68" s="188"/>
      <c r="AIC68" s="188"/>
      <c r="AID68" s="188"/>
      <c r="AIE68" s="188"/>
      <c r="AIF68" s="188"/>
      <c r="AIG68" s="188"/>
      <c r="AIH68" s="188"/>
      <c r="AII68" s="188"/>
      <c r="AIJ68" s="188"/>
      <c r="AIK68" s="188"/>
      <c r="AIL68" s="188"/>
      <c r="AIM68" s="188"/>
      <c r="AIN68" s="188"/>
      <c r="AIO68" s="188"/>
      <c r="AIP68" s="188"/>
      <c r="AIQ68" s="188"/>
      <c r="AIR68" s="188"/>
      <c r="AIS68" s="188"/>
      <c r="AIT68" s="188"/>
      <c r="AIU68" s="188"/>
      <c r="AIV68" s="188"/>
      <c r="AIW68" s="188"/>
      <c r="AIX68" s="188"/>
      <c r="AIY68" s="188"/>
      <c r="AIZ68" s="188"/>
      <c r="AJA68" s="188"/>
      <c r="AJB68" s="188"/>
      <c r="AJC68" s="188"/>
      <c r="AJD68" s="188"/>
      <c r="AJE68" s="188"/>
      <c r="AJF68" s="188"/>
      <c r="AJG68" s="188"/>
      <c r="AJH68" s="188"/>
      <c r="AJI68" s="188"/>
      <c r="AJJ68" s="188"/>
      <c r="AJK68" s="188"/>
      <c r="AJL68" s="188"/>
      <c r="AJM68" s="188"/>
      <c r="AJN68" s="188"/>
      <c r="AJO68" s="188"/>
      <c r="AJP68" s="188"/>
      <c r="AJQ68" s="188"/>
      <c r="AJR68" s="188"/>
      <c r="AJS68" s="188"/>
      <c r="AJT68" s="188"/>
      <c r="AJU68" s="188"/>
      <c r="AJV68" s="188"/>
      <c r="AJW68" s="188"/>
      <c r="AJX68" s="188"/>
      <c r="AJY68" s="188"/>
      <c r="AJZ68" s="188"/>
      <c r="AKA68" s="188"/>
      <c r="AKB68" s="188"/>
      <c r="AKC68" s="188"/>
      <c r="AKD68" s="188"/>
      <c r="AKE68" s="188"/>
      <c r="AKF68" s="188"/>
      <c r="AKG68" s="188"/>
      <c r="AKH68" s="188"/>
      <c r="AKI68" s="188"/>
      <c r="AKJ68" s="188"/>
      <c r="AKK68" s="188"/>
      <c r="AKL68" s="188"/>
      <c r="AKM68" s="188"/>
      <c r="AKN68" s="188"/>
      <c r="AKO68" s="188"/>
      <c r="AKP68" s="188"/>
      <c r="AKQ68" s="188"/>
      <c r="AKR68" s="188"/>
      <c r="AKS68" s="188"/>
      <c r="AKT68" s="188"/>
      <c r="AKU68" s="188"/>
      <c r="AKV68" s="188"/>
      <c r="AKW68" s="188"/>
      <c r="AKX68" s="188"/>
      <c r="AKY68" s="188"/>
      <c r="AKZ68" s="188"/>
      <c r="ALA68" s="188"/>
      <c r="ALB68" s="188"/>
      <c r="ALC68" s="188"/>
      <c r="ALD68" s="188"/>
      <c r="ALE68" s="188"/>
      <c r="ALF68" s="188"/>
      <c r="ALG68" s="188"/>
      <c r="ALH68" s="188"/>
      <c r="ALI68" s="188"/>
      <c r="ALJ68" s="188"/>
      <c r="ALK68" s="188"/>
      <c r="ALL68" s="188"/>
      <c r="ALM68" s="188"/>
      <c r="ALN68" s="188"/>
      <c r="ALO68" s="188"/>
      <c r="ALP68" s="188"/>
      <c r="ALQ68" s="188"/>
      <c r="ALR68" s="188"/>
      <c r="ALS68" s="188"/>
      <c r="ALT68" s="188"/>
      <c r="ALU68" s="188"/>
      <c r="ALV68" s="188"/>
      <c r="ALW68" s="188"/>
      <c r="ALX68" s="188"/>
      <c r="ALY68" s="188"/>
      <c r="ALZ68" s="188"/>
      <c r="AMA68" s="188"/>
      <c r="AMB68" s="188"/>
      <c r="AMC68" s="188"/>
      <c r="AMD68" s="188"/>
      <c r="AME68" s="188"/>
      <c r="AMF68" s="188"/>
      <c r="AMG68" s="188"/>
      <c r="AMH68" s="188"/>
      <c r="AMI68" s="188"/>
      <c r="AMJ68" s="188"/>
      <c r="AMK68" s="188"/>
      <c r="AML68" s="188"/>
      <c r="AMM68" s="188"/>
      <c r="AMN68" s="188"/>
      <c r="AMO68" s="188"/>
      <c r="AMP68" s="188"/>
      <c r="AMQ68" s="188"/>
      <c r="AMR68" s="188"/>
      <c r="AMS68" s="188"/>
      <c r="AMT68" s="188"/>
      <c r="AMU68" s="188"/>
      <c r="AMV68" s="188"/>
      <c r="AMW68" s="188"/>
      <c r="AMX68" s="188"/>
      <c r="AMY68" s="188"/>
      <c r="AMZ68" s="188"/>
      <c r="ANA68" s="188"/>
      <c r="ANB68" s="188"/>
      <c r="ANC68" s="188"/>
      <c r="AND68" s="188"/>
      <c r="ANE68" s="188"/>
      <c r="ANF68" s="188"/>
      <c r="ANG68" s="188"/>
      <c r="ANH68" s="188"/>
      <c r="ANI68" s="188"/>
      <c r="ANJ68" s="188"/>
      <c r="ANK68" s="188"/>
      <c r="ANL68" s="188"/>
      <c r="ANM68" s="188"/>
      <c r="ANN68" s="188"/>
      <c r="ANO68" s="188"/>
      <c r="ANP68" s="188"/>
      <c r="ANQ68" s="188"/>
      <c r="ANR68" s="188"/>
      <c r="ANS68" s="188"/>
      <c r="ANT68" s="188"/>
      <c r="ANU68" s="188"/>
      <c r="ANV68" s="188"/>
      <c r="ANW68" s="188"/>
      <c r="ANX68" s="188"/>
      <c r="ANY68" s="188"/>
      <c r="ANZ68" s="188"/>
      <c r="AOA68" s="188"/>
      <c r="AOB68" s="188"/>
      <c r="AOC68" s="188"/>
      <c r="AOD68" s="188"/>
      <c r="AOE68" s="188"/>
      <c r="AOF68" s="188"/>
      <c r="AOG68" s="188"/>
      <c r="AOH68" s="188"/>
      <c r="AOI68" s="188"/>
      <c r="AOJ68" s="188"/>
      <c r="AOK68" s="188"/>
      <c r="AOL68" s="188"/>
      <c r="AOM68" s="188"/>
      <c r="AON68" s="188"/>
      <c r="AOO68" s="188"/>
      <c r="AOP68" s="188"/>
      <c r="AOQ68" s="188"/>
      <c r="AOR68" s="188"/>
      <c r="AOS68" s="188"/>
      <c r="AOT68" s="188"/>
      <c r="AOU68" s="188"/>
      <c r="AOV68" s="188"/>
      <c r="AOW68" s="188"/>
      <c r="AOX68" s="188"/>
      <c r="AOY68" s="188"/>
      <c r="AOZ68" s="188"/>
      <c r="APA68" s="188"/>
      <c r="APB68" s="188"/>
      <c r="APC68" s="188"/>
      <c r="APD68" s="188"/>
      <c r="APE68" s="188"/>
      <c r="APF68" s="188"/>
      <c r="APG68" s="188"/>
      <c r="APH68" s="188"/>
      <c r="API68" s="188"/>
      <c r="APJ68" s="188"/>
      <c r="APK68" s="188"/>
      <c r="APL68" s="188"/>
      <c r="APM68" s="188"/>
      <c r="APN68" s="188"/>
      <c r="APO68" s="188"/>
      <c r="APP68" s="188"/>
      <c r="APQ68" s="188"/>
      <c r="APR68" s="188"/>
      <c r="APS68" s="188"/>
      <c r="APT68" s="188"/>
      <c r="APU68" s="188"/>
      <c r="APV68" s="188"/>
      <c r="APW68" s="188"/>
      <c r="APX68" s="188"/>
      <c r="APY68" s="188"/>
      <c r="APZ68" s="188"/>
      <c r="AQA68" s="188"/>
      <c r="AQB68" s="188"/>
      <c r="AQC68" s="188"/>
      <c r="AQD68" s="188"/>
      <c r="AQE68" s="188"/>
      <c r="AQF68" s="188"/>
      <c r="AQG68" s="188"/>
      <c r="AQH68" s="188"/>
      <c r="AQI68" s="188"/>
      <c r="AQJ68" s="188"/>
      <c r="AQK68" s="188"/>
      <c r="AQL68" s="188"/>
      <c r="AQM68" s="188"/>
      <c r="AQN68" s="188"/>
      <c r="AQO68" s="188"/>
      <c r="AQP68" s="188"/>
      <c r="AQQ68" s="188"/>
      <c r="AQR68" s="188"/>
      <c r="AQS68" s="188"/>
      <c r="AQT68" s="188"/>
      <c r="AQU68" s="188"/>
      <c r="AQV68" s="188"/>
      <c r="AQW68" s="188"/>
      <c r="AQX68" s="188"/>
      <c r="AQY68" s="188"/>
      <c r="AQZ68" s="188"/>
      <c r="ARA68" s="188"/>
      <c r="ARB68" s="188"/>
      <c r="ARC68" s="188"/>
      <c r="ARD68" s="188"/>
      <c r="ARE68" s="188"/>
      <c r="ARF68" s="188"/>
      <c r="ARG68" s="188"/>
      <c r="ARH68" s="188"/>
      <c r="ARI68" s="188"/>
      <c r="ARJ68" s="188"/>
      <c r="ARK68" s="188"/>
      <c r="ARL68" s="188"/>
      <c r="ARM68" s="188"/>
      <c r="ARN68" s="188"/>
      <c r="ARO68" s="188"/>
      <c r="ARP68" s="188"/>
      <c r="ARQ68" s="188"/>
      <c r="ARR68" s="188"/>
      <c r="ARS68" s="188"/>
      <c r="ART68" s="188"/>
      <c r="ARU68" s="188"/>
      <c r="ARV68" s="188"/>
      <c r="ARW68" s="188"/>
      <c r="ARX68" s="188"/>
      <c r="ARY68" s="188"/>
      <c r="ARZ68" s="188"/>
      <c r="ASA68" s="188"/>
      <c r="ASB68" s="188"/>
      <c r="ASC68" s="188"/>
      <c r="ASD68" s="188"/>
      <c r="ASE68" s="188"/>
      <c r="ASF68" s="188"/>
      <c r="ASG68" s="188"/>
      <c r="ASH68" s="188"/>
      <c r="ASI68" s="188"/>
      <c r="ASJ68" s="188"/>
      <c r="ASK68" s="188"/>
      <c r="ASL68" s="188"/>
      <c r="ASM68" s="188"/>
      <c r="ASN68" s="188"/>
      <c r="ASO68" s="188"/>
      <c r="ASP68" s="188"/>
      <c r="ASQ68" s="188"/>
      <c r="ASR68" s="188"/>
      <c r="ASS68" s="188"/>
      <c r="AST68" s="188"/>
      <c r="ASU68" s="188"/>
      <c r="ASV68" s="188"/>
      <c r="ASW68" s="188"/>
      <c r="ASX68" s="188"/>
      <c r="ASY68" s="188"/>
      <c r="ASZ68" s="188"/>
      <c r="ATA68" s="188"/>
      <c r="ATB68" s="188"/>
      <c r="ATC68" s="188"/>
      <c r="ATD68" s="188"/>
      <c r="ATE68" s="188"/>
      <c r="ATF68" s="188"/>
      <c r="ATG68" s="188"/>
      <c r="ATH68" s="188"/>
      <c r="ATI68" s="188"/>
      <c r="ATJ68" s="188"/>
      <c r="ATK68" s="188"/>
      <c r="ATL68" s="188"/>
      <c r="ATM68" s="188"/>
      <c r="ATN68" s="188"/>
      <c r="ATO68" s="188"/>
      <c r="ATP68" s="188"/>
      <c r="ATQ68" s="188"/>
      <c r="ATR68" s="188"/>
      <c r="ATS68" s="188"/>
      <c r="ATT68" s="188"/>
      <c r="ATU68" s="188"/>
      <c r="ATV68" s="188"/>
      <c r="ATW68" s="188"/>
      <c r="ATX68" s="188"/>
      <c r="ATY68" s="188"/>
      <c r="ATZ68" s="188"/>
      <c r="AUA68" s="188"/>
      <c r="AUB68" s="188"/>
      <c r="AUC68" s="188"/>
      <c r="AUD68" s="188"/>
      <c r="AUE68" s="188"/>
      <c r="AUF68" s="188"/>
      <c r="AUG68" s="188"/>
      <c r="AUH68" s="188"/>
      <c r="AUI68" s="188"/>
      <c r="AUJ68" s="188"/>
      <c r="AUK68" s="188"/>
      <c r="AUL68" s="188"/>
      <c r="AUM68" s="188"/>
      <c r="AUN68" s="188"/>
      <c r="AUO68" s="188"/>
      <c r="AUP68" s="188"/>
      <c r="AUQ68" s="188"/>
      <c r="AUR68" s="188"/>
      <c r="AUS68" s="188"/>
      <c r="AUT68" s="188"/>
      <c r="AUU68" s="188"/>
      <c r="AUV68" s="188"/>
      <c r="AUW68" s="188"/>
      <c r="AUX68" s="188"/>
      <c r="AUY68" s="188"/>
      <c r="AUZ68" s="188"/>
      <c r="AVA68" s="188"/>
      <c r="AVB68" s="188"/>
      <c r="AVC68" s="188"/>
      <c r="AVD68" s="188"/>
      <c r="AVE68" s="188"/>
      <c r="AVF68" s="188"/>
      <c r="AVG68" s="188"/>
      <c r="AVH68" s="188"/>
      <c r="AVI68" s="188"/>
      <c r="AVJ68" s="188"/>
      <c r="AVK68" s="188"/>
      <c r="AVL68" s="188"/>
      <c r="AVM68" s="188"/>
      <c r="AVN68" s="188"/>
      <c r="AVO68" s="188"/>
      <c r="AVP68" s="188"/>
      <c r="AVQ68" s="188"/>
      <c r="AVR68" s="188"/>
      <c r="AVS68" s="188"/>
      <c r="AVT68" s="188"/>
      <c r="AVU68" s="188"/>
      <c r="AVV68" s="188"/>
      <c r="AVW68" s="188"/>
      <c r="AVX68" s="188"/>
      <c r="AVY68" s="188"/>
      <c r="AVZ68" s="188"/>
      <c r="AWA68" s="188"/>
      <c r="AWB68" s="188"/>
      <c r="AWC68" s="188"/>
      <c r="AWD68" s="188"/>
      <c r="AWE68" s="188"/>
      <c r="AWF68" s="188"/>
      <c r="AWG68" s="188"/>
      <c r="AWH68" s="188"/>
      <c r="AWI68" s="188"/>
      <c r="AWJ68" s="188"/>
      <c r="AWK68" s="188"/>
      <c r="AWL68" s="188"/>
      <c r="AWM68" s="188"/>
      <c r="AWN68" s="188"/>
      <c r="AWO68" s="188"/>
      <c r="AWP68" s="188"/>
      <c r="AWQ68" s="188"/>
      <c r="AWR68" s="188"/>
      <c r="AWS68" s="188"/>
      <c r="AWT68" s="188"/>
      <c r="AWU68" s="188"/>
      <c r="AWV68" s="188"/>
      <c r="AWW68" s="188"/>
      <c r="AWX68" s="188"/>
      <c r="AWY68" s="188"/>
      <c r="AWZ68" s="188"/>
      <c r="AXA68" s="188"/>
      <c r="AXB68" s="188"/>
      <c r="AXC68" s="188"/>
      <c r="AXD68" s="188"/>
      <c r="AXE68" s="188"/>
      <c r="AXF68" s="188"/>
      <c r="AXG68" s="188"/>
      <c r="AXH68" s="188"/>
      <c r="AXI68" s="188"/>
      <c r="AXJ68" s="188"/>
      <c r="AXK68" s="188"/>
      <c r="AXL68" s="188"/>
      <c r="AXM68" s="188"/>
      <c r="AXN68" s="188"/>
      <c r="AXO68" s="188"/>
      <c r="AXP68" s="188"/>
      <c r="AXQ68" s="188"/>
      <c r="AXR68" s="188"/>
      <c r="AXS68" s="188"/>
      <c r="AXT68" s="188"/>
      <c r="AXU68" s="188"/>
      <c r="AXV68" s="188"/>
      <c r="AXW68" s="188"/>
      <c r="AXX68" s="188"/>
      <c r="AXY68" s="188"/>
      <c r="AXZ68" s="188"/>
      <c r="AYA68" s="188"/>
      <c r="AYB68" s="188"/>
      <c r="AYC68" s="188"/>
      <c r="AYD68" s="188"/>
      <c r="AYE68" s="188"/>
      <c r="AYF68" s="188"/>
      <c r="AYG68" s="188"/>
      <c r="AYH68" s="188"/>
      <c r="AYI68" s="188"/>
      <c r="AYJ68" s="188"/>
      <c r="AYK68" s="188"/>
      <c r="AYL68" s="188"/>
      <c r="AYM68" s="188"/>
      <c r="AYN68" s="188"/>
      <c r="AYO68" s="188"/>
      <c r="AYP68" s="188"/>
      <c r="AYQ68" s="188"/>
      <c r="AYR68" s="188"/>
      <c r="AYS68" s="188"/>
      <c r="AYT68" s="188"/>
      <c r="AYU68" s="188"/>
      <c r="AYV68" s="188"/>
      <c r="AYW68" s="188"/>
      <c r="AYX68" s="188"/>
      <c r="AYY68" s="188"/>
      <c r="AYZ68" s="188"/>
      <c r="AZA68" s="188"/>
      <c r="AZB68" s="188"/>
      <c r="AZC68" s="188"/>
      <c r="AZD68" s="188"/>
      <c r="AZE68" s="188"/>
      <c r="AZF68" s="188"/>
      <c r="AZG68" s="188"/>
      <c r="AZH68" s="188"/>
      <c r="AZI68" s="188"/>
      <c r="AZJ68" s="188"/>
      <c r="AZK68" s="188"/>
      <c r="AZL68" s="188"/>
      <c r="AZM68" s="188"/>
      <c r="AZN68" s="188"/>
      <c r="AZO68" s="188"/>
      <c r="AZP68" s="188"/>
      <c r="AZQ68" s="188"/>
      <c r="AZR68" s="188"/>
      <c r="AZS68" s="188"/>
      <c r="AZT68" s="188"/>
      <c r="AZU68" s="188"/>
      <c r="AZV68" s="188"/>
      <c r="AZW68" s="188"/>
      <c r="AZX68" s="188"/>
      <c r="AZY68" s="188"/>
      <c r="AZZ68" s="188"/>
      <c r="BAA68" s="188"/>
      <c r="BAB68" s="188"/>
      <c r="BAC68" s="188"/>
      <c r="BAD68" s="188"/>
      <c r="BAE68" s="188"/>
      <c r="BAF68" s="188"/>
      <c r="BAG68" s="188"/>
      <c r="BAH68" s="188"/>
      <c r="BAI68" s="188"/>
      <c r="BAJ68" s="188"/>
      <c r="BAK68" s="188"/>
      <c r="BAL68" s="188"/>
      <c r="BAM68" s="188"/>
      <c r="BAN68" s="188"/>
      <c r="BAO68" s="188"/>
      <c r="BAP68" s="188"/>
      <c r="BAQ68" s="188"/>
      <c r="BAR68" s="188"/>
      <c r="BAS68" s="188"/>
      <c r="BAT68" s="188"/>
      <c r="BAU68" s="188"/>
      <c r="BAV68" s="188"/>
      <c r="BAW68" s="188"/>
      <c r="BAX68" s="188"/>
      <c r="BAY68" s="188"/>
      <c r="BAZ68" s="188"/>
      <c r="BBA68" s="188"/>
      <c r="BBB68" s="188"/>
      <c r="BBC68" s="188"/>
      <c r="BBD68" s="188"/>
      <c r="BBE68" s="188"/>
      <c r="BBF68" s="188"/>
      <c r="BBG68" s="188"/>
      <c r="BBH68" s="188"/>
      <c r="BBI68" s="188"/>
      <c r="BBJ68" s="188"/>
      <c r="BBK68" s="188"/>
      <c r="BBL68" s="188"/>
      <c r="BBM68" s="188"/>
      <c r="BBN68" s="188"/>
      <c r="BBO68" s="188"/>
      <c r="BBP68" s="188"/>
      <c r="BBQ68" s="188"/>
      <c r="BBR68" s="188"/>
      <c r="BBS68" s="188"/>
      <c r="BBT68" s="188"/>
      <c r="BBU68" s="188"/>
      <c r="BBV68" s="188"/>
      <c r="BBW68" s="188"/>
      <c r="BBX68" s="188"/>
      <c r="BBY68" s="188"/>
      <c r="BBZ68" s="188"/>
      <c r="BCA68" s="188"/>
      <c r="BCB68" s="188"/>
      <c r="BCC68" s="188"/>
      <c r="BCD68" s="188"/>
      <c r="BCE68" s="188"/>
      <c r="BCF68" s="188"/>
      <c r="BCG68" s="188"/>
      <c r="BCH68" s="188"/>
      <c r="BCI68" s="188"/>
      <c r="BCJ68" s="188"/>
      <c r="BCK68" s="188"/>
      <c r="BCL68" s="188"/>
      <c r="BCM68" s="188"/>
      <c r="BCN68" s="188"/>
      <c r="BCO68" s="188"/>
      <c r="BCP68" s="188"/>
      <c r="BCQ68" s="188"/>
      <c r="BCR68" s="188"/>
      <c r="BCS68" s="188"/>
      <c r="BCT68" s="188"/>
      <c r="BCU68" s="188"/>
      <c r="BCV68" s="188"/>
      <c r="BCW68" s="188"/>
      <c r="BCX68" s="188"/>
      <c r="BCY68" s="188"/>
      <c r="BCZ68" s="188"/>
      <c r="BDA68" s="188"/>
      <c r="BDB68" s="188"/>
      <c r="BDC68" s="188"/>
      <c r="BDD68" s="188"/>
      <c r="BDE68" s="188"/>
      <c r="BDF68" s="188"/>
      <c r="BDG68" s="188"/>
      <c r="BDH68" s="188"/>
      <c r="BDI68" s="188"/>
      <c r="BDJ68" s="188"/>
      <c r="BDK68" s="188"/>
      <c r="BDL68" s="188"/>
      <c r="BDM68" s="188"/>
      <c r="BDN68" s="188"/>
      <c r="BDO68" s="188"/>
      <c r="BDP68" s="188"/>
      <c r="BDQ68" s="188"/>
      <c r="BDR68" s="188"/>
      <c r="BDS68" s="188"/>
      <c r="BDT68" s="188"/>
      <c r="BDU68" s="188"/>
      <c r="BDV68" s="188"/>
      <c r="BDW68" s="188"/>
      <c r="BDX68" s="188"/>
      <c r="BDY68" s="188"/>
      <c r="BDZ68" s="188"/>
      <c r="BEA68" s="188"/>
      <c r="BEB68" s="188"/>
      <c r="BEC68" s="188"/>
      <c r="BED68" s="188"/>
      <c r="BEE68" s="188"/>
      <c r="BEF68" s="188"/>
      <c r="BEG68" s="188"/>
      <c r="BEH68" s="188"/>
      <c r="BEI68" s="188"/>
      <c r="BEJ68" s="188"/>
      <c r="BEK68" s="188"/>
      <c r="BEL68" s="188"/>
      <c r="BEM68" s="188"/>
      <c r="BEN68" s="188"/>
      <c r="BEO68" s="188"/>
      <c r="BEP68" s="188"/>
      <c r="BEQ68" s="188"/>
      <c r="BER68" s="188"/>
      <c r="BES68" s="188"/>
      <c r="BET68" s="188"/>
      <c r="BEU68" s="188"/>
      <c r="BEV68" s="188"/>
      <c r="BEW68" s="188"/>
      <c r="BEX68" s="188"/>
      <c r="BEY68" s="188"/>
      <c r="BEZ68" s="188"/>
      <c r="BFA68" s="188"/>
      <c r="BFB68" s="188"/>
      <c r="BFC68" s="188"/>
      <c r="BFD68" s="188"/>
      <c r="BFE68" s="188"/>
      <c r="BFF68" s="188"/>
      <c r="BFG68" s="188"/>
      <c r="BFH68" s="188"/>
      <c r="BFI68" s="188"/>
      <c r="BFJ68" s="188"/>
      <c r="BFK68" s="188"/>
      <c r="BFL68" s="188"/>
      <c r="BFM68" s="188"/>
      <c r="BFN68" s="188"/>
      <c r="BFO68" s="188"/>
      <c r="BFP68" s="188"/>
      <c r="BFQ68" s="188"/>
      <c r="BFR68" s="188"/>
      <c r="BFS68" s="188"/>
      <c r="BFT68" s="188"/>
      <c r="BFU68" s="188"/>
      <c r="BFV68" s="188"/>
      <c r="BFW68" s="188"/>
      <c r="BFX68" s="188"/>
      <c r="BFY68" s="188"/>
      <c r="BFZ68" s="188"/>
      <c r="BGA68" s="188"/>
      <c r="BGB68" s="188"/>
      <c r="BGC68" s="188"/>
      <c r="BGD68" s="188"/>
      <c r="BGE68" s="188"/>
      <c r="BGF68" s="188"/>
      <c r="BGG68" s="188"/>
      <c r="BGH68" s="188"/>
      <c r="BGI68" s="188"/>
      <c r="BGJ68" s="188"/>
      <c r="BGK68" s="188"/>
      <c r="BGL68" s="188"/>
      <c r="BGM68" s="188"/>
      <c r="BGN68" s="188"/>
      <c r="BGO68" s="188"/>
      <c r="BGP68" s="188"/>
      <c r="BGQ68" s="188"/>
      <c r="BGR68" s="188"/>
      <c r="BGS68" s="188"/>
      <c r="BGT68" s="188"/>
      <c r="BGU68" s="188"/>
      <c r="BGV68" s="188"/>
      <c r="BGW68" s="188"/>
      <c r="BGX68" s="188"/>
      <c r="BGY68" s="188"/>
      <c r="BGZ68" s="188"/>
      <c r="BHA68" s="188"/>
      <c r="BHB68" s="188"/>
      <c r="BHC68" s="188"/>
      <c r="BHD68" s="188"/>
      <c r="BHE68" s="188"/>
      <c r="BHF68" s="188"/>
      <c r="BHG68" s="188"/>
      <c r="BHH68" s="188"/>
      <c r="BHI68" s="188"/>
      <c r="BHJ68" s="188"/>
      <c r="BHK68" s="188"/>
      <c r="BHL68" s="188"/>
      <c r="BHM68" s="188"/>
      <c r="BHN68" s="188"/>
      <c r="BHO68" s="188"/>
      <c r="BHP68" s="188"/>
      <c r="BHQ68" s="188"/>
      <c r="BHR68" s="188"/>
      <c r="BHS68" s="188"/>
      <c r="BHT68" s="188"/>
      <c r="BHU68" s="188"/>
      <c r="BHV68" s="188"/>
      <c r="BHW68" s="188"/>
      <c r="BHX68" s="188"/>
      <c r="BHY68" s="188"/>
      <c r="BHZ68" s="188"/>
      <c r="BIA68" s="188"/>
      <c r="BIB68" s="188"/>
      <c r="BIC68" s="188"/>
      <c r="BID68" s="188"/>
      <c r="BIE68" s="188"/>
      <c r="BIF68" s="188"/>
      <c r="BIG68" s="188"/>
      <c r="BIH68" s="188"/>
      <c r="BII68" s="188"/>
      <c r="BIJ68" s="188"/>
      <c r="BIK68" s="188"/>
      <c r="BIL68" s="188"/>
      <c r="BIM68" s="188"/>
      <c r="BIN68" s="188"/>
      <c r="BIO68" s="188"/>
      <c r="BIP68" s="188"/>
      <c r="BIQ68" s="188"/>
      <c r="BIR68" s="188"/>
      <c r="BIS68" s="188"/>
      <c r="BIT68" s="188"/>
      <c r="BIU68" s="188"/>
      <c r="BIV68" s="188"/>
      <c r="BIW68" s="188"/>
      <c r="BIX68" s="188"/>
      <c r="BIY68" s="188"/>
      <c r="BIZ68" s="188"/>
      <c r="BJA68" s="188"/>
      <c r="BJB68" s="188"/>
      <c r="BJC68" s="188"/>
      <c r="BJD68" s="188"/>
      <c r="BJE68" s="188"/>
      <c r="BJF68" s="188"/>
      <c r="BJG68" s="188"/>
      <c r="BJH68" s="188"/>
      <c r="BJI68" s="188"/>
      <c r="BJJ68" s="188"/>
      <c r="BJK68" s="188"/>
      <c r="BJL68" s="188"/>
      <c r="BJM68" s="188"/>
      <c r="BJN68" s="188"/>
      <c r="BJO68" s="188"/>
      <c r="BJP68" s="188"/>
      <c r="BJQ68" s="188"/>
      <c r="BJR68" s="188"/>
      <c r="BJS68" s="188"/>
      <c r="BJT68" s="188"/>
      <c r="BJU68" s="188"/>
      <c r="BJV68" s="188"/>
      <c r="BJW68" s="188"/>
      <c r="BJX68" s="188"/>
      <c r="BJY68" s="188"/>
      <c r="BJZ68" s="188"/>
      <c r="BKA68" s="188"/>
      <c r="BKB68" s="188"/>
      <c r="BKC68" s="188"/>
      <c r="BKD68" s="188"/>
      <c r="BKE68" s="188"/>
      <c r="BKF68" s="188"/>
      <c r="BKG68" s="188"/>
      <c r="BKH68" s="188"/>
      <c r="BKI68" s="188"/>
      <c r="BKJ68" s="188"/>
      <c r="BKK68" s="188"/>
      <c r="BKL68" s="188"/>
      <c r="BKM68" s="188"/>
      <c r="BKN68" s="188"/>
    </row>
    <row r="69" spans="1:1652" s="21" customFormat="1" x14ac:dyDescent="0.3">
      <c r="A69" s="171"/>
      <c r="B69" s="189"/>
      <c r="C69" s="189"/>
      <c r="D69" s="189"/>
      <c r="E69" s="189"/>
      <c r="F69" s="189"/>
      <c r="G69" s="189"/>
      <c r="I69" s="188"/>
      <c r="J69" s="188"/>
      <c r="K69" s="188"/>
      <c r="L69" s="188"/>
      <c r="M69" s="188"/>
      <c r="N69" s="188"/>
      <c r="O69" s="188"/>
      <c r="P69" s="188"/>
      <c r="Q69" s="188"/>
      <c r="R69" s="188"/>
      <c r="S69" s="188"/>
      <c r="T69" s="188"/>
      <c r="U69" s="188"/>
      <c r="V69" s="188"/>
      <c r="W69" s="188"/>
      <c r="X69" s="188"/>
      <c r="Y69" s="188"/>
      <c r="Z69" s="188"/>
      <c r="AA69" s="188"/>
      <c r="AB69" s="188"/>
      <c r="AC69" s="188"/>
      <c r="AD69" s="188"/>
      <c r="AE69" s="188"/>
      <c r="AF69" s="188"/>
      <c r="AG69" s="188"/>
      <c r="AH69" s="188"/>
      <c r="AI69" s="188"/>
      <c r="AJ69" s="188"/>
      <c r="AK69" s="188"/>
      <c r="AL69" s="188"/>
      <c r="AM69" s="188"/>
      <c r="AN69" s="188"/>
      <c r="AO69" s="188"/>
      <c r="AP69" s="188"/>
      <c r="AQ69" s="188"/>
      <c r="AR69" s="188"/>
      <c r="AS69" s="188"/>
      <c r="AT69" s="189"/>
      <c r="AU69" s="189"/>
      <c r="AV69" s="189"/>
      <c r="AW69" s="189"/>
      <c r="AX69" s="189"/>
      <c r="AY69" s="189"/>
      <c r="AZ69" s="189"/>
      <c r="BA69" s="189"/>
      <c r="BB69" s="189"/>
      <c r="BC69" s="189"/>
      <c r="BD69" s="189"/>
      <c r="BE69" s="188"/>
      <c r="BF69" s="188"/>
      <c r="BG69" s="188"/>
      <c r="BH69" s="188"/>
      <c r="BI69" s="188"/>
      <c r="BJ69" s="188"/>
      <c r="BK69" s="188"/>
      <c r="BL69" s="188"/>
      <c r="BM69" s="188"/>
      <c r="BN69" s="188"/>
      <c r="BO69" s="188"/>
      <c r="BP69" s="188"/>
      <c r="BQ69" s="188"/>
      <c r="BR69" s="188"/>
      <c r="BS69" s="188"/>
      <c r="BT69" s="188"/>
      <c r="BU69" s="188"/>
      <c r="BV69" s="188"/>
      <c r="BW69" s="188"/>
      <c r="BX69" s="188"/>
      <c r="BY69" s="188"/>
      <c r="BZ69" s="188"/>
      <c r="CA69" s="188"/>
      <c r="CB69" s="188"/>
      <c r="CC69" s="188"/>
      <c r="CD69" s="188"/>
      <c r="CE69" s="188"/>
      <c r="CF69" s="188"/>
      <c r="CG69" s="188"/>
      <c r="CH69" s="188"/>
      <c r="CI69" s="188"/>
      <c r="CJ69" s="188"/>
      <c r="CK69" s="188"/>
      <c r="CL69" s="188"/>
      <c r="CM69" s="188"/>
      <c r="CN69" s="188"/>
      <c r="CO69" s="188"/>
      <c r="CP69" s="188"/>
      <c r="CQ69" s="188"/>
      <c r="CR69" s="188"/>
      <c r="CS69" s="188"/>
      <c r="CT69" s="188"/>
      <c r="CU69" s="188"/>
      <c r="CV69" s="188"/>
      <c r="CW69" s="188"/>
      <c r="CX69" s="188"/>
      <c r="CY69" s="188"/>
      <c r="CZ69" s="188"/>
      <c r="DA69" s="188"/>
      <c r="DB69" s="188"/>
      <c r="DC69" s="188"/>
      <c r="DD69" s="188"/>
      <c r="DE69" s="188"/>
      <c r="DF69" s="188"/>
      <c r="DG69" s="188"/>
      <c r="DH69" s="188"/>
      <c r="DI69" s="188"/>
      <c r="DJ69" s="188"/>
      <c r="DK69" s="188"/>
      <c r="DL69" s="188"/>
      <c r="DM69" s="188"/>
      <c r="DN69" s="188"/>
      <c r="DO69" s="188"/>
      <c r="DP69" s="188"/>
      <c r="DQ69" s="188"/>
      <c r="DR69" s="188"/>
      <c r="DS69" s="188"/>
      <c r="DT69" s="188"/>
      <c r="DU69" s="188"/>
      <c r="DV69" s="188"/>
      <c r="DW69" s="188"/>
      <c r="DX69" s="188"/>
      <c r="DY69" s="188"/>
      <c r="DZ69" s="188"/>
      <c r="EA69" s="188"/>
      <c r="EB69" s="188"/>
      <c r="EC69" s="188"/>
      <c r="ED69" s="188"/>
      <c r="EE69" s="188"/>
      <c r="EF69" s="188"/>
      <c r="EG69" s="188"/>
      <c r="EH69" s="188"/>
      <c r="EI69" s="188"/>
      <c r="EJ69" s="188"/>
      <c r="EK69" s="188"/>
      <c r="EL69" s="188"/>
      <c r="EM69" s="188"/>
      <c r="EN69" s="188"/>
      <c r="EO69" s="188"/>
      <c r="EP69" s="188"/>
      <c r="EQ69" s="188"/>
      <c r="ER69" s="188"/>
      <c r="ES69" s="188"/>
      <c r="ET69" s="188"/>
      <c r="EU69" s="188"/>
      <c r="EV69" s="188"/>
      <c r="EW69" s="188"/>
      <c r="EX69" s="188"/>
      <c r="EY69" s="188"/>
      <c r="EZ69" s="188"/>
      <c r="FA69" s="188"/>
      <c r="FB69" s="188"/>
      <c r="FC69" s="188"/>
      <c r="FD69" s="188"/>
      <c r="FE69" s="188"/>
      <c r="FF69" s="188"/>
      <c r="FG69" s="188"/>
      <c r="FH69" s="188"/>
      <c r="FI69" s="188"/>
      <c r="FJ69" s="188"/>
      <c r="FK69" s="188"/>
      <c r="FL69" s="188"/>
      <c r="FM69" s="188"/>
      <c r="FN69" s="188"/>
      <c r="FO69" s="188"/>
      <c r="FP69" s="188"/>
      <c r="FQ69" s="188"/>
      <c r="FR69" s="188"/>
      <c r="FS69" s="188"/>
      <c r="FT69" s="188"/>
      <c r="FU69" s="188"/>
      <c r="FV69" s="188"/>
      <c r="FW69" s="188"/>
      <c r="FX69" s="188"/>
      <c r="FY69" s="188"/>
      <c r="FZ69" s="188"/>
      <c r="GA69" s="188"/>
      <c r="GB69" s="188"/>
      <c r="GC69" s="188"/>
      <c r="GD69" s="188"/>
      <c r="GE69" s="188"/>
      <c r="GF69" s="188"/>
      <c r="GG69" s="188"/>
      <c r="GH69" s="188"/>
      <c r="GI69" s="188"/>
      <c r="GJ69" s="188"/>
      <c r="GK69" s="188"/>
      <c r="GL69" s="188"/>
      <c r="GM69" s="188"/>
      <c r="GN69" s="188"/>
      <c r="GO69" s="188"/>
      <c r="GP69" s="188"/>
      <c r="GQ69" s="188"/>
      <c r="GR69" s="188"/>
      <c r="GS69" s="188"/>
      <c r="GT69" s="188"/>
      <c r="GU69" s="188"/>
      <c r="GV69" s="188"/>
      <c r="GW69" s="188"/>
      <c r="GX69" s="188"/>
      <c r="GY69" s="188"/>
      <c r="GZ69" s="188"/>
      <c r="HA69" s="188"/>
      <c r="HB69" s="188"/>
      <c r="HC69" s="188"/>
      <c r="HD69" s="188"/>
      <c r="HE69" s="188"/>
      <c r="HF69" s="188"/>
      <c r="HG69" s="188"/>
      <c r="HH69" s="188"/>
      <c r="HI69" s="188"/>
      <c r="HJ69" s="188"/>
      <c r="HK69" s="188"/>
      <c r="HL69" s="188"/>
      <c r="HM69" s="188"/>
      <c r="HN69" s="188"/>
      <c r="HO69" s="188"/>
      <c r="HP69" s="188"/>
      <c r="HQ69" s="188"/>
      <c r="HR69" s="188"/>
      <c r="HS69" s="188"/>
      <c r="HT69" s="188"/>
      <c r="HU69" s="188"/>
      <c r="HV69" s="188"/>
      <c r="HW69" s="188"/>
      <c r="HX69" s="188"/>
      <c r="HY69" s="188"/>
      <c r="HZ69" s="188"/>
      <c r="IA69" s="188"/>
      <c r="IB69" s="188"/>
      <c r="IC69" s="188"/>
      <c r="ID69" s="188"/>
      <c r="IE69" s="188"/>
      <c r="IF69" s="188"/>
      <c r="IG69" s="188"/>
      <c r="IH69" s="188"/>
      <c r="II69" s="188"/>
      <c r="IJ69" s="188"/>
      <c r="IK69" s="188"/>
      <c r="IL69" s="188"/>
      <c r="IM69" s="188"/>
      <c r="IN69" s="188"/>
      <c r="IO69" s="188"/>
      <c r="IP69" s="188"/>
      <c r="IQ69" s="188"/>
      <c r="IR69" s="188"/>
      <c r="IS69" s="188"/>
      <c r="IT69" s="188"/>
      <c r="IU69" s="188"/>
      <c r="IV69" s="188"/>
      <c r="IW69" s="188"/>
      <c r="IX69" s="188"/>
      <c r="IY69" s="188"/>
      <c r="IZ69" s="188"/>
      <c r="JA69" s="188"/>
      <c r="JB69" s="188"/>
      <c r="JC69" s="188"/>
      <c r="JD69" s="188"/>
      <c r="JE69" s="188"/>
      <c r="JF69" s="188"/>
      <c r="JG69" s="188"/>
      <c r="JH69" s="188"/>
      <c r="JI69" s="188"/>
      <c r="JJ69" s="188"/>
      <c r="JK69" s="188"/>
      <c r="JL69" s="188"/>
      <c r="JM69" s="188"/>
      <c r="JN69" s="188"/>
      <c r="JO69" s="188"/>
      <c r="JP69" s="188"/>
      <c r="JQ69" s="188"/>
      <c r="JR69" s="188"/>
      <c r="JS69" s="188"/>
      <c r="JT69" s="188"/>
      <c r="JU69" s="188"/>
      <c r="JV69" s="188"/>
      <c r="JW69" s="188"/>
      <c r="JX69" s="188"/>
      <c r="JY69" s="188"/>
      <c r="JZ69" s="188"/>
      <c r="KA69" s="188"/>
      <c r="KB69" s="188"/>
      <c r="KC69" s="188"/>
      <c r="KD69" s="188"/>
      <c r="KE69" s="188"/>
      <c r="KF69" s="188"/>
      <c r="KG69" s="188"/>
      <c r="KH69" s="188"/>
      <c r="KI69" s="188"/>
      <c r="KJ69" s="188"/>
      <c r="KK69" s="188"/>
      <c r="KL69" s="188"/>
      <c r="KM69" s="188"/>
      <c r="KN69" s="188"/>
      <c r="KO69" s="188"/>
      <c r="KP69" s="188"/>
      <c r="KQ69" s="188"/>
      <c r="KR69" s="188"/>
      <c r="KS69" s="188"/>
      <c r="KT69" s="188"/>
      <c r="KU69" s="188"/>
      <c r="KV69" s="188"/>
      <c r="KW69" s="188"/>
      <c r="KX69" s="188"/>
      <c r="KY69" s="188"/>
      <c r="KZ69" s="188"/>
      <c r="LA69" s="188"/>
      <c r="LB69" s="188"/>
      <c r="LC69" s="188"/>
      <c r="LD69" s="188"/>
      <c r="LE69" s="188"/>
      <c r="LF69" s="188"/>
      <c r="LG69" s="188"/>
      <c r="LH69" s="188"/>
      <c r="LI69" s="188"/>
      <c r="LJ69" s="188"/>
      <c r="LK69" s="188"/>
      <c r="LL69" s="188"/>
      <c r="LM69" s="188"/>
      <c r="LN69" s="188"/>
      <c r="LO69" s="188"/>
      <c r="LP69" s="188"/>
      <c r="LQ69" s="188"/>
      <c r="LR69" s="188"/>
      <c r="LS69" s="188"/>
      <c r="LT69" s="188"/>
      <c r="LU69" s="188"/>
      <c r="LV69" s="188"/>
      <c r="LW69" s="188"/>
      <c r="LX69" s="188"/>
      <c r="LY69" s="188"/>
      <c r="LZ69" s="188"/>
      <c r="MA69" s="188"/>
      <c r="MB69" s="188"/>
      <c r="MC69" s="188"/>
      <c r="MD69" s="188"/>
      <c r="ME69" s="188"/>
      <c r="MF69" s="188"/>
      <c r="MG69" s="188"/>
      <c r="MH69" s="188"/>
      <c r="MI69" s="188"/>
      <c r="MJ69" s="188"/>
      <c r="MK69" s="188"/>
      <c r="ML69" s="188"/>
      <c r="MM69" s="188"/>
      <c r="MN69" s="188"/>
      <c r="MO69" s="188"/>
      <c r="MP69" s="188"/>
      <c r="MQ69" s="188"/>
      <c r="MR69" s="188"/>
      <c r="MS69" s="188"/>
      <c r="MT69" s="188"/>
      <c r="MU69" s="188"/>
      <c r="MV69" s="188"/>
      <c r="MW69" s="188"/>
      <c r="MX69" s="188"/>
      <c r="MY69" s="188"/>
      <c r="MZ69" s="188"/>
      <c r="NA69" s="188"/>
      <c r="NB69" s="188"/>
      <c r="NC69" s="188"/>
      <c r="ND69" s="188"/>
      <c r="NE69" s="188"/>
      <c r="NF69" s="188"/>
      <c r="NG69" s="188"/>
      <c r="NH69" s="188"/>
      <c r="NI69" s="188"/>
      <c r="NJ69" s="188"/>
      <c r="NK69" s="188"/>
      <c r="NL69" s="188"/>
      <c r="NM69" s="188"/>
      <c r="NN69" s="188"/>
      <c r="NO69" s="188"/>
      <c r="NP69" s="188"/>
      <c r="NQ69" s="188"/>
      <c r="NR69" s="188"/>
      <c r="NS69" s="188"/>
      <c r="NT69" s="188"/>
      <c r="NU69" s="188"/>
      <c r="NV69" s="188"/>
      <c r="NW69" s="188"/>
      <c r="NX69" s="188"/>
      <c r="NY69" s="188"/>
      <c r="NZ69" s="188"/>
      <c r="OA69" s="188"/>
      <c r="OB69" s="188"/>
      <c r="OC69" s="188"/>
      <c r="OD69" s="188"/>
      <c r="OE69" s="188"/>
      <c r="OF69" s="188"/>
      <c r="OG69" s="188"/>
      <c r="OH69" s="188"/>
      <c r="OI69" s="188"/>
      <c r="OJ69" s="188"/>
      <c r="OK69" s="188"/>
      <c r="OL69" s="188"/>
      <c r="OM69" s="188"/>
      <c r="ON69" s="188"/>
      <c r="OO69" s="188"/>
      <c r="OP69" s="188"/>
      <c r="OQ69" s="188"/>
      <c r="OR69" s="188"/>
      <c r="OS69" s="188"/>
      <c r="OT69" s="188"/>
      <c r="OU69" s="188"/>
      <c r="OV69" s="188"/>
      <c r="OW69" s="188"/>
      <c r="OX69" s="188"/>
      <c r="OY69" s="188"/>
      <c r="OZ69" s="188"/>
      <c r="PA69" s="188"/>
      <c r="PB69" s="188"/>
      <c r="PC69" s="188"/>
      <c r="PD69" s="188"/>
      <c r="PE69" s="188"/>
      <c r="PF69" s="188"/>
      <c r="PG69" s="188"/>
      <c r="PH69" s="188"/>
      <c r="PI69" s="188"/>
      <c r="PJ69" s="188"/>
      <c r="PK69" s="188"/>
      <c r="PL69" s="188"/>
      <c r="PM69" s="188"/>
      <c r="PN69" s="188"/>
      <c r="PO69" s="188"/>
      <c r="PP69" s="188"/>
      <c r="PQ69" s="188"/>
      <c r="PR69" s="188"/>
      <c r="PS69" s="188"/>
      <c r="PT69" s="188"/>
      <c r="PU69" s="188"/>
      <c r="PV69" s="188"/>
      <c r="PW69" s="188"/>
      <c r="PX69" s="188"/>
      <c r="PY69" s="188"/>
      <c r="PZ69" s="188"/>
      <c r="QA69" s="188"/>
      <c r="QB69" s="188"/>
      <c r="QC69" s="188"/>
      <c r="QD69" s="188"/>
      <c r="QE69" s="188"/>
      <c r="QF69" s="188"/>
      <c r="QG69" s="188"/>
      <c r="QH69" s="188"/>
      <c r="QI69" s="188"/>
      <c r="QJ69" s="188"/>
      <c r="QK69" s="188"/>
      <c r="QL69" s="188"/>
      <c r="QM69" s="188"/>
      <c r="QN69" s="188"/>
      <c r="QO69" s="188"/>
      <c r="QP69" s="188"/>
      <c r="QQ69" s="188"/>
      <c r="QR69" s="188"/>
      <c r="QS69" s="188"/>
      <c r="QT69" s="188"/>
      <c r="QU69" s="188"/>
      <c r="QV69" s="188"/>
      <c r="QW69" s="188"/>
      <c r="QX69" s="188"/>
      <c r="QY69" s="188"/>
      <c r="QZ69" s="188"/>
      <c r="RA69" s="188"/>
      <c r="RB69" s="188"/>
      <c r="RC69" s="188"/>
      <c r="RD69" s="188"/>
      <c r="RE69" s="188"/>
      <c r="RF69" s="188"/>
      <c r="RG69" s="188"/>
      <c r="RH69" s="188"/>
      <c r="RI69" s="188"/>
      <c r="RJ69" s="188"/>
      <c r="RK69" s="188"/>
      <c r="RL69" s="188"/>
      <c r="RM69" s="188"/>
      <c r="RN69" s="188"/>
      <c r="RO69" s="188"/>
      <c r="RP69" s="188"/>
      <c r="RQ69" s="188"/>
      <c r="RR69" s="188"/>
      <c r="RS69" s="188"/>
      <c r="RT69" s="188"/>
      <c r="RU69" s="188"/>
      <c r="RV69" s="188"/>
      <c r="RW69" s="188"/>
      <c r="RX69" s="188"/>
      <c r="RY69" s="188"/>
      <c r="RZ69" s="188"/>
      <c r="SA69" s="188"/>
      <c r="SB69" s="188"/>
      <c r="SC69" s="188"/>
      <c r="SD69" s="188"/>
      <c r="SE69" s="188"/>
      <c r="SF69" s="188"/>
      <c r="SG69" s="188"/>
      <c r="SH69" s="188"/>
      <c r="SI69" s="188"/>
      <c r="SJ69" s="188"/>
      <c r="SK69" s="188"/>
      <c r="SL69" s="188"/>
      <c r="SM69" s="188"/>
      <c r="SN69" s="188"/>
      <c r="SO69" s="188"/>
      <c r="SP69" s="188"/>
      <c r="SQ69" s="188"/>
      <c r="SR69" s="188"/>
      <c r="SS69" s="188"/>
      <c r="ST69" s="188"/>
      <c r="SU69" s="188"/>
      <c r="SV69" s="188"/>
      <c r="SW69" s="188"/>
      <c r="SX69" s="188"/>
      <c r="SY69" s="188"/>
      <c r="SZ69" s="188"/>
      <c r="TA69" s="188"/>
      <c r="TB69" s="188"/>
      <c r="TC69" s="188"/>
      <c r="TD69" s="188"/>
      <c r="TE69" s="188"/>
      <c r="TF69" s="188"/>
      <c r="TG69" s="188"/>
      <c r="TH69" s="188"/>
      <c r="TI69" s="188"/>
      <c r="TJ69" s="188"/>
      <c r="TK69" s="188"/>
      <c r="TL69" s="188"/>
      <c r="TM69" s="188"/>
      <c r="TN69" s="188"/>
      <c r="TO69" s="188"/>
      <c r="TP69" s="188"/>
      <c r="TQ69" s="188"/>
      <c r="TR69" s="188"/>
      <c r="TS69" s="188"/>
      <c r="TT69" s="188"/>
      <c r="TU69" s="188"/>
      <c r="TV69" s="188"/>
      <c r="TW69" s="188"/>
      <c r="TX69" s="188"/>
      <c r="TY69" s="188"/>
      <c r="TZ69" s="188"/>
      <c r="UA69" s="188"/>
      <c r="UB69" s="188"/>
      <c r="UC69" s="188"/>
      <c r="UD69" s="188"/>
      <c r="UE69" s="188"/>
      <c r="UF69" s="188"/>
      <c r="UG69" s="188"/>
      <c r="UH69" s="188"/>
      <c r="UI69" s="188"/>
      <c r="UJ69" s="188"/>
      <c r="UK69" s="188"/>
      <c r="UL69" s="188"/>
      <c r="UM69" s="188"/>
      <c r="UN69" s="188"/>
      <c r="UO69" s="188"/>
      <c r="UP69" s="188"/>
      <c r="UQ69" s="188"/>
      <c r="UR69" s="188"/>
      <c r="US69" s="188"/>
      <c r="UT69" s="188"/>
      <c r="UU69" s="188"/>
      <c r="UV69" s="188"/>
      <c r="UW69" s="188"/>
      <c r="UX69" s="188"/>
      <c r="UY69" s="188"/>
      <c r="UZ69" s="188"/>
      <c r="VA69" s="188"/>
      <c r="VB69" s="188"/>
      <c r="VC69" s="188"/>
      <c r="VD69" s="188"/>
      <c r="VE69" s="188"/>
      <c r="VF69" s="188"/>
      <c r="VG69" s="188"/>
      <c r="VH69" s="188"/>
      <c r="VI69" s="188"/>
      <c r="VJ69" s="188"/>
      <c r="VK69" s="188"/>
      <c r="VL69" s="188"/>
      <c r="VM69" s="188"/>
      <c r="VN69" s="188"/>
      <c r="VO69" s="188"/>
      <c r="VP69" s="188"/>
      <c r="VQ69" s="188"/>
      <c r="VR69" s="188"/>
      <c r="VS69" s="188"/>
      <c r="VT69" s="188"/>
      <c r="VU69" s="188"/>
      <c r="VV69" s="188"/>
      <c r="VW69" s="188"/>
      <c r="VX69" s="188"/>
      <c r="VY69" s="188"/>
      <c r="VZ69" s="188"/>
      <c r="WA69" s="188"/>
      <c r="WB69" s="188"/>
      <c r="WC69" s="188"/>
      <c r="WD69" s="188"/>
      <c r="WE69" s="188"/>
      <c r="WF69" s="188"/>
      <c r="WG69" s="188"/>
      <c r="WH69" s="188"/>
      <c r="WI69" s="188"/>
      <c r="WJ69" s="188"/>
      <c r="WK69" s="188"/>
      <c r="WL69" s="188"/>
      <c r="WM69" s="188"/>
      <c r="WN69" s="188"/>
      <c r="WO69" s="188"/>
      <c r="WP69" s="188"/>
      <c r="WQ69" s="188"/>
      <c r="WR69" s="188"/>
      <c r="WS69" s="188"/>
      <c r="WT69" s="188"/>
      <c r="WU69" s="188"/>
      <c r="WV69" s="188"/>
      <c r="WW69" s="188"/>
      <c r="WX69" s="188"/>
      <c r="WY69" s="188"/>
      <c r="WZ69" s="188"/>
      <c r="XA69" s="188"/>
      <c r="XB69" s="188"/>
      <c r="XC69" s="188"/>
      <c r="XD69" s="188"/>
      <c r="XE69" s="188"/>
      <c r="XF69" s="188"/>
      <c r="XG69" s="188"/>
      <c r="XH69" s="188"/>
      <c r="XI69" s="188"/>
      <c r="XJ69" s="188"/>
      <c r="XK69" s="188"/>
      <c r="XL69" s="188"/>
      <c r="XM69" s="188"/>
      <c r="XN69" s="188"/>
      <c r="XO69" s="188"/>
      <c r="XP69" s="188"/>
      <c r="XQ69" s="188"/>
      <c r="XR69" s="188"/>
      <c r="XS69" s="188"/>
      <c r="XT69" s="188"/>
      <c r="XU69" s="188"/>
      <c r="XV69" s="188"/>
      <c r="XW69" s="188"/>
      <c r="XX69" s="188"/>
      <c r="XY69" s="188"/>
      <c r="XZ69" s="188"/>
      <c r="YA69" s="188"/>
      <c r="YB69" s="188"/>
      <c r="YC69" s="188"/>
      <c r="YD69" s="188"/>
      <c r="YE69" s="188"/>
      <c r="YF69" s="188"/>
      <c r="YG69" s="188"/>
      <c r="YH69" s="188"/>
      <c r="YI69" s="188"/>
      <c r="YJ69" s="188"/>
      <c r="YK69" s="188"/>
      <c r="YL69" s="188"/>
      <c r="YM69" s="188"/>
      <c r="YN69" s="188"/>
      <c r="YO69" s="188"/>
      <c r="YP69" s="188"/>
      <c r="YQ69" s="188"/>
      <c r="YR69" s="188"/>
      <c r="YS69" s="188"/>
      <c r="YT69" s="188"/>
      <c r="YU69" s="188"/>
      <c r="YV69" s="188"/>
      <c r="YW69" s="188"/>
      <c r="YX69" s="188"/>
      <c r="YY69" s="188"/>
      <c r="YZ69" s="188"/>
      <c r="ZA69" s="188"/>
      <c r="ZB69" s="188"/>
      <c r="ZC69" s="188"/>
      <c r="ZD69" s="188"/>
      <c r="ZE69" s="188"/>
      <c r="ZF69" s="188"/>
      <c r="ZG69" s="188"/>
      <c r="ZH69" s="188"/>
      <c r="ZI69" s="188"/>
      <c r="ZJ69" s="188"/>
      <c r="ZK69" s="188"/>
      <c r="ZL69" s="188"/>
      <c r="ZM69" s="188"/>
      <c r="ZN69" s="188"/>
      <c r="ZO69" s="188"/>
      <c r="ZP69" s="188"/>
      <c r="ZQ69" s="188"/>
      <c r="ZR69" s="188"/>
      <c r="ZS69" s="188"/>
      <c r="ZT69" s="188"/>
      <c r="ZU69" s="188"/>
      <c r="ZV69" s="188"/>
      <c r="ZW69" s="188"/>
      <c r="ZX69" s="188"/>
      <c r="ZY69" s="188"/>
      <c r="ZZ69" s="188"/>
      <c r="AAA69" s="188"/>
      <c r="AAB69" s="188"/>
      <c r="AAC69" s="188"/>
      <c r="AAD69" s="188"/>
      <c r="AAE69" s="188"/>
      <c r="AAF69" s="188"/>
      <c r="AAG69" s="188"/>
      <c r="AAH69" s="188"/>
      <c r="AAI69" s="188"/>
      <c r="AAJ69" s="188"/>
      <c r="AAK69" s="188"/>
      <c r="AAL69" s="188"/>
      <c r="AAM69" s="188"/>
      <c r="AAN69" s="188"/>
      <c r="AAO69" s="188"/>
      <c r="AAP69" s="188"/>
      <c r="AAQ69" s="188"/>
      <c r="AAR69" s="188"/>
      <c r="AAS69" s="188"/>
      <c r="AAT69" s="188"/>
      <c r="AAU69" s="188"/>
      <c r="AAV69" s="188"/>
      <c r="AAW69" s="188"/>
      <c r="AAX69" s="188"/>
      <c r="AAY69" s="188"/>
      <c r="AAZ69" s="188"/>
      <c r="ABA69" s="188"/>
      <c r="ABB69" s="188"/>
      <c r="ABC69" s="188"/>
      <c r="ABD69" s="188"/>
      <c r="ABE69" s="188"/>
      <c r="ABF69" s="188"/>
      <c r="ABG69" s="188"/>
      <c r="ABH69" s="188"/>
      <c r="ABI69" s="188"/>
      <c r="ABJ69" s="188"/>
      <c r="ABK69" s="188"/>
      <c r="ABL69" s="188"/>
      <c r="ABM69" s="188"/>
      <c r="ABN69" s="188"/>
      <c r="ABO69" s="188"/>
      <c r="ABP69" s="188"/>
      <c r="ABQ69" s="188"/>
      <c r="ABR69" s="188"/>
      <c r="ABS69" s="188"/>
      <c r="ABT69" s="188"/>
      <c r="ABU69" s="188"/>
      <c r="ABV69" s="188"/>
      <c r="ABW69" s="188"/>
      <c r="ABX69" s="188"/>
      <c r="ABY69" s="188"/>
      <c r="ABZ69" s="188"/>
      <c r="ACA69" s="188"/>
      <c r="ACB69" s="188"/>
      <c r="ACC69" s="188"/>
      <c r="ACD69" s="188"/>
      <c r="ACE69" s="188"/>
      <c r="ACF69" s="188"/>
      <c r="ACG69" s="188"/>
      <c r="ACH69" s="188"/>
      <c r="ACI69" s="188"/>
      <c r="ACJ69" s="188"/>
      <c r="ACK69" s="188"/>
      <c r="ACL69" s="188"/>
      <c r="ACM69" s="188"/>
      <c r="ACN69" s="188"/>
      <c r="ACO69" s="188"/>
      <c r="ACP69" s="188"/>
      <c r="ACQ69" s="188"/>
      <c r="ACR69" s="188"/>
      <c r="ACS69" s="188"/>
      <c r="ACT69" s="188"/>
      <c r="ACU69" s="188"/>
      <c r="ACV69" s="188"/>
      <c r="ACW69" s="188"/>
      <c r="ACX69" s="188"/>
      <c r="ACY69" s="188"/>
      <c r="ACZ69" s="188"/>
      <c r="ADA69" s="188"/>
      <c r="ADB69" s="188"/>
      <c r="ADC69" s="188"/>
      <c r="ADD69" s="188"/>
      <c r="ADE69" s="188"/>
      <c r="ADF69" s="188"/>
      <c r="ADG69" s="188"/>
      <c r="ADH69" s="188"/>
      <c r="ADI69" s="188"/>
      <c r="ADJ69" s="188"/>
      <c r="ADK69" s="188"/>
      <c r="ADL69" s="188"/>
      <c r="ADM69" s="188"/>
      <c r="ADN69" s="188"/>
      <c r="ADO69" s="188"/>
      <c r="ADP69" s="188"/>
      <c r="ADQ69" s="188"/>
      <c r="ADR69" s="188"/>
      <c r="ADS69" s="188"/>
      <c r="ADT69" s="188"/>
      <c r="ADU69" s="188"/>
      <c r="ADV69" s="188"/>
      <c r="ADW69" s="188"/>
      <c r="ADX69" s="188"/>
      <c r="ADY69" s="188"/>
      <c r="ADZ69" s="188"/>
      <c r="AEA69" s="188"/>
      <c r="AEB69" s="188"/>
      <c r="AEC69" s="188"/>
      <c r="AED69" s="188"/>
      <c r="AEE69" s="188"/>
      <c r="AEF69" s="188"/>
      <c r="AEG69" s="188"/>
      <c r="AEH69" s="188"/>
      <c r="AEI69" s="188"/>
      <c r="AEJ69" s="188"/>
      <c r="AEK69" s="188"/>
      <c r="AEL69" s="188"/>
      <c r="AEM69" s="188"/>
      <c r="AEN69" s="188"/>
      <c r="AEO69" s="188"/>
      <c r="AEP69" s="188"/>
      <c r="AEQ69" s="188"/>
      <c r="AER69" s="188"/>
      <c r="AES69" s="188"/>
      <c r="AET69" s="188"/>
      <c r="AEU69" s="188"/>
      <c r="AEV69" s="188"/>
      <c r="AEW69" s="188"/>
      <c r="AEX69" s="188"/>
      <c r="AEY69" s="188"/>
      <c r="AEZ69" s="188"/>
      <c r="AFA69" s="188"/>
      <c r="AFB69" s="188"/>
      <c r="AFC69" s="188"/>
      <c r="AFD69" s="188"/>
      <c r="AFE69" s="188"/>
      <c r="AFF69" s="188"/>
      <c r="AFG69" s="188"/>
      <c r="AFH69" s="188"/>
      <c r="AFI69" s="188"/>
      <c r="AFJ69" s="188"/>
      <c r="AFK69" s="188"/>
      <c r="AFL69" s="188"/>
      <c r="AFM69" s="188"/>
      <c r="AFN69" s="188"/>
      <c r="AFO69" s="188"/>
      <c r="AFP69" s="188"/>
      <c r="AFQ69" s="188"/>
      <c r="AFR69" s="188"/>
      <c r="AFS69" s="188"/>
      <c r="AFT69" s="188"/>
      <c r="AFU69" s="188"/>
      <c r="AFV69" s="188"/>
      <c r="AFW69" s="188"/>
      <c r="AFX69" s="188"/>
      <c r="AFY69" s="188"/>
      <c r="AFZ69" s="188"/>
      <c r="AGA69" s="188"/>
      <c r="AGB69" s="188"/>
      <c r="AGC69" s="188"/>
      <c r="AGD69" s="188"/>
      <c r="AGE69" s="188"/>
      <c r="AGF69" s="188"/>
      <c r="AGG69" s="188"/>
      <c r="AGH69" s="188"/>
      <c r="AGI69" s="188"/>
      <c r="AGJ69" s="188"/>
      <c r="AGK69" s="188"/>
      <c r="AGL69" s="188"/>
      <c r="AGM69" s="188"/>
      <c r="AGN69" s="188"/>
      <c r="AGO69" s="188"/>
      <c r="AGP69" s="188"/>
      <c r="AGQ69" s="188"/>
      <c r="AGR69" s="188"/>
      <c r="AGS69" s="188"/>
      <c r="AGT69" s="188"/>
      <c r="AGU69" s="188"/>
      <c r="AGV69" s="188"/>
      <c r="AGW69" s="188"/>
      <c r="AGX69" s="188"/>
      <c r="AGY69" s="188"/>
      <c r="AGZ69" s="188"/>
      <c r="AHA69" s="188"/>
      <c r="AHB69" s="188"/>
      <c r="AHC69" s="188"/>
      <c r="AHD69" s="188"/>
      <c r="AHE69" s="188"/>
      <c r="AHF69" s="188"/>
      <c r="AHG69" s="188"/>
      <c r="AHH69" s="188"/>
      <c r="AHI69" s="188"/>
      <c r="AHJ69" s="188"/>
      <c r="AHK69" s="188"/>
      <c r="AHL69" s="188"/>
      <c r="AHM69" s="188"/>
      <c r="AHN69" s="188"/>
      <c r="AHO69" s="188"/>
      <c r="AHP69" s="188"/>
      <c r="AHQ69" s="188"/>
      <c r="AHR69" s="188"/>
      <c r="AHS69" s="188"/>
      <c r="AHT69" s="188"/>
      <c r="AHU69" s="188"/>
      <c r="AHV69" s="188"/>
      <c r="AHW69" s="188"/>
      <c r="AHX69" s="188"/>
      <c r="AHY69" s="188"/>
      <c r="AHZ69" s="188"/>
      <c r="AIA69" s="188"/>
      <c r="AIB69" s="188"/>
      <c r="AIC69" s="188"/>
      <c r="AID69" s="188"/>
      <c r="AIE69" s="188"/>
      <c r="AIF69" s="188"/>
      <c r="AIG69" s="188"/>
      <c r="AIH69" s="188"/>
      <c r="AII69" s="188"/>
      <c r="AIJ69" s="188"/>
      <c r="AIK69" s="188"/>
      <c r="AIL69" s="188"/>
      <c r="AIM69" s="188"/>
      <c r="AIN69" s="188"/>
      <c r="AIO69" s="188"/>
      <c r="AIP69" s="188"/>
      <c r="AIQ69" s="188"/>
      <c r="AIR69" s="188"/>
      <c r="AIS69" s="188"/>
      <c r="AIT69" s="188"/>
      <c r="AIU69" s="188"/>
      <c r="AIV69" s="188"/>
      <c r="AIW69" s="188"/>
      <c r="AIX69" s="188"/>
      <c r="AIY69" s="188"/>
      <c r="AIZ69" s="188"/>
      <c r="AJA69" s="188"/>
      <c r="AJB69" s="188"/>
      <c r="AJC69" s="188"/>
      <c r="AJD69" s="188"/>
      <c r="AJE69" s="188"/>
      <c r="AJF69" s="188"/>
      <c r="AJG69" s="188"/>
      <c r="AJH69" s="188"/>
      <c r="AJI69" s="188"/>
      <c r="AJJ69" s="188"/>
      <c r="AJK69" s="188"/>
      <c r="AJL69" s="188"/>
      <c r="AJM69" s="188"/>
      <c r="AJN69" s="188"/>
      <c r="AJO69" s="188"/>
      <c r="AJP69" s="188"/>
      <c r="AJQ69" s="188"/>
      <c r="AJR69" s="188"/>
      <c r="AJS69" s="188"/>
      <c r="AJT69" s="188"/>
      <c r="AJU69" s="188"/>
      <c r="AJV69" s="188"/>
      <c r="AJW69" s="188"/>
      <c r="AJX69" s="188"/>
      <c r="AJY69" s="188"/>
      <c r="AJZ69" s="188"/>
      <c r="AKA69" s="188"/>
      <c r="AKB69" s="188"/>
      <c r="AKC69" s="188"/>
      <c r="AKD69" s="188"/>
      <c r="AKE69" s="188"/>
      <c r="AKF69" s="188"/>
      <c r="AKG69" s="188"/>
      <c r="AKH69" s="188"/>
      <c r="AKI69" s="188"/>
      <c r="AKJ69" s="188"/>
      <c r="AKK69" s="188"/>
      <c r="AKL69" s="188"/>
      <c r="AKM69" s="188"/>
      <c r="AKN69" s="188"/>
      <c r="AKO69" s="188"/>
      <c r="AKP69" s="188"/>
      <c r="AKQ69" s="188"/>
      <c r="AKR69" s="188"/>
      <c r="AKS69" s="188"/>
      <c r="AKT69" s="188"/>
      <c r="AKU69" s="188"/>
      <c r="AKV69" s="188"/>
      <c r="AKW69" s="188"/>
      <c r="AKX69" s="188"/>
      <c r="AKY69" s="188"/>
      <c r="AKZ69" s="188"/>
      <c r="ALA69" s="188"/>
      <c r="ALB69" s="188"/>
      <c r="ALC69" s="188"/>
      <c r="ALD69" s="188"/>
      <c r="ALE69" s="188"/>
      <c r="ALF69" s="188"/>
      <c r="ALG69" s="188"/>
      <c r="ALH69" s="188"/>
      <c r="ALI69" s="188"/>
      <c r="ALJ69" s="188"/>
      <c r="ALK69" s="188"/>
      <c r="ALL69" s="188"/>
      <c r="ALM69" s="188"/>
      <c r="ALN69" s="188"/>
      <c r="ALO69" s="188"/>
      <c r="ALP69" s="188"/>
      <c r="ALQ69" s="188"/>
      <c r="ALR69" s="188"/>
      <c r="ALS69" s="188"/>
      <c r="ALT69" s="188"/>
      <c r="ALU69" s="188"/>
      <c r="ALV69" s="188"/>
      <c r="ALW69" s="188"/>
      <c r="ALX69" s="188"/>
      <c r="ALY69" s="188"/>
      <c r="ALZ69" s="188"/>
      <c r="AMA69" s="188"/>
      <c r="AMB69" s="188"/>
      <c r="AMC69" s="188"/>
      <c r="AMD69" s="188"/>
      <c r="AME69" s="188"/>
      <c r="AMF69" s="188"/>
      <c r="AMG69" s="188"/>
      <c r="AMH69" s="188"/>
      <c r="AMI69" s="188"/>
      <c r="AMJ69" s="188"/>
      <c r="AMK69" s="188"/>
      <c r="AML69" s="188"/>
      <c r="AMM69" s="188"/>
      <c r="AMN69" s="188"/>
      <c r="AMO69" s="188"/>
      <c r="AMP69" s="188"/>
      <c r="AMQ69" s="188"/>
      <c r="AMR69" s="188"/>
      <c r="AMS69" s="188"/>
      <c r="AMT69" s="188"/>
      <c r="AMU69" s="188"/>
      <c r="AMV69" s="188"/>
      <c r="AMW69" s="188"/>
      <c r="AMX69" s="188"/>
      <c r="AMY69" s="188"/>
      <c r="AMZ69" s="188"/>
      <c r="ANA69" s="188"/>
      <c r="ANB69" s="188"/>
      <c r="ANC69" s="188"/>
      <c r="AND69" s="188"/>
      <c r="ANE69" s="188"/>
      <c r="ANF69" s="188"/>
      <c r="ANG69" s="188"/>
      <c r="ANH69" s="188"/>
      <c r="ANI69" s="188"/>
      <c r="ANJ69" s="188"/>
      <c r="ANK69" s="188"/>
      <c r="ANL69" s="188"/>
      <c r="ANM69" s="188"/>
      <c r="ANN69" s="188"/>
      <c r="ANO69" s="188"/>
      <c r="ANP69" s="188"/>
      <c r="ANQ69" s="188"/>
      <c r="ANR69" s="188"/>
      <c r="ANS69" s="188"/>
      <c r="ANT69" s="188"/>
      <c r="ANU69" s="188"/>
      <c r="ANV69" s="188"/>
      <c r="ANW69" s="188"/>
      <c r="ANX69" s="188"/>
      <c r="ANY69" s="188"/>
      <c r="ANZ69" s="188"/>
      <c r="AOA69" s="188"/>
      <c r="AOB69" s="188"/>
      <c r="AOC69" s="188"/>
      <c r="AOD69" s="188"/>
      <c r="AOE69" s="188"/>
      <c r="AOF69" s="188"/>
      <c r="AOG69" s="188"/>
      <c r="AOH69" s="188"/>
      <c r="AOI69" s="188"/>
      <c r="AOJ69" s="188"/>
      <c r="AOK69" s="188"/>
      <c r="AOL69" s="188"/>
      <c r="AOM69" s="188"/>
      <c r="AON69" s="188"/>
      <c r="AOO69" s="188"/>
      <c r="AOP69" s="188"/>
      <c r="AOQ69" s="188"/>
      <c r="AOR69" s="188"/>
      <c r="AOS69" s="188"/>
      <c r="AOT69" s="188"/>
      <c r="AOU69" s="188"/>
      <c r="AOV69" s="188"/>
      <c r="AOW69" s="188"/>
      <c r="AOX69" s="188"/>
      <c r="AOY69" s="188"/>
      <c r="AOZ69" s="188"/>
      <c r="APA69" s="188"/>
      <c r="APB69" s="188"/>
      <c r="APC69" s="188"/>
      <c r="APD69" s="188"/>
      <c r="APE69" s="188"/>
      <c r="APF69" s="188"/>
      <c r="APG69" s="188"/>
      <c r="APH69" s="188"/>
      <c r="API69" s="188"/>
      <c r="APJ69" s="188"/>
      <c r="APK69" s="188"/>
      <c r="APL69" s="188"/>
      <c r="APM69" s="188"/>
      <c r="APN69" s="188"/>
      <c r="APO69" s="188"/>
      <c r="APP69" s="188"/>
      <c r="APQ69" s="188"/>
      <c r="APR69" s="188"/>
      <c r="APS69" s="188"/>
      <c r="APT69" s="188"/>
      <c r="APU69" s="188"/>
      <c r="APV69" s="188"/>
      <c r="APW69" s="188"/>
      <c r="APX69" s="188"/>
      <c r="APY69" s="188"/>
      <c r="APZ69" s="188"/>
      <c r="AQA69" s="188"/>
      <c r="AQB69" s="188"/>
      <c r="AQC69" s="188"/>
      <c r="AQD69" s="188"/>
      <c r="AQE69" s="188"/>
      <c r="AQF69" s="188"/>
      <c r="AQG69" s="188"/>
      <c r="AQH69" s="188"/>
      <c r="AQI69" s="188"/>
      <c r="AQJ69" s="188"/>
      <c r="AQK69" s="188"/>
      <c r="AQL69" s="188"/>
      <c r="AQM69" s="188"/>
      <c r="AQN69" s="188"/>
      <c r="AQO69" s="188"/>
      <c r="AQP69" s="188"/>
      <c r="AQQ69" s="188"/>
      <c r="AQR69" s="188"/>
      <c r="AQS69" s="188"/>
      <c r="AQT69" s="188"/>
      <c r="AQU69" s="188"/>
      <c r="AQV69" s="188"/>
      <c r="AQW69" s="188"/>
      <c r="AQX69" s="188"/>
      <c r="AQY69" s="188"/>
      <c r="AQZ69" s="188"/>
      <c r="ARA69" s="188"/>
      <c r="ARB69" s="188"/>
      <c r="ARC69" s="188"/>
      <c r="ARD69" s="188"/>
      <c r="ARE69" s="188"/>
      <c r="ARF69" s="188"/>
      <c r="ARG69" s="188"/>
      <c r="ARH69" s="188"/>
      <c r="ARI69" s="188"/>
      <c r="ARJ69" s="188"/>
      <c r="ARK69" s="188"/>
      <c r="ARL69" s="188"/>
      <c r="ARM69" s="188"/>
      <c r="ARN69" s="188"/>
      <c r="ARO69" s="188"/>
      <c r="ARP69" s="188"/>
      <c r="ARQ69" s="188"/>
      <c r="ARR69" s="188"/>
      <c r="ARS69" s="188"/>
      <c r="ART69" s="188"/>
      <c r="ARU69" s="188"/>
      <c r="ARV69" s="188"/>
      <c r="ARW69" s="188"/>
      <c r="ARX69" s="188"/>
      <c r="ARY69" s="188"/>
      <c r="ARZ69" s="188"/>
      <c r="ASA69" s="188"/>
      <c r="ASB69" s="188"/>
      <c r="ASC69" s="188"/>
      <c r="ASD69" s="188"/>
      <c r="ASE69" s="188"/>
      <c r="ASF69" s="188"/>
      <c r="ASG69" s="188"/>
      <c r="ASH69" s="188"/>
      <c r="ASI69" s="188"/>
      <c r="ASJ69" s="188"/>
      <c r="ASK69" s="188"/>
      <c r="ASL69" s="188"/>
      <c r="ASM69" s="188"/>
      <c r="ASN69" s="188"/>
      <c r="ASO69" s="188"/>
      <c r="ASP69" s="188"/>
      <c r="ASQ69" s="188"/>
      <c r="ASR69" s="188"/>
      <c r="ASS69" s="188"/>
      <c r="AST69" s="188"/>
      <c r="ASU69" s="188"/>
      <c r="ASV69" s="188"/>
      <c r="ASW69" s="188"/>
      <c r="ASX69" s="188"/>
      <c r="ASY69" s="188"/>
      <c r="ASZ69" s="188"/>
      <c r="ATA69" s="188"/>
      <c r="ATB69" s="188"/>
      <c r="ATC69" s="188"/>
      <c r="ATD69" s="188"/>
      <c r="ATE69" s="188"/>
      <c r="ATF69" s="188"/>
      <c r="ATG69" s="188"/>
      <c r="ATH69" s="188"/>
      <c r="ATI69" s="188"/>
      <c r="ATJ69" s="188"/>
      <c r="ATK69" s="188"/>
      <c r="ATL69" s="188"/>
      <c r="ATM69" s="188"/>
      <c r="ATN69" s="188"/>
      <c r="ATO69" s="188"/>
      <c r="ATP69" s="188"/>
      <c r="ATQ69" s="188"/>
      <c r="ATR69" s="188"/>
      <c r="ATS69" s="188"/>
      <c r="ATT69" s="188"/>
      <c r="ATU69" s="188"/>
      <c r="ATV69" s="188"/>
      <c r="ATW69" s="188"/>
      <c r="ATX69" s="188"/>
      <c r="ATY69" s="188"/>
      <c r="ATZ69" s="188"/>
      <c r="AUA69" s="188"/>
      <c r="AUB69" s="188"/>
      <c r="AUC69" s="188"/>
      <c r="AUD69" s="188"/>
      <c r="AUE69" s="188"/>
      <c r="AUF69" s="188"/>
      <c r="AUG69" s="188"/>
      <c r="AUH69" s="188"/>
      <c r="AUI69" s="188"/>
      <c r="AUJ69" s="188"/>
      <c r="AUK69" s="188"/>
      <c r="AUL69" s="188"/>
      <c r="AUM69" s="188"/>
      <c r="AUN69" s="188"/>
      <c r="AUO69" s="188"/>
      <c r="AUP69" s="188"/>
      <c r="AUQ69" s="188"/>
      <c r="AUR69" s="188"/>
      <c r="AUS69" s="188"/>
      <c r="AUT69" s="188"/>
      <c r="AUU69" s="188"/>
      <c r="AUV69" s="188"/>
      <c r="AUW69" s="188"/>
      <c r="AUX69" s="188"/>
      <c r="AUY69" s="188"/>
      <c r="AUZ69" s="188"/>
      <c r="AVA69" s="188"/>
      <c r="AVB69" s="188"/>
      <c r="AVC69" s="188"/>
      <c r="AVD69" s="188"/>
      <c r="AVE69" s="188"/>
      <c r="AVF69" s="188"/>
      <c r="AVG69" s="188"/>
      <c r="AVH69" s="188"/>
      <c r="AVI69" s="188"/>
      <c r="AVJ69" s="188"/>
      <c r="AVK69" s="188"/>
      <c r="AVL69" s="188"/>
      <c r="AVM69" s="188"/>
      <c r="AVN69" s="188"/>
      <c r="AVO69" s="188"/>
      <c r="AVP69" s="188"/>
      <c r="AVQ69" s="188"/>
      <c r="AVR69" s="188"/>
      <c r="AVS69" s="188"/>
      <c r="AVT69" s="188"/>
      <c r="AVU69" s="188"/>
      <c r="AVV69" s="188"/>
      <c r="AVW69" s="188"/>
      <c r="AVX69" s="188"/>
      <c r="AVY69" s="188"/>
      <c r="AVZ69" s="188"/>
      <c r="AWA69" s="188"/>
      <c r="AWB69" s="188"/>
      <c r="AWC69" s="188"/>
      <c r="AWD69" s="188"/>
      <c r="AWE69" s="188"/>
      <c r="AWF69" s="188"/>
      <c r="AWG69" s="188"/>
      <c r="AWH69" s="188"/>
      <c r="AWI69" s="188"/>
      <c r="AWJ69" s="188"/>
      <c r="AWK69" s="188"/>
      <c r="AWL69" s="188"/>
      <c r="AWM69" s="188"/>
      <c r="AWN69" s="188"/>
      <c r="AWO69" s="188"/>
      <c r="AWP69" s="188"/>
      <c r="AWQ69" s="188"/>
      <c r="AWR69" s="188"/>
      <c r="AWS69" s="188"/>
      <c r="AWT69" s="188"/>
      <c r="AWU69" s="188"/>
      <c r="AWV69" s="188"/>
      <c r="AWW69" s="188"/>
      <c r="AWX69" s="188"/>
      <c r="AWY69" s="188"/>
      <c r="AWZ69" s="188"/>
      <c r="AXA69" s="188"/>
      <c r="AXB69" s="188"/>
      <c r="AXC69" s="188"/>
      <c r="AXD69" s="188"/>
      <c r="AXE69" s="188"/>
      <c r="AXF69" s="188"/>
      <c r="AXG69" s="188"/>
      <c r="AXH69" s="188"/>
      <c r="AXI69" s="188"/>
      <c r="AXJ69" s="188"/>
      <c r="AXK69" s="188"/>
      <c r="AXL69" s="188"/>
      <c r="AXM69" s="188"/>
      <c r="AXN69" s="188"/>
      <c r="AXO69" s="188"/>
      <c r="AXP69" s="188"/>
      <c r="AXQ69" s="188"/>
      <c r="AXR69" s="188"/>
      <c r="AXS69" s="188"/>
      <c r="AXT69" s="188"/>
      <c r="AXU69" s="188"/>
      <c r="AXV69" s="188"/>
      <c r="AXW69" s="188"/>
      <c r="AXX69" s="188"/>
      <c r="AXY69" s="188"/>
      <c r="AXZ69" s="188"/>
      <c r="AYA69" s="188"/>
      <c r="AYB69" s="188"/>
      <c r="AYC69" s="188"/>
      <c r="AYD69" s="188"/>
      <c r="AYE69" s="188"/>
      <c r="AYF69" s="188"/>
      <c r="AYG69" s="188"/>
      <c r="AYH69" s="188"/>
      <c r="AYI69" s="188"/>
      <c r="AYJ69" s="188"/>
      <c r="AYK69" s="188"/>
      <c r="AYL69" s="188"/>
      <c r="AYM69" s="188"/>
      <c r="AYN69" s="188"/>
      <c r="AYO69" s="188"/>
      <c r="AYP69" s="188"/>
      <c r="AYQ69" s="188"/>
      <c r="AYR69" s="188"/>
      <c r="AYS69" s="188"/>
      <c r="AYT69" s="188"/>
      <c r="AYU69" s="188"/>
      <c r="AYV69" s="188"/>
      <c r="AYW69" s="188"/>
      <c r="AYX69" s="188"/>
      <c r="AYY69" s="188"/>
      <c r="AYZ69" s="188"/>
      <c r="AZA69" s="188"/>
      <c r="AZB69" s="188"/>
      <c r="AZC69" s="188"/>
      <c r="AZD69" s="188"/>
      <c r="AZE69" s="188"/>
      <c r="AZF69" s="188"/>
      <c r="AZG69" s="188"/>
      <c r="AZH69" s="188"/>
      <c r="AZI69" s="188"/>
      <c r="AZJ69" s="188"/>
      <c r="AZK69" s="188"/>
      <c r="AZL69" s="188"/>
      <c r="AZM69" s="188"/>
      <c r="AZN69" s="188"/>
      <c r="AZO69" s="188"/>
      <c r="AZP69" s="188"/>
      <c r="AZQ69" s="188"/>
      <c r="AZR69" s="188"/>
      <c r="AZS69" s="188"/>
      <c r="AZT69" s="188"/>
      <c r="AZU69" s="188"/>
      <c r="AZV69" s="188"/>
      <c r="AZW69" s="188"/>
      <c r="AZX69" s="188"/>
      <c r="AZY69" s="188"/>
      <c r="AZZ69" s="188"/>
      <c r="BAA69" s="188"/>
      <c r="BAB69" s="188"/>
      <c r="BAC69" s="188"/>
      <c r="BAD69" s="188"/>
      <c r="BAE69" s="188"/>
      <c r="BAF69" s="188"/>
      <c r="BAG69" s="188"/>
      <c r="BAH69" s="188"/>
      <c r="BAI69" s="188"/>
      <c r="BAJ69" s="188"/>
      <c r="BAK69" s="188"/>
      <c r="BAL69" s="188"/>
      <c r="BAM69" s="188"/>
      <c r="BAN69" s="188"/>
      <c r="BAO69" s="188"/>
      <c r="BAP69" s="188"/>
      <c r="BAQ69" s="188"/>
      <c r="BAR69" s="188"/>
      <c r="BAS69" s="188"/>
      <c r="BAT69" s="188"/>
      <c r="BAU69" s="188"/>
      <c r="BAV69" s="188"/>
      <c r="BAW69" s="188"/>
      <c r="BAX69" s="188"/>
      <c r="BAY69" s="188"/>
      <c r="BAZ69" s="188"/>
      <c r="BBA69" s="188"/>
      <c r="BBB69" s="188"/>
      <c r="BBC69" s="188"/>
      <c r="BBD69" s="188"/>
      <c r="BBE69" s="188"/>
      <c r="BBF69" s="188"/>
      <c r="BBG69" s="188"/>
      <c r="BBH69" s="188"/>
      <c r="BBI69" s="188"/>
      <c r="BBJ69" s="188"/>
      <c r="BBK69" s="188"/>
      <c r="BBL69" s="188"/>
      <c r="BBM69" s="188"/>
      <c r="BBN69" s="188"/>
      <c r="BBO69" s="188"/>
      <c r="BBP69" s="188"/>
      <c r="BBQ69" s="188"/>
      <c r="BBR69" s="188"/>
      <c r="BBS69" s="188"/>
      <c r="BBT69" s="188"/>
      <c r="BBU69" s="188"/>
      <c r="BBV69" s="188"/>
      <c r="BBW69" s="188"/>
      <c r="BBX69" s="188"/>
      <c r="BBY69" s="188"/>
      <c r="BBZ69" s="188"/>
      <c r="BCA69" s="188"/>
      <c r="BCB69" s="188"/>
      <c r="BCC69" s="188"/>
      <c r="BCD69" s="188"/>
      <c r="BCE69" s="188"/>
      <c r="BCF69" s="188"/>
      <c r="BCG69" s="188"/>
      <c r="BCH69" s="188"/>
      <c r="BCI69" s="188"/>
      <c r="BCJ69" s="188"/>
      <c r="BCK69" s="188"/>
      <c r="BCL69" s="188"/>
      <c r="BCM69" s="188"/>
      <c r="BCN69" s="188"/>
      <c r="BCO69" s="188"/>
      <c r="BCP69" s="188"/>
      <c r="BCQ69" s="188"/>
      <c r="BCR69" s="188"/>
      <c r="BCS69" s="188"/>
      <c r="BCT69" s="188"/>
      <c r="BCU69" s="188"/>
      <c r="BCV69" s="188"/>
      <c r="BCW69" s="188"/>
      <c r="BCX69" s="188"/>
      <c r="BCY69" s="188"/>
      <c r="BCZ69" s="188"/>
      <c r="BDA69" s="188"/>
      <c r="BDB69" s="188"/>
      <c r="BDC69" s="188"/>
      <c r="BDD69" s="188"/>
      <c r="BDE69" s="188"/>
      <c r="BDF69" s="188"/>
      <c r="BDG69" s="188"/>
      <c r="BDH69" s="188"/>
      <c r="BDI69" s="188"/>
      <c r="BDJ69" s="188"/>
      <c r="BDK69" s="188"/>
      <c r="BDL69" s="188"/>
      <c r="BDM69" s="188"/>
      <c r="BDN69" s="188"/>
      <c r="BDO69" s="188"/>
      <c r="BDP69" s="188"/>
      <c r="BDQ69" s="188"/>
      <c r="BDR69" s="188"/>
      <c r="BDS69" s="188"/>
      <c r="BDT69" s="188"/>
      <c r="BDU69" s="188"/>
      <c r="BDV69" s="188"/>
      <c r="BDW69" s="188"/>
      <c r="BDX69" s="188"/>
      <c r="BDY69" s="188"/>
      <c r="BDZ69" s="188"/>
      <c r="BEA69" s="188"/>
      <c r="BEB69" s="188"/>
      <c r="BEC69" s="188"/>
      <c r="BED69" s="188"/>
      <c r="BEE69" s="188"/>
      <c r="BEF69" s="188"/>
      <c r="BEG69" s="188"/>
      <c r="BEH69" s="188"/>
      <c r="BEI69" s="188"/>
      <c r="BEJ69" s="188"/>
      <c r="BEK69" s="188"/>
      <c r="BEL69" s="188"/>
      <c r="BEM69" s="188"/>
      <c r="BEN69" s="188"/>
      <c r="BEO69" s="188"/>
      <c r="BEP69" s="188"/>
      <c r="BEQ69" s="188"/>
      <c r="BER69" s="188"/>
      <c r="BES69" s="188"/>
      <c r="BET69" s="188"/>
      <c r="BEU69" s="188"/>
      <c r="BEV69" s="188"/>
      <c r="BEW69" s="188"/>
      <c r="BEX69" s="188"/>
      <c r="BEY69" s="188"/>
      <c r="BEZ69" s="188"/>
      <c r="BFA69" s="188"/>
      <c r="BFB69" s="188"/>
      <c r="BFC69" s="188"/>
      <c r="BFD69" s="188"/>
      <c r="BFE69" s="188"/>
      <c r="BFF69" s="188"/>
      <c r="BFG69" s="188"/>
      <c r="BFH69" s="188"/>
      <c r="BFI69" s="188"/>
      <c r="BFJ69" s="188"/>
      <c r="BFK69" s="188"/>
      <c r="BFL69" s="188"/>
      <c r="BFM69" s="188"/>
      <c r="BFN69" s="188"/>
      <c r="BFO69" s="188"/>
      <c r="BFP69" s="188"/>
      <c r="BFQ69" s="188"/>
      <c r="BFR69" s="188"/>
      <c r="BFS69" s="188"/>
      <c r="BFT69" s="188"/>
      <c r="BFU69" s="188"/>
      <c r="BFV69" s="188"/>
      <c r="BFW69" s="188"/>
      <c r="BFX69" s="188"/>
      <c r="BFY69" s="188"/>
      <c r="BFZ69" s="188"/>
      <c r="BGA69" s="188"/>
      <c r="BGB69" s="188"/>
      <c r="BGC69" s="188"/>
      <c r="BGD69" s="188"/>
      <c r="BGE69" s="188"/>
      <c r="BGF69" s="188"/>
      <c r="BGG69" s="188"/>
      <c r="BGH69" s="188"/>
      <c r="BGI69" s="188"/>
      <c r="BGJ69" s="188"/>
      <c r="BGK69" s="188"/>
      <c r="BGL69" s="188"/>
      <c r="BGM69" s="188"/>
      <c r="BGN69" s="188"/>
      <c r="BGO69" s="188"/>
      <c r="BGP69" s="188"/>
      <c r="BGQ69" s="188"/>
      <c r="BGR69" s="188"/>
      <c r="BGS69" s="188"/>
      <c r="BGT69" s="188"/>
      <c r="BGU69" s="188"/>
      <c r="BGV69" s="188"/>
      <c r="BGW69" s="188"/>
      <c r="BGX69" s="188"/>
      <c r="BGY69" s="188"/>
      <c r="BGZ69" s="188"/>
      <c r="BHA69" s="188"/>
      <c r="BHB69" s="188"/>
      <c r="BHC69" s="188"/>
      <c r="BHD69" s="188"/>
      <c r="BHE69" s="188"/>
      <c r="BHF69" s="188"/>
      <c r="BHG69" s="188"/>
      <c r="BHH69" s="188"/>
      <c r="BHI69" s="188"/>
      <c r="BHJ69" s="188"/>
      <c r="BHK69" s="188"/>
      <c r="BHL69" s="188"/>
      <c r="BHM69" s="188"/>
      <c r="BHN69" s="188"/>
      <c r="BHO69" s="188"/>
      <c r="BHP69" s="188"/>
      <c r="BHQ69" s="188"/>
      <c r="BHR69" s="188"/>
      <c r="BHS69" s="188"/>
      <c r="BHT69" s="188"/>
      <c r="BHU69" s="188"/>
      <c r="BHV69" s="188"/>
      <c r="BHW69" s="188"/>
      <c r="BHX69" s="188"/>
      <c r="BHY69" s="188"/>
      <c r="BHZ69" s="188"/>
      <c r="BIA69" s="188"/>
      <c r="BIB69" s="188"/>
      <c r="BIC69" s="188"/>
      <c r="BID69" s="188"/>
      <c r="BIE69" s="188"/>
      <c r="BIF69" s="188"/>
      <c r="BIG69" s="188"/>
      <c r="BIH69" s="188"/>
      <c r="BII69" s="188"/>
      <c r="BIJ69" s="188"/>
      <c r="BIK69" s="188"/>
      <c r="BIL69" s="188"/>
      <c r="BIM69" s="188"/>
      <c r="BIN69" s="188"/>
      <c r="BIO69" s="188"/>
      <c r="BIP69" s="188"/>
      <c r="BIQ69" s="188"/>
      <c r="BIR69" s="188"/>
      <c r="BIS69" s="188"/>
      <c r="BIT69" s="188"/>
      <c r="BIU69" s="188"/>
      <c r="BIV69" s="188"/>
      <c r="BIW69" s="188"/>
      <c r="BIX69" s="188"/>
      <c r="BIY69" s="188"/>
      <c r="BIZ69" s="188"/>
      <c r="BJA69" s="188"/>
      <c r="BJB69" s="188"/>
      <c r="BJC69" s="188"/>
      <c r="BJD69" s="188"/>
      <c r="BJE69" s="188"/>
      <c r="BJF69" s="188"/>
      <c r="BJG69" s="188"/>
      <c r="BJH69" s="188"/>
      <c r="BJI69" s="188"/>
      <c r="BJJ69" s="188"/>
      <c r="BJK69" s="188"/>
      <c r="BJL69" s="188"/>
      <c r="BJM69" s="188"/>
      <c r="BJN69" s="188"/>
      <c r="BJO69" s="188"/>
      <c r="BJP69" s="188"/>
      <c r="BJQ69" s="188"/>
      <c r="BJR69" s="188"/>
      <c r="BJS69" s="188"/>
      <c r="BJT69" s="188"/>
      <c r="BJU69" s="188"/>
      <c r="BJV69" s="188"/>
      <c r="BJW69" s="188"/>
      <c r="BJX69" s="188"/>
      <c r="BJY69" s="188"/>
      <c r="BJZ69" s="188"/>
      <c r="BKA69" s="188"/>
      <c r="BKB69" s="188"/>
      <c r="BKC69" s="188"/>
      <c r="BKD69" s="188"/>
      <c r="BKE69" s="188"/>
      <c r="BKF69" s="188"/>
      <c r="BKG69" s="188"/>
      <c r="BKH69" s="188"/>
      <c r="BKI69" s="188"/>
      <c r="BKJ69" s="188"/>
      <c r="BKK69" s="188"/>
      <c r="BKL69" s="188"/>
      <c r="BKM69" s="188"/>
      <c r="BKN69" s="188"/>
    </row>
    <row r="70" spans="1:1652" s="21" customFormat="1" x14ac:dyDescent="0.3">
      <c r="A70" s="171"/>
      <c r="B70" s="189"/>
      <c r="C70" s="189"/>
      <c r="D70" s="189"/>
      <c r="E70" s="189"/>
      <c r="F70" s="189"/>
      <c r="G70" s="189"/>
      <c r="I70" s="188"/>
      <c r="J70" s="188"/>
      <c r="K70" s="188"/>
      <c r="L70" s="188"/>
      <c r="M70" s="188"/>
      <c r="N70" s="188"/>
      <c r="O70" s="188"/>
      <c r="P70" s="188"/>
      <c r="Q70" s="188"/>
      <c r="R70" s="188"/>
      <c r="S70" s="188"/>
      <c r="T70" s="188"/>
      <c r="U70" s="188"/>
      <c r="V70" s="188"/>
      <c r="W70" s="188"/>
      <c r="X70" s="188"/>
      <c r="Y70" s="188"/>
      <c r="Z70" s="188"/>
      <c r="AA70" s="188"/>
      <c r="AB70" s="188"/>
      <c r="AC70" s="188"/>
      <c r="AD70" s="188"/>
      <c r="AE70" s="188"/>
      <c r="AF70" s="188"/>
      <c r="AG70" s="188"/>
      <c r="AH70" s="188"/>
      <c r="AI70" s="188"/>
      <c r="AJ70" s="188"/>
      <c r="AK70" s="188"/>
      <c r="AL70" s="188"/>
      <c r="AM70" s="188"/>
      <c r="AN70" s="188"/>
      <c r="AO70" s="188"/>
      <c r="AP70" s="188"/>
      <c r="AQ70" s="188"/>
      <c r="AR70" s="188"/>
      <c r="AS70" s="188"/>
      <c r="AT70" s="189"/>
      <c r="AU70" s="189"/>
      <c r="AV70" s="189"/>
      <c r="AW70" s="189"/>
      <c r="AX70" s="189"/>
      <c r="AY70" s="189"/>
      <c r="AZ70" s="189"/>
      <c r="BA70" s="189"/>
      <c r="BB70" s="189"/>
      <c r="BC70" s="189"/>
      <c r="BD70" s="189"/>
      <c r="BE70" s="188"/>
      <c r="BF70" s="188"/>
      <c r="BG70" s="188"/>
      <c r="BH70" s="188"/>
      <c r="BI70" s="188"/>
      <c r="BJ70" s="188"/>
      <c r="BK70" s="188"/>
      <c r="BL70" s="188"/>
      <c r="BM70" s="188"/>
      <c r="BN70" s="188"/>
      <c r="BO70" s="188"/>
      <c r="BP70" s="188"/>
      <c r="BQ70" s="188"/>
      <c r="BR70" s="188"/>
      <c r="BS70" s="188"/>
      <c r="BT70" s="188"/>
      <c r="BU70" s="188"/>
      <c r="BV70" s="188"/>
      <c r="BW70" s="188"/>
      <c r="BX70" s="188"/>
      <c r="BY70" s="188"/>
      <c r="BZ70" s="188"/>
      <c r="CA70" s="188"/>
      <c r="CB70" s="188"/>
      <c r="CC70" s="188"/>
      <c r="CD70" s="188"/>
      <c r="CE70" s="188"/>
      <c r="CF70" s="188"/>
      <c r="CG70" s="188"/>
      <c r="CH70" s="188"/>
      <c r="CI70" s="188"/>
      <c r="CJ70" s="188"/>
      <c r="CK70" s="188"/>
      <c r="CL70" s="188"/>
      <c r="CM70" s="188"/>
      <c r="CN70" s="188"/>
      <c r="CO70" s="188"/>
      <c r="CP70" s="188"/>
      <c r="CQ70" s="188"/>
      <c r="CR70" s="188"/>
      <c r="CS70" s="188"/>
      <c r="CT70" s="188"/>
      <c r="CU70" s="188"/>
      <c r="CV70" s="188"/>
      <c r="CW70" s="188"/>
      <c r="CX70" s="188"/>
      <c r="CY70" s="188"/>
      <c r="CZ70" s="188"/>
      <c r="DA70" s="188"/>
      <c r="DB70" s="188"/>
      <c r="DC70" s="188"/>
      <c r="DD70" s="188"/>
      <c r="DE70" s="188"/>
      <c r="DF70" s="188"/>
      <c r="DG70" s="188"/>
      <c r="DH70" s="188"/>
      <c r="DI70" s="188"/>
      <c r="DJ70" s="188"/>
      <c r="DK70" s="188"/>
      <c r="DL70" s="188"/>
      <c r="DM70" s="188"/>
      <c r="DN70" s="188"/>
      <c r="DO70" s="188"/>
      <c r="DP70" s="188"/>
      <c r="DQ70" s="188"/>
      <c r="DR70" s="188"/>
      <c r="DS70" s="188"/>
      <c r="DT70" s="188"/>
      <c r="DU70" s="188"/>
      <c r="DV70" s="188"/>
      <c r="DW70" s="188"/>
      <c r="DX70" s="188"/>
      <c r="DY70" s="188"/>
      <c r="DZ70" s="188"/>
      <c r="EA70" s="188"/>
      <c r="EB70" s="188"/>
      <c r="EC70" s="188"/>
      <c r="ED70" s="188"/>
      <c r="EE70" s="188"/>
      <c r="EF70" s="188"/>
      <c r="EG70" s="188"/>
      <c r="EH70" s="188"/>
      <c r="EI70" s="188"/>
      <c r="EJ70" s="188"/>
      <c r="EK70" s="188"/>
      <c r="EL70" s="188"/>
      <c r="EM70" s="188"/>
      <c r="EN70" s="188"/>
      <c r="EO70" s="188"/>
      <c r="EP70" s="188"/>
      <c r="EQ70" s="188"/>
      <c r="ER70" s="188"/>
      <c r="ES70" s="188"/>
      <c r="ET70" s="188"/>
      <c r="EU70" s="188"/>
      <c r="EV70" s="188"/>
      <c r="EW70" s="188"/>
      <c r="EX70" s="188"/>
      <c r="EY70" s="188"/>
      <c r="EZ70" s="188"/>
      <c r="FA70" s="188"/>
      <c r="FB70" s="188"/>
      <c r="FC70" s="188"/>
      <c r="FD70" s="188"/>
      <c r="FE70" s="188"/>
      <c r="FF70" s="188"/>
      <c r="FG70" s="188"/>
      <c r="FH70" s="188"/>
      <c r="FI70" s="188"/>
      <c r="FJ70" s="188"/>
      <c r="FK70" s="188"/>
      <c r="FL70" s="188"/>
      <c r="FM70" s="188"/>
      <c r="FN70" s="188"/>
      <c r="FO70" s="188"/>
      <c r="FP70" s="188"/>
      <c r="FQ70" s="188"/>
      <c r="FR70" s="188"/>
      <c r="FS70" s="188"/>
      <c r="FT70" s="188"/>
      <c r="FU70" s="188"/>
      <c r="FV70" s="188"/>
      <c r="FW70" s="188"/>
      <c r="FX70" s="188"/>
      <c r="FY70" s="188"/>
      <c r="FZ70" s="188"/>
      <c r="GA70" s="188"/>
      <c r="GB70" s="188"/>
      <c r="GC70" s="188"/>
      <c r="GD70" s="188"/>
      <c r="GE70" s="188"/>
      <c r="GF70" s="188"/>
      <c r="GG70" s="188"/>
      <c r="GH70" s="188"/>
      <c r="GI70" s="188"/>
      <c r="GJ70" s="188"/>
      <c r="GK70" s="188"/>
      <c r="GL70" s="188"/>
      <c r="GM70" s="188"/>
      <c r="GN70" s="188"/>
      <c r="GO70" s="188"/>
      <c r="GP70" s="188"/>
      <c r="GQ70" s="188"/>
      <c r="GR70" s="188"/>
      <c r="GS70" s="188"/>
      <c r="GT70" s="188"/>
      <c r="GU70" s="188"/>
      <c r="GV70" s="188"/>
      <c r="GW70" s="188"/>
      <c r="GX70" s="188"/>
      <c r="GY70" s="188"/>
      <c r="GZ70" s="188"/>
      <c r="HA70" s="188"/>
      <c r="HB70" s="188"/>
      <c r="HC70" s="188"/>
      <c r="HD70" s="188"/>
      <c r="HE70" s="188"/>
      <c r="HF70" s="188"/>
      <c r="HG70" s="188"/>
      <c r="HH70" s="188"/>
      <c r="HI70" s="188"/>
      <c r="HJ70" s="188"/>
      <c r="HK70" s="188"/>
      <c r="HL70" s="188"/>
      <c r="HM70" s="188"/>
      <c r="HN70" s="188"/>
      <c r="HO70" s="188"/>
      <c r="HP70" s="188"/>
      <c r="HQ70" s="188"/>
      <c r="HR70" s="188"/>
      <c r="HS70" s="188"/>
      <c r="HT70" s="188"/>
      <c r="HU70" s="188"/>
      <c r="HV70" s="188"/>
      <c r="HW70" s="188"/>
      <c r="HX70" s="188"/>
      <c r="HY70" s="188"/>
      <c r="HZ70" s="188"/>
      <c r="IA70" s="188"/>
      <c r="IB70" s="188"/>
      <c r="IC70" s="188"/>
      <c r="ID70" s="188"/>
      <c r="IE70" s="188"/>
      <c r="IF70" s="188"/>
      <c r="IG70" s="188"/>
      <c r="IH70" s="188"/>
      <c r="II70" s="188"/>
      <c r="IJ70" s="188"/>
      <c r="IK70" s="188"/>
      <c r="IL70" s="188"/>
      <c r="IM70" s="188"/>
      <c r="IN70" s="188"/>
      <c r="IO70" s="188"/>
      <c r="IP70" s="188"/>
      <c r="IQ70" s="188"/>
      <c r="IR70" s="188"/>
      <c r="IS70" s="188"/>
      <c r="IT70" s="188"/>
      <c r="IU70" s="188"/>
      <c r="IV70" s="188"/>
      <c r="IW70" s="188"/>
      <c r="IX70" s="188"/>
      <c r="IY70" s="188"/>
      <c r="IZ70" s="188"/>
      <c r="JA70" s="188"/>
      <c r="JB70" s="188"/>
      <c r="JC70" s="188"/>
      <c r="JD70" s="188"/>
      <c r="JE70" s="188"/>
      <c r="JF70" s="188"/>
      <c r="JG70" s="188"/>
      <c r="JH70" s="188"/>
      <c r="JI70" s="188"/>
      <c r="JJ70" s="188"/>
      <c r="JK70" s="188"/>
      <c r="JL70" s="188"/>
      <c r="JM70" s="188"/>
      <c r="JN70" s="188"/>
      <c r="JO70" s="188"/>
      <c r="JP70" s="188"/>
      <c r="JQ70" s="188"/>
      <c r="JR70" s="188"/>
      <c r="JS70" s="188"/>
      <c r="JT70" s="188"/>
      <c r="JU70" s="188"/>
      <c r="JV70" s="188"/>
      <c r="JW70" s="188"/>
      <c r="JX70" s="188"/>
      <c r="JY70" s="188"/>
      <c r="JZ70" s="188"/>
      <c r="KA70" s="188"/>
      <c r="KB70" s="188"/>
      <c r="KC70" s="188"/>
      <c r="KD70" s="188"/>
      <c r="KE70" s="188"/>
      <c r="KF70" s="188"/>
      <c r="KG70" s="188"/>
      <c r="KH70" s="188"/>
      <c r="KI70" s="188"/>
      <c r="KJ70" s="188"/>
      <c r="KK70" s="188"/>
      <c r="KL70" s="188"/>
      <c r="KM70" s="188"/>
      <c r="KN70" s="188"/>
      <c r="KO70" s="188"/>
      <c r="KP70" s="188"/>
      <c r="KQ70" s="188"/>
      <c r="KR70" s="188"/>
      <c r="KS70" s="188"/>
      <c r="KT70" s="188"/>
      <c r="KU70" s="188"/>
      <c r="KV70" s="188"/>
      <c r="KW70" s="188"/>
      <c r="KX70" s="188"/>
      <c r="KY70" s="188"/>
      <c r="KZ70" s="188"/>
      <c r="LA70" s="188"/>
      <c r="LB70" s="188"/>
      <c r="LC70" s="188"/>
      <c r="LD70" s="188"/>
      <c r="LE70" s="188"/>
      <c r="LF70" s="188"/>
      <c r="LG70" s="188"/>
      <c r="LH70" s="188"/>
      <c r="LI70" s="188"/>
      <c r="LJ70" s="188"/>
      <c r="LK70" s="188"/>
      <c r="LL70" s="188"/>
      <c r="LM70" s="188"/>
      <c r="LN70" s="188"/>
      <c r="LO70" s="188"/>
      <c r="LP70" s="188"/>
      <c r="LQ70" s="188"/>
      <c r="LR70" s="188"/>
      <c r="LS70" s="188"/>
      <c r="LT70" s="188"/>
      <c r="LU70" s="188"/>
      <c r="LV70" s="188"/>
      <c r="LW70" s="188"/>
      <c r="LX70" s="188"/>
      <c r="LY70" s="188"/>
      <c r="LZ70" s="188"/>
      <c r="MA70" s="188"/>
      <c r="MB70" s="188"/>
      <c r="MC70" s="188"/>
      <c r="MD70" s="188"/>
      <c r="ME70" s="188"/>
      <c r="MF70" s="188"/>
      <c r="MG70" s="188"/>
      <c r="MH70" s="188"/>
      <c r="MI70" s="188"/>
      <c r="MJ70" s="188"/>
      <c r="MK70" s="188"/>
      <c r="ML70" s="188"/>
      <c r="MM70" s="188"/>
      <c r="MN70" s="188"/>
      <c r="MO70" s="188"/>
      <c r="MP70" s="188"/>
      <c r="MQ70" s="188"/>
      <c r="MR70" s="188"/>
      <c r="MS70" s="188"/>
      <c r="MT70" s="188"/>
      <c r="MU70" s="188"/>
      <c r="MV70" s="188"/>
      <c r="MW70" s="188"/>
      <c r="MX70" s="188"/>
      <c r="MY70" s="188"/>
      <c r="MZ70" s="188"/>
      <c r="NA70" s="188"/>
      <c r="NB70" s="188"/>
      <c r="NC70" s="188"/>
      <c r="ND70" s="188"/>
      <c r="NE70" s="188"/>
      <c r="NF70" s="188"/>
      <c r="NG70" s="188"/>
      <c r="NH70" s="188"/>
      <c r="NI70" s="188"/>
      <c r="NJ70" s="188"/>
      <c r="NK70" s="188"/>
      <c r="NL70" s="188"/>
      <c r="NM70" s="188"/>
      <c r="NN70" s="188"/>
      <c r="NO70" s="188"/>
      <c r="NP70" s="188"/>
      <c r="NQ70" s="188"/>
      <c r="NR70" s="188"/>
      <c r="NS70" s="188"/>
      <c r="NT70" s="188"/>
      <c r="NU70" s="188"/>
      <c r="NV70" s="188"/>
      <c r="NW70" s="188"/>
      <c r="NX70" s="188"/>
      <c r="NY70" s="188"/>
      <c r="NZ70" s="188"/>
      <c r="OA70" s="188"/>
      <c r="OB70" s="188"/>
      <c r="OC70" s="188"/>
      <c r="OD70" s="188"/>
      <c r="OE70" s="188"/>
      <c r="OF70" s="188"/>
      <c r="OG70" s="188"/>
      <c r="OH70" s="188"/>
      <c r="OI70" s="188"/>
      <c r="OJ70" s="188"/>
      <c r="OK70" s="188"/>
      <c r="OL70" s="188"/>
      <c r="OM70" s="188"/>
      <c r="ON70" s="188"/>
      <c r="OO70" s="188"/>
      <c r="OP70" s="188"/>
      <c r="OQ70" s="188"/>
      <c r="OR70" s="188"/>
      <c r="OS70" s="188"/>
      <c r="OT70" s="188"/>
      <c r="OU70" s="188"/>
      <c r="OV70" s="188"/>
      <c r="OW70" s="188"/>
      <c r="OX70" s="188"/>
      <c r="OY70" s="188"/>
      <c r="OZ70" s="188"/>
      <c r="PA70" s="188"/>
      <c r="PB70" s="188"/>
      <c r="PC70" s="188"/>
      <c r="PD70" s="188"/>
      <c r="PE70" s="188"/>
      <c r="PF70" s="188"/>
      <c r="PG70" s="188"/>
      <c r="PH70" s="188"/>
      <c r="PI70" s="188"/>
      <c r="PJ70" s="188"/>
      <c r="PK70" s="188"/>
      <c r="PL70" s="188"/>
      <c r="PM70" s="188"/>
      <c r="PN70" s="188"/>
      <c r="PO70" s="188"/>
      <c r="PP70" s="188"/>
      <c r="PQ70" s="188"/>
      <c r="PR70" s="188"/>
      <c r="PS70" s="188"/>
      <c r="PT70" s="188"/>
      <c r="PU70" s="188"/>
      <c r="PV70" s="188"/>
      <c r="PW70" s="188"/>
      <c r="PX70" s="188"/>
      <c r="PY70" s="188"/>
      <c r="PZ70" s="188"/>
      <c r="QA70" s="188"/>
      <c r="QB70" s="188"/>
      <c r="QC70" s="188"/>
      <c r="QD70" s="188"/>
      <c r="QE70" s="188"/>
      <c r="QF70" s="188"/>
      <c r="QG70" s="188"/>
      <c r="QH70" s="188"/>
      <c r="QI70" s="188"/>
      <c r="QJ70" s="188"/>
      <c r="QK70" s="188"/>
      <c r="QL70" s="188"/>
      <c r="QM70" s="188"/>
      <c r="QN70" s="188"/>
      <c r="QO70" s="188"/>
      <c r="QP70" s="188"/>
      <c r="QQ70" s="188"/>
      <c r="QR70" s="188"/>
      <c r="QS70" s="188"/>
      <c r="QT70" s="188"/>
      <c r="QU70" s="188"/>
      <c r="QV70" s="188"/>
      <c r="QW70" s="188"/>
      <c r="QX70" s="188"/>
      <c r="QY70" s="188"/>
      <c r="QZ70" s="188"/>
      <c r="RA70" s="188"/>
      <c r="RB70" s="188"/>
      <c r="RC70" s="188"/>
      <c r="RD70" s="188"/>
      <c r="RE70" s="188"/>
      <c r="RF70" s="188"/>
      <c r="RG70" s="188"/>
      <c r="RH70" s="188"/>
      <c r="RI70" s="188"/>
      <c r="RJ70" s="188"/>
      <c r="RK70" s="188"/>
      <c r="RL70" s="188"/>
      <c r="RM70" s="188"/>
      <c r="RN70" s="188"/>
      <c r="RO70" s="188"/>
      <c r="RP70" s="188"/>
      <c r="RQ70" s="188"/>
      <c r="RR70" s="188"/>
      <c r="RS70" s="188"/>
      <c r="RT70" s="188"/>
      <c r="RU70" s="188"/>
      <c r="RV70" s="188"/>
      <c r="RW70" s="188"/>
      <c r="RX70" s="188"/>
      <c r="RY70" s="188"/>
      <c r="RZ70" s="188"/>
      <c r="SA70" s="188"/>
      <c r="SB70" s="188"/>
      <c r="SC70" s="188"/>
      <c r="SD70" s="188"/>
      <c r="SE70" s="188"/>
      <c r="SF70" s="188"/>
      <c r="SG70" s="188"/>
      <c r="SH70" s="188"/>
      <c r="SI70" s="188"/>
      <c r="SJ70" s="188"/>
      <c r="SK70" s="188"/>
      <c r="SL70" s="188"/>
      <c r="SM70" s="188"/>
      <c r="SN70" s="188"/>
      <c r="SO70" s="188"/>
      <c r="SP70" s="188"/>
      <c r="SQ70" s="188"/>
      <c r="SR70" s="188"/>
      <c r="SS70" s="188"/>
      <c r="ST70" s="188"/>
      <c r="SU70" s="188"/>
      <c r="SV70" s="188"/>
      <c r="SW70" s="188"/>
      <c r="SX70" s="188"/>
      <c r="SY70" s="188"/>
      <c r="SZ70" s="188"/>
      <c r="TA70" s="188"/>
      <c r="TB70" s="188"/>
      <c r="TC70" s="188"/>
      <c r="TD70" s="188"/>
      <c r="TE70" s="188"/>
      <c r="TF70" s="188"/>
      <c r="TG70" s="188"/>
      <c r="TH70" s="188"/>
      <c r="TI70" s="188"/>
      <c r="TJ70" s="188"/>
      <c r="TK70" s="188"/>
      <c r="TL70" s="188"/>
      <c r="TM70" s="188"/>
      <c r="TN70" s="188"/>
      <c r="TO70" s="188"/>
      <c r="TP70" s="188"/>
      <c r="TQ70" s="188"/>
      <c r="TR70" s="188"/>
      <c r="TS70" s="188"/>
      <c r="TT70" s="188"/>
      <c r="TU70" s="188"/>
      <c r="TV70" s="188"/>
      <c r="TW70" s="188"/>
      <c r="TX70" s="188"/>
      <c r="TY70" s="188"/>
      <c r="TZ70" s="188"/>
      <c r="UA70" s="188"/>
      <c r="UB70" s="188"/>
      <c r="UC70" s="188"/>
      <c r="UD70" s="188"/>
      <c r="UE70" s="188"/>
      <c r="UF70" s="188"/>
      <c r="UG70" s="188"/>
      <c r="UH70" s="188"/>
      <c r="UI70" s="188"/>
      <c r="UJ70" s="188"/>
      <c r="UK70" s="188"/>
      <c r="UL70" s="188"/>
      <c r="UM70" s="188"/>
      <c r="UN70" s="188"/>
      <c r="UO70" s="188"/>
      <c r="UP70" s="188"/>
      <c r="UQ70" s="188"/>
      <c r="UR70" s="188"/>
      <c r="US70" s="188"/>
      <c r="UT70" s="188"/>
      <c r="UU70" s="188"/>
      <c r="UV70" s="188"/>
      <c r="UW70" s="188"/>
      <c r="UX70" s="188"/>
      <c r="UY70" s="188"/>
      <c r="UZ70" s="188"/>
      <c r="VA70" s="188"/>
      <c r="VB70" s="188"/>
      <c r="VC70" s="188"/>
      <c r="VD70" s="188"/>
      <c r="VE70" s="188"/>
      <c r="VF70" s="188"/>
      <c r="VG70" s="188"/>
      <c r="VH70" s="188"/>
      <c r="VI70" s="188"/>
      <c r="VJ70" s="188"/>
      <c r="VK70" s="188"/>
      <c r="VL70" s="188"/>
      <c r="VM70" s="188"/>
      <c r="VN70" s="188"/>
      <c r="VO70" s="188"/>
      <c r="VP70" s="188"/>
      <c r="VQ70" s="188"/>
      <c r="VR70" s="188"/>
      <c r="VS70" s="188"/>
      <c r="VT70" s="188"/>
      <c r="VU70" s="188"/>
      <c r="VV70" s="188"/>
      <c r="VW70" s="188"/>
      <c r="VX70" s="188"/>
      <c r="VY70" s="188"/>
      <c r="VZ70" s="188"/>
      <c r="WA70" s="188"/>
      <c r="WB70" s="188"/>
      <c r="WC70" s="188"/>
      <c r="WD70" s="188"/>
      <c r="WE70" s="188"/>
      <c r="WF70" s="188"/>
      <c r="WG70" s="188"/>
      <c r="WH70" s="188"/>
      <c r="WI70" s="188"/>
      <c r="WJ70" s="188"/>
      <c r="WK70" s="188"/>
      <c r="WL70" s="188"/>
      <c r="WM70" s="188"/>
      <c r="WN70" s="188"/>
      <c r="WO70" s="188"/>
      <c r="WP70" s="188"/>
      <c r="WQ70" s="188"/>
      <c r="WR70" s="188"/>
      <c r="WS70" s="188"/>
      <c r="WT70" s="188"/>
      <c r="WU70" s="188"/>
      <c r="WV70" s="188"/>
      <c r="WW70" s="188"/>
      <c r="WX70" s="188"/>
      <c r="WY70" s="188"/>
      <c r="WZ70" s="188"/>
      <c r="XA70" s="188"/>
      <c r="XB70" s="188"/>
      <c r="XC70" s="188"/>
      <c r="XD70" s="188"/>
      <c r="XE70" s="188"/>
      <c r="XF70" s="188"/>
      <c r="XG70" s="188"/>
      <c r="XH70" s="188"/>
      <c r="XI70" s="188"/>
      <c r="XJ70" s="188"/>
      <c r="XK70" s="188"/>
      <c r="XL70" s="188"/>
      <c r="XM70" s="188"/>
      <c r="XN70" s="188"/>
      <c r="XO70" s="188"/>
      <c r="XP70" s="188"/>
      <c r="XQ70" s="188"/>
      <c r="XR70" s="188"/>
      <c r="XS70" s="188"/>
      <c r="XT70" s="188"/>
      <c r="XU70" s="188"/>
      <c r="XV70" s="188"/>
      <c r="XW70" s="188"/>
      <c r="XX70" s="188"/>
      <c r="XY70" s="188"/>
      <c r="XZ70" s="188"/>
      <c r="YA70" s="188"/>
      <c r="YB70" s="188"/>
      <c r="YC70" s="188"/>
      <c r="YD70" s="188"/>
      <c r="YE70" s="188"/>
      <c r="YF70" s="188"/>
      <c r="YG70" s="188"/>
      <c r="YH70" s="188"/>
      <c r="YI70" s="188"/>
      <c r="YJ70" s="188"/>
      <c r="YK70" s="188"/>
      <c r="YL70" s="188"/>
      <c r="YM70" s="188"/>
      <c r="YN70" s="188"/>
      <c r="YO70" s="188"/>
      <c r="YP70" s="188"/>
      <c r="YQ70" s="188"/>
      <c r="YR70" s="188"/>
      <c r="YS70" s="188"/>
      <c r="YT70" s="188"/>
      <c r="YU70" s="188"/>
      <c r="YV70" s="188"/>
      <c r="YW70" s="188"/>
      <c r="YX70" s="188"/>
      <c r="YY70" s="188"/>
      <c r="YZ70" s="188"/>
      <c r="ZA70" s="188"/>
      <c r="ZB70" s="188"/>
      <c r="ZC70" s="188"/>
      <c r="ZD70" s="188"/>
      <c r="ZE70" s="188"/>
      <c r="ZF70" s="188"/>
      <c r="ZG70" s="188"/>
      <c r="ZH70" s="188"/>
      <c r="ZI70" s="188"/>
      <c r="ZJ70" s="188"/>
      <c r="ZK70" s="188"/>
      <c r="ZL70" s="188"/>
      <c r="ZM70" s="188"/>
      <c r="ZN70" s="188"/>
      <c r="ZO70" s="188"/>
      <c r="ZP70" s="188"/>
      <c r="ZQ70" s="188"/>
      <c r="ZR70" s="188"/>
      <c r="ZS70" s="188"/>
      <c r="ZT70" s="188"/>
      <c r="ZU70" s="188"/>
      <c r="ZV70" s="188"/>
      <c r="ZW70" s="188"/>
      <c r="ZX70" s="188"/>
      <c r="ZY70" s="188"/>
      <c r="ZZ70" s="188"/>
      <c r="AAA70" s="188"/>
      <c r="AAB70" s="188"/>
      <c r="AAC70" s="188"/>
      <c r="AAD70" s="188"/>
      <c r="AAE70" s="188"/>
      <c r="AAF70" s="188"/>
      <c r="AAG70" s="188"/>
      <c r="AAH70" s="188"/>
      <c r="AAI70" s="188"/>
      <c r="AAJ70" s="188"/>
      <c r="AAK70" s="188"/>
      <c r="AAL70" s="188"/>
      <c r="AAM70" s="188"/>
      <c r="AAN70" s="188"/>
      <c r="AAO70" s="188"/>
      <c r="AAP70" s="188"/>
      <c r="AAQ70" s="188"/>
      <c r="AAR70" s="188"/>
      <c r="AAS70" s="188"/>
      <c r="AAT70" s="188"/>
      <c r="AAU70" s="188"/>
      <c r="AAV70" s="188"/>
      <c r="AAW70" s="188"/>
      <c r="AAX70" s="188"/>
      <c r="AAY70" s="188"/>
      <c r="AAZ70" s="188"/>
      <c r="ABA70" s="188"/>
      <c r="ABB70" s="188"/>
      <c r="ABC70" s="188"/>
      <c r="ABD70" s="188"/>
      <c r="ABE70" s="188"/>
      <c r="ABF70" s="188"/>
      <c r="ABG70" s="188"/>
      <c r="ABH70" s="188"/>
      <c r="ABI70" s="188"/>
      <c r="ABJ70" s="188"/>
      <c r="ABK70" s="188"/>
      <c r="ABL70" s="188"/>
      <c r="ABM70" s="188"/>
      <c r="ABN70" s="188"/>
      <c r="ABO70" s="188"/>
      <c r="ABP70" s="188"/>
      <c r="ABQ70" s="188"/>
      <c r="ABR70" s="188"/>
      <c r="ABS70" s="188"/>
      <c r="ABT70" s="188"/>
      <c r="ABU70" s="188"/>
      <c r="ABV70" s="188"/>
      <c r="ABW70" s="188"/>
      <c r="ABX70" s="188"/>
      <c r="ABY70" s="188"/>
      <c r="ABZ70" s="188"/>
      <c r="ACA70" s="188"/>
      <c r="ACB70" s="188"/>
      <c r="ACC70" s="188"/>
      <c r="ACD70" s="188"/>
      <c r="ACE70" s="188"/>
      <c r="ACF70" s="188"/>
      <c r="ACG70" s="188"/>
      <c r="ACH70" s="188"/>
      <c r="ACI70" s="188"/>
      <c r="ACJ70" s="188"/>
      <c r="ACK70" s="188"/>
      <c r="ACL70" s="188"/>
      <c r="ACM70" s="188"/>
      <c r="ACN70" s="188"/>
      <c r="ACO70" s="188"/>
      <c r="ACP70" s="188"/>
      <c r="ACQ70" s="188"/>
      <c r="ACR70" s="188"/>
      <c r="ACS70" s="188"/>
      <c r="ACT70" s="188"/>
      <c r="ACU70" s="188"/>
      <c r="ACV70" s="188"/>
      <c r="ACW70" s="188"/>
      <c r="ACX70" s="188"/>
      <c r="ACY70" s="188"/>
      <c r="ACZ70" s="188"/>
      <c r="ADA70" s="188"/>
      <c r="ADB70" s="188"/>
      <c r="ADC70" s="188"/>
      <c r="ADD70" s="188"/>
      <c r="ADE70" s="188"/>
      <c r="ADF70" s="188"/>
      <c r="ADG70" s="188"/>
      <c r="ADH70" s="188"/>
      <c r="ADI70" s="188"/>
      <c r="ADJ70" s="188"/>
      <c r="ADK70" s="188"/>
      <c r="ADL70" s="188"/>
      <c r="ADM70" s="188"/>
      <c r="ADN70" s="188"/>
      <c r="ADO70" s="188"/>
      <c r="ADP70" s="188"/>
      <c r="ADQ70" s="188"/>
      <c r="ADR70" s="188"/>
      <c r="ADS70" s="188"/>
      <c r="ADT70" s="188"/>
      <c r="ADU70" s="188"/>
      <c r="ADV70" s="188"/>
      <c r="ADW70" s="188"/>
      <c r="ADX70" s="188"/>
      <c r="ADY70" s="188"/>
      <c r="ADZ70" s="188"/>
      <c r="AEA70" s="188"/>
      <c r="AEB70" s="188"/>
      <c r="AEC70" s="188"/>
      <c r="AED70" s="188"/>
      <c r="AEE70" s="188"/>
      <c r="AEF70" s="188"/>
      <c r="AEG70" s="188"/>
      <c r="AEH70" s="188"/>
      <c r="AEI70" s="188"/>
      <c r="AEJ70" s="188"/>
      <c r="AEK70" s="188"/>
      <c r="AEL70" s="188"/>
      <c r="AEM70" s="188"/>
      <c r="AEN70" s="188"/>
      <c r="AEO70" s="188"/>
      <c r="AEP70" s="188"/>
      <c r="AEQ70" s="188"/>
      <c r="AER70" s="188"/>
      <c r="AES70" s="188"/>
      <c r="AET70" s="188"/>
      <c r="AEU70" s="188"/>
      <c r="AEV70" s="188"/>
      <c r="AEW70" s="188"/>
      <c r="AEX70" s="188"/>
      <c r="AEY70" s="188"/>
      <c r="AEZ70" s="188"/>
      <c r="AFA70" s="188"/>
      <c r="AFB70" s="188"/>
      <c r="AFC70" s="188"/>
      <c r="AFD70" s="188"/>
      <c r="AFE70" s="188"/>
      <c r="AFF70" s="188"/>
      <c r="AFG70" s="188"/>
      <c r="AFH70" s="188"/>
      <c r="AFI70" s="188"/>
      <c r="AFJ70" s="188"/>
      <c r="AFK70" s="188"/>
      <c r="AFL70" s="188"/>
      <c r="AFM70" s="188"/>
      <c r="AFN70" s="188"/>
      <c r="AFO70" s="188"/>
      <c r="AFP70" s="188"/>
      <c r="AFQ70" s="188"/>
      <c r="AFR70" s="188"/>
      <c r="AFS70" s="188"/>
      <c r="AFT70" s="188"/>
      <c r="AFU70" s="188"/>
      <c r="AFV70" s="188"/>
      <c r="AFW70" s="188"/>
      <c r="AFX70" s="188"/>
      <c r="AFY70" s="188"/>
      <c r="AFZ70" s="188"/>
      <c r="AGA70" s="188"/>
      <c r="AGB70" s="188"/>
      <c r="AGC70" s="188"/>
      <c r="AGD70" s="188"/>
      <c r="AGE70" s="188"/>
      <c r="AGF70" s="188"/>
      <c r="AGG70" s="188"/>
      <c r="AGH70" s="188"/>
      <c r="AGI70" s="188"/>
      <c r="AGJ70" s="188"/>
      <c r="AGK70" s="188"/>
      <c r="AGL70" s="188"/>
      <c r="AGM70" s="188"/>
      <c r="AGN70" s="188"/>
      <c r="AGO70" s="188"/>
      <c r="AGP70" s="188"/>
      <c r="AGQ70" s="188"/>
      <c r="AGR70" s="188"/>
      <c r="AGS70" s="188"/>
      <c r="AGT70" s="188"/>
      <c r="AGU70" s="188"/>
      <c r="AGV70" s="188"/>
      <c r="AGW70" s="188"/>
      <c r="AGX70" s="188"/>
      <c r="AGY70" s="188"/>
      <c r="AGZ70" s="188"/>
      <c r="AHA70" s="188"/>
      <c r="AHB70" s="188"/>
      <c r="AHC70" s="188"/>
      <c r="AHD70" s="188"/>
      <c r="AHE70" s="188"/>
      <c r="AHF70" s="188"/>
      <c r="AHG70" s="188"/>
      <c r="AHH70" s="188"/>
      <c r="AHI70" s="188"/>
      <c r="AHJ70" s="188"/>
      <c r="AHK70" s="188"/>
      <c r="AHL70" s="188"/>
      <c r="AHM70" s="188"/>
      <c r="AHN70" s="188"/>
      <c r="AHO70" s="188"/>
      <c r="AHP70" s="188"/>
      <c r="AHQ70" s="188"/>
      <c r="AHR70" s="188"/>
      <c r="AHS70" s="188"/>
      <c r="AHT70" s="188"/>
      <c r="AHU70" s="188"/>
      <c r="AHV70" s="188"/>
      <c r="AHW70" s="188"/>
      <c r="AHX70" s="188"/>
      <c r="AHY70" s="188"/>
      <c r="AHZ70" s="188"/>
      <c r="AIA70" s="188"/>
      <c r="AIB70" s="188"/>
      <c r="AIC70" s="188"/>
      <c r="AID70" s="188"/>
      <c r="AIE70" s="188"/>
      <c r="AIF70" s="188"/>
      <c r="AIG70" s="188"/>
      <c r="AIH70" s="188"/>
      <c r="AII70" s="188"/>
      <c r="AIJ70" s="188"/>
      <c r="AIK70" s="188"/>
      <c r="AIL70" s="188"/>
      <c r="AIM70" s="188"/>
      <c r="AIN70" s="188"/>
      <c r="AIO70" s="188"/>
      <c r="AIP70" s="188"/>
      <c r="AIQ70" s="188"/>
      <c r="AIR70" s="188"/>
      <c r="AIS70" s="188"/>
      <c r="AIT70" s="188"/>
      <c r="AIU70" s="188"/>
      <c r="AIV70" s="188"/>
      <c r="AIW70" s="188"/>
      <c r="AIX70" s="188"/>
      <c r="AIY70" s="188"/>
      <c r="AIZ70" s="188"/>
      <c r="AJA70" s="188"/>
      <c r="AJB70" s="188"/>
      <c r="AJC70" s="188"/>
      <c r="AJD70" s="188"/>
      <c r="AJE70" s="188"/>
      <c r="AJF70" s="188"/>
      <c r="AJG70" s="188"/>
      <c r="AJH70" s="188"/>
      <c r="AJI70" s="188"/>
      <c r="AJJ70" s="188"/>
      <c r="AJK70" s="188"/>
      <c r="AJL70" s="188"/>
      <c r="AJM70" s="188"/>
      <c r="AJN70" s="188"/>
      <c r="AJO70" s="188"/>
      <c r="AJP70" s="188"/>
      <c r="AJQ70" s="188"/>
      <c r="AJR70" s="188"/>
      <c r="AJS70" s="188"/>
      <c r="AJT70" s="188"/>
      <c r="AJU70" s="188"/>
      <c r="AJV70" s="188"/>
      <c r="AJW70" s="188"/>
      <c r="AJX70" s="188"/>
      <c r="AJY70" s="188"/>
      <c r="AJZ70" s="188"/>
      <c r="AKA70" s="188"/>
      <c r="AKB70" s="188"/>
      <c r="AKC70" s="188"/>
      <c r="AKD70" s="188"/>
      <c r="AKE70" s="188"/>
      <c r="AKF70" s="188"/>
      <c r="AKG70" s="188"/>
      <c r="AKH70" s="188"/>
      <c r="AKI70" s="188"/>
      <c r="AKJ70" s="188"/>
      <c r="AKK70" s="188"/>
      <c r="AKL70" s="188"/>
      <c r="AKM70" s="188"/>
      <c r="AKN70" s="188"/>
      <c r="AKO70" s="188"/>
      <c r="AKP70" s="188"/>
      <c r="AKQ70" s="188"/>
      <c r="AKR70" s="188"/>
      <c r="AKS70" s="188"/>
      <c r="AKT70" s="188"/>
      <c r="AKU70" s="188"/>
      <c r="AKV70" s="188"/>
      <c r="AKW70" s="188"/>
      <c r="AKX70" s="188"/>
      <c r="AKY70" s="188"/>
      <c r="AKZ70" s="188"/>
      <c r="ALA70" s="188"/>
      <c r="ALB70" s="188"/>
      <c r="ALC70" s="188"/>
      <c r="ALD70" s="188"/>
      <c r="ALE70" s="188"/>
      <c r="ALF70" s="188"/>
      <c r="ALG70" s="188"/>
      <c r="ALH70" s="188"/>
      <c r="ALI70" s="188"/>
      <c r="ALJ70" s="188"/>
      <c r="ALK70" s="188"/>
      <c r="ALL70" s="188"/>
      <c r="ALM70" s="188"/>
      <c r="ALN70" s="188"/>
      <c r="ALO70" s="188"/>
      <c r="ALP70" s="188"/>
      <c r="ALQ70" s="188"/>
      <c r="ALR70" s="188"/>
      <c r="ALS70" s="188"/>
      <c r="ALT70" s="188"/>
      <c r="ALU70" s="188"/>
      <c r="ALV70" s="188"/>
      <c r="ALW70" s="188"/>
      <c r="ALX70" s="188"/>
      <c r="ALY70" s="188"/>
      <c r="ALZ70" s="188"/>
      <c r="AMA70" s="188"/>
      <c r="AMB70" s="188"/>
      <c r="AMC70" s="188"/>
      <c r="AMD70" s="188"/>
      <c r="AME70" s="188"/>
      <c r="AMF70" s="188"/>
      <c r="AMG70" s="188"/>
      <c r="AMH70" s="188"/>
      <c r="AMI70" s="188"/>
      <c r="AMJ70" s="188"/>
      <c r="AMK70" s="188"/>
      <c r="AML70" s="188"/>
      <c r="AMM70" s="188"/>
      <c r="AMN70" s="188"/>
      <c r="AMO70" s="188"/>
      <c r="AMP70" s="188"/>
      <c r="AMQ70" s="188"/>
      <c r="AMR70" s="188"/>
      <c r="AMS70" s="188"/>
      <c r="AMT70" s="188"/>
      <c r="AMU70" s="188"/>
      <c r="AMV70" s="188"/>
      <c r="AMW70" s="188"/>
      <c r="AMX70" s="188"/>
      <c r="AMY70" s="188"/>
      <c r="AMZ70" s="188"/>
      <c r="ANA70" s="188"/>
      <c r="ANB70" s="188"/>
      <c r="ANC70" s="188"/>
      <c r="AND70" s="188"/>
      <c r="ANE70" s="188"/>
      <c r="ANF70" s="188"/>
      <c r="ANG70" s="188"/>
      <c r="ANH70" s="188"/>
      <c r="ANI70" s="188"/>
      <c r="ANJ70" s="188"/>
      <c r="ANK70" s="188"/>
      <c r="ANL70" s="188"/>
      <c r="ANM70" s="188"/>
      <c r="ANN70" s="188"/>
      <c r="ANO70" s="188"/>
      <c r="ANP70" s="188"/>
      <c r="ANQ70" s="188"/>
      <c r="ANR70" s="188"/>
      <c r="ANS70" s="188"/>
      <c r="ANT70" s="188"/>
      <c r="ANU70" s="188"/>
      <c r="ANV70" s="188"/>
      <c r="ANW70" s="188"/>
      <c r="ANX70" s="188"/>
      <c r="ANY70" s="188"/>
      <c r="ANZ70" s="188"/>
      <c r="AOA70" s="188"/>
      <c r="AOB70" s="188"/>
      <c r="AOC70" s="188"/>
      <c r="AOD70" s="188"/>
      <c r="AOE70" s="188"/>
      <c r="AOF70" s="188"/>
      <c r="AOG70" s="188"/>
      <c r="AOH70" s="188"/>
      <c r="AOI70" s="188"/>
      <c r="AOJ70" s="188"/>
      <c r="AOK70" s="188"/>
      <c r="AOL70" s="188"/>
      <c r="AOM70" s="188"/>
      <c r="AON70" s="188"/>
      <c r="AOO70" s="188"/>
      <c r="AOP70" s="188"/>
      <c r="AOQ70" s="188"/>
      <c r="AOR70" s="188"/>
      <c r="AOS70" s="188"/>
      <c r="AOT70" s="188"/>
      <c r="AOU70" s="188"/>
      <c r="AOV70" s="188"/>
      <c r="AOW70" s="188"/>
      <c r="AOX70" s="188"/>
      <c r="AOY70" s="188"/>
      <c r="AOZ70" s="188"/>
      <c r="APA70" s="188"/>
      <c r="APB70" s="188"/>
      <c r="APC70" s="188"/>
      <c r="APD70" s="188"/>
      <c r="APE70" s="188"/>
      <c r="APF70" s="188"/>
      <c r="APG70" s="188"/>
      <c r="APH70" s="188"/>
      <c r="API70" s="188"/>
      <c r="APJ70" s="188"/>
      <c r="APK70" s="188"/>
      <c r="APL70" s="188"/>
      <c r="APM70" s="188"/>
      <c r="APN70" s="188"/>
      <c r="APO70" s="188"/>
      <c r="APP70" s="188"/>
      <c r="APQ70" s="188"/>
      <c r="APR70" s="188"/>
      <c r="APS70" s="188"/>
      <c r="APT70" s="188"/>
      <c r="APU70" s="188"/>
      <c r="APV70" s="188"/>
      <c r="APW70" s="188"/>
      <c r="APX70" s="188"/>
      <c r="APY70" s="188"/>
      <c r="APZ70" s="188"/>
      <c r="AQA70" s="188"/>
      <c r="AQB70" s="188"/>
      <c r="AQC70" s="188"/>
      <c r="AQD70" s="188"/>
      <c r="AQE70" s="188"/>
      <c r="AQF70" s="188"/>
      <c r="AQG70" s="188"/>
      <c r="AQH70" s="188"/>
      <c r="AQI70" s="188"/>
      <c r="AQJ70" s="188"/>
      <c r="AQK70" s="188"/>
      <c r="AQL70" s="188"/>
      <c r="AQM70" s="188"/>
      <c r="AQN70" s="188"/>
      <c r="AQO70" s="188"/>
      <c r="AQP70" s="188"/>
      <c r="AQQ70" s="188"/>
      <c r="AQR70" s="188"/>
      <c r="AQS70" s="188"/>
      <c r="AQT70" s="188"/>
      <c r="AQU70" s="188"/>
      <c r="AQV70" s="188"/>
      <c r="AQW70" s="188"/>
      <c r="AQX70" s="188"/>
      <c r="AQY70" s="188"/>
      <c r="AQZ70" s="188"/>
      <c r="ARA70" s="188"/>
      <c r="ARB70" s="188"/>
      <c r="ARC70" s="188"/>
      <c r="ARD70" s="188"/>
      <c r="ARE70" s="188"/>
      <c r="ARF70" s="188"/>
      <c r="ARG70" s="188"/>
      <c r="ARH70" s="188"/>
      <c r="ARI70" s="188"/>
      <c r="ARJ70" s="188"/>
      <c r="ARK70" s="188"/>
      <c r="ARL70" s="188"/>
      <c r="ARM70" s="188"/>
      <c r="ARN70" s="188"/>
      <c r="ARO70" s="188"/>
      <c r="ARP70" s="188"/>
      <c r="ARQ70" s="188"/>
      <c r="ARR70" s="188"/>
      <c r="ARS70" s="188"/>
      <c r="ART70" s="188"/>
      <c r="ARU70" s="188"/>
      <c r="ARV70" s="188"/>
      <c r="ARW70" s="188"/>
      <c r="ARX70" s="188"/>
      <c r="ARY70" s="188"/>
      <c r="ARZ70" s="188"/>
      <c r="ASA70" s="188"/>
      <c r="ASB70" s="188"/>
      <c r="ASC70" s="188"/>
      <c r="ASD70" s="188"/>
      <c r="ASE70" s="188"/>
      <c r="ASF70" s="188"/>
      <c r="ASG70" s="188"/>
      <c r="ASH70" s="188"/>
      <c r="ASI70" s="188"/>
      <c r="ASJ70" s="188"/>
      <c r="ASK70" s="188"/>
      <c r="ASL70" s="188"/>
      <c r="ASM70" s="188"/>
      <c r="ASN70" s="188"/>
      <c r="ASO70" s="188"/>
      <c r="ASP70" s="188"/>
      <c r="ASQ70" s="188"/>
      <c r="ASR70" s="188"/>
      <c r="ASS70" s="188"/>
      <c r="AST70" s="188"/>
      <c r="ASU70" s="188"/>
      <c r="ASV70" s="188"/>
      <c r="ASW70" s="188"/>
      <c r="ASX70" s="188"/>
      <c r="ASY70" s="188"/>
      <c r="ASZ70" s="188"/>
      <c r="ATA70" s="188"/>
      <c r="ATB70" s="188"/>
      <c r="ATC70" s="188"/>
      <c r="ATD70" s="188"/>
      <c r="ATE70" s="188"/>
      <c r="ATF70" s="188"/>
      <c r="ATG70" s="188"/>
      <c r="ATH70" s="188"/>
      <c r="ATI70" s="188"/>
      <c r="ATJ70" s="188"/>
      <c r="ATK70" s="188"/>
      <c r="ATL70" s="188"/>
      <c r="ATM70" s="188"/>
      <c r="ATN70" s="188"/>
      <c r="ATO70" s="188"/>
      <c r="ATP70" s="188"/>
      <c r="ATQ70" s="188"/>
      <c r="ATR70" s="188"/>
      <c r="ATS70" s="188"/>
      <c r="ATT70" s="188"/>
      <c r="ATU70" s="188"/>
      <c r="ATV70" s="188"/>
      <c r="ATW70" s="188"/>
      <c r="ATX70" s="188"/>
      <c r="ATY70" s="188"/>
      <c r="ATZ70" s="188"/>
      <c r="AUA70" s="188"/>
      <c r="AUB70" s="188"/>
      <c r="AUC70" s="188"/>
      <c r="AUD70" s="188"/>
      <c r="AUE70" s="188"/>
      <c r="AUF70" s="188"/>
      <c r="AUG70" s="188"/>
      <c r="AUH70" s="188"/>
      <c r="AUI70" s="188"/>
      <c r="AUJ70" s="188"/>
      <c r="AUK70" s="188"/>
      <c r="AUL70" s="188"/>
      <c r="AUM70" s="188"/>
      <c r="AUN70" s="188"/>
      <c r="AUO70" s="188"/>
      <c r="AUP70" s="188"/>
      <c r="AUQ70" s="188"/>
      <c r="AUR70" s="188"/>
      <c r="AUS70" s="188"/>
      <c r="AUT70" s="188"/>
      <c r="AUU70" s="188"/>
      <c r="AUV70" s="188"/>
      <c r="AUW70" s="188"/>
      <c r="AUX70" s="188"/>
      <c r="AUY70" s="188"/>
      <c r="AUZ70" s="188"/>
      <c r="AVA70" s="188"/>
      <c r="AVB70" s="188"/>
      <c r="AVC70" s="188"/>
      <c r="AVD70" s="188"/>
      <c r="AVE70" s="188"/>
      <c r="AVF70" s="188"/>
      <c r="AVG70" s="188"/>
      <c r="AVH70" s="188"/>
      <c r="AVI70" s="188"/>
      <c r="AVJ70" s="188"/>
      <c r="AVK70" s="188"/>
      <c r="AVL70" s="188"/>
      <c r="AVM70" s="188"/>
      <c r="AVN70" s="188"/>
      <c r="AVO70" s="188"/>
      <c r="AVP70" s="188"/>
      <c r="AVQ70" s="188"/>
      <c r="AVR70" s="188"/>
      <c r="AVS70" s="188"/>
      <c r="AVT70" s="188"/>
      <c r="AVU70" s="188"/>
      <c r="AVV70" s="188"/>
      <c r="AVW70" s="188"/>
      <c r="AVX70" s="188"/>
      <c r="AVY70" s="188"/>
      <c r="AVZ70" s="188"/>
      <c r="AWA70" s="188"/>
      <c r="AWB70" s="188"/>
      <c r="AWC70" s="188"/>
      <c r="AWD70" s="188"/>
      <c r="AWE70" s="188"/>
      <c r="AWF70" s="188"/>
      <c r="AWG70" s="188"/>
      <c r="AWH70" s="188"/>
      <c r="AWI70" s="188"/>
      <c r="AWJ70" s="188"/>
      <c r="AWK70" s="188"/>
      <c r="AWL70" s="188"/>
      <c r="AWM70" s="188"/>
      <c r="AWN70" s="188"/>
      <c r="AWO70" s="188"/>
      <c r="AWP70" s="188"/>
      <c r="AWQ70" s="188"/>
      <c r="AWR70" s="188"/>
      <c r="AWS70" s="188"/>
      <c r="AWT70" s="188"/>
      <c r="AWU70" s="188"/>
      <c r="AWV70" s="188"/>
      <c r="AWW70" s="188"/>
      <c r="AWX70" s="188"/>
      <c r="AWY70" s="188"/>
      <c r="AWZ70" s="188"/>
      <c r="AXA70" s="188"/>
      <c r="AXB70" s="188"/>
      <c r="AXC70" s="188"/>
      <c r="AXD70" s="188"/>
      <c r="AXE70" s="188"/>
      <c r="AXF70" s="188"/>
      <c r="AXG70" s="188"/>
      <c r="AXH70" s="188"/>
      <c r="AXI70" s="188"/>
      <c r="AXJ70" s="188"/>
      <c r="AXK70" s="188"/>
      <c r="AXL70" s="188"/>
      <c r="AXM70" s="188"/>
      <c r="AXN70" s="188"/>
      <c r="AXO70" s="188"/>
      <c r="AXP70" s="188"/>
      <c r="AXQ70" s="188"/>
      <c r="AXR70" s="188"/>
      <c r="AXS70" s="188"/>
      <c r="AXT70" s="188"/>
      <c r="AXU70" s="188"/>
      <c r="AXV70" s="188"/>
      <c r="AXW70" s="188"/>
      <c r="AXX70" s="188"/>
      <c r="AXY70" s="188"/>
      <c r="AXZ70" s="188"/>
      <c r="AYA70" s="188"/>
      <c r="AYB70" s="188"/>
      <c r="AYC70" s="188"/>
      <c r="AYD70" s="188"/>
      <c r="AYE70" s="188"/>
      <c r="AYF70" s="188"/>
      <c r="AYG70" s="188"/>
      <c r="AYH70" s="188"/>
      <c r="AYI70" s="188"/>
      <c r="AYJ70" s="188"/>
      <c r="AYK70" s="188"/>
      <c r="AYL70" s="188"/>
      <c r="AYM70" s="188"/>
      <c r="AYN70" s="188"/>
      <c r="AYO70" s="188"/>
      <c r="AYP70" s="188"/>
      <c r="AYQ70" s="188"/>
      <c r="AYR70" s="188"/>
      <c r="AYS70" s="188"/>
      <c r="AYT70" s="188"/>
      <c r="AYU70" s="188"/>
      <c r="AYV70" s="188"/>
      <c r="AYW70" s="188"/>
      <c r="AYX70" s="188"/>
      <c r="AYY70" s="188"/>
      <c r="AYZ70" s="188"/>
      <c r="AZA70" s="188"/>
      <c r="AZB70" s="188"/>
      <c r="AZC70" s="188"/>
      <c r="AZD70" s="188"/>
      <c r="AZE70" s="188"/>
      <c r="AZF70" s="188"/>
      <c r="AZG70" s="188"/>
      <c r="AZH70" s="188"/>
      <c r="AZI70" s="188"/>
      <c r="AZJ70" s="188"/>
      <c r="AZK70" s="188"/>
      <c r="AZL70" s="188"/>
      <c r="AZM70" s="188"/>
      <c r="AZN70" s="188"/>
      <c r="AZO70" s="188"/>
      <c r="AZP70" s="188"/>
      <c r="AZQ70" s="188"/>
      <c r="AZR70" s="188"/>
      <c r="AZS70" s="188"/>
      <c r="AZT70" s="188"/>
      <c r="AZU70" s="188"/>
      <c r="AZV70" s="188"/>
      <c r="AZW70" s="188"/>
      <c r="AZX70" s="188"/>
      <c r="AZY70" s="188"/>
      <c r="AZZ70" s="188"/>
      <c r="BAA70" s="188"/>
      <c r="BAB70" s="188"/>
      <c r="BAC70" s="188"/>
      <c r="BAD70" s="188"/>
      <c r="BAE70" s="188"/>
      <c r="BAF70" s="188"/>
      <c r="BAG70" s="188"/>
      <c r="BAH70" s="188"/>
      <c r="BAI70" s="188"/>
      <c r="BAJ70" s="188"/>
      <c r="BAK70" s="188"/>
      <c r="BAL70" s="188"/>
      <c r="BAM70" s="188"/>
      <c r="BAN70" s="188"/>
      <c r="BAO70" s="188"/>
      <c r="BAP70" s="188"/>
      <c r="BAQ70" s="188"/>
      <c r="BAR70" s="188"/>
      <c r="BAS70" s="188"/>
      <c r="BAT70" s="188"/>
      <c r="BAU70" s="188"/>
      <c r="BAV70" s="188"/>
      <c r="BAW70" s="188"/>
      <c r="BAX70" s="188"/>
      <c r="BAY70" s="188"/>
      <c r="BAZ70" s="188"/>
      <c r="BBA70" s="188"/>
      <c r="BBB70" s="188"/>
      <c r="BBC70" s="188"/>
      <c r="BBD70" s="188"/>
      <c r="BBE70" s="188"/>
      <c r="BBF70" s="188"/>
      <c r="BBG70" s="188"/>
      <c r="BBH70" s="188"/>
      <c r="BBI70" s="188"/>
      <c r="BBJ70" s="188"/>
      <c r="BBK70" s="188"/>
      <c r="BBL70" s="188"/>
      <c r="BBM70" s="188"/>
      <c r="BBN70" s="188"/>
      <c r="BBO70" s="188"/>
      <c r="BBP70" s="188"/>
      <c r="BBQ70" s="188"/>
      <c r="BBR70" s="188"/>
      <c r="BBS70" s="188"/>
      <c r="BBT70" s="188"/>
      <c r="BBU70" s="188"/>
      <c r="BBV70" s="188"/>
      <c r="BBW70" s="188"/>
      <c r="BBX70" s="188"/>
      <c r="BBY70" s="188"/>
      <c r="BBZ70" s="188"/>
      <c r="BCA70" s="188"/>
      <c r="BCB70" s="188"/>
      <c r="BCC70" s="188"/>
      <c r="BCD70" s="188"/>
      <c r="BCE70" s="188"/>
      <c r="BCF70" s="188"/>
      <c r="BCG70" s="188"/>
      <c r="BCH70" s="188"/>
      <c r="BCI70" s="188"/>
      <c r="BCJ70" s="188"/>
      <c r="BCK70" s="188"/>
      <c r="BCL70" s="188"/>
      <c r="BCM70" s="188"/>
      <c r="BCN70" s="188"/>
      <c r="BCO70" s="188"/>
      <c r="BCP70" s="188"/>
      <c r="BCQ70" s="188"/>
      <c r="BCR70" s="188"/>
      <c r="BCS70" s="188"/>
      <c r="BCT70" s="188"/>
      <c r="BCU70" s="188"/>
      <c r="BCV70" s="188"/>
      <c r="BCW70" s="188"/>
      <c r="BCX70" s="188"/>
      <c r="BCY70" s="188"/>
      <c r="BCZ70" s="188"/>
      <c r="BDA70" s="188"/>
      <c r="BDB70" s="188"/>
      <c r="BDC70" s="188"/>
      <c r="BDD70" s="188"/>
      <c r="BDE70" s="188"/>
      <c r="BDF70" s="188"/>
      <c r="BDG70" s="188"/>
      <c r="BDH70" s="188"/>
      <c r="BDI70" s="188"/>
      <c r="BDJ70" s="188"/>
      <c r="BDK70" s="188"/>
      <c r="BDL70" s="188"/>
      <c r="BDM70" s="188"/>
      <c r="BDN70" s="188"/>
      <c r="BDO70" s="188"/>
      <c r="BDP70" s="188"/>
      <c r="BDQ70" s="188"/>
      <c r="BDR70" s="188"/>
      <c r="BDS70" s="188"/>
      <c r="BDT70" s="188"/>
      <c r="BDU70" s="188"/>
      <c r="BDV70" s="188"/>
      <c r="BDW70" s="188"/>
      <c r="BDX70" s="188"/>
      <c r="BDY70" s="188"/>
      <c r="BDZ70" s="188"/>
      <c r="BEA70" s="188"/>
      <c r="BEB70" s="188"/>
      <c r="BEC70" s="188"/>
      <c r="BED70" s="188"/>
      <c r="BEE70" s="188"/>
      <c r="BEF70" s="188"/>
      <c r="BEG70" s="188"/>
      <c r="BEH70" s="188"/>
      <c r="BEI70" s="188"/>
      <c r="BEJ70" s="188"/>
      <c r="BEK70" s="188"/>
      <c r="BEL70" s="188"/>
      <c r="BEM70" s="188"/>
      <c r="BEN70" s="188"/>
      <c r="BEO70" s="188"/>
      <c r="BEP70" s="188"/>
      <c r="BEQ70" s="188"/>
      <c r="BER70" s="188"/>
      <c r="BES70" s="188"/>
      <c r="BET70" s="188"/>
      <c r="BEU70" s="188"/>
      <c r="BEV70" s="188"/>
      <c r="BEW70" s="188"/>
      <c r="BEX70" s="188"/>
      <c r="BEY70" s="188"/>
      <c r="BEZ70" s="188"/>
      <c r="BFA70" s="188"/>
      <c r="BFB70" s="188"/>
      <c r="BFC70" s="188"/>
      <c r="BFD70" s="188"/>
      <c r="BFE70" s="188"/>
      <c r="BFF70" s="188"/>
      <c r="BFG70" s="188"/>
      <c r="BFH70" s="188"/>
      <c r="BFI70" s="188"/>
      <c r="BFJ70" s="188"/>
      <c r="BFK70" s="188"/>
      <c r="BFL70" s="188"/>
      <c r="BFM70" s="188"/>
      <c r="BFN70" s="188"/>
      <c r="BFO70" s="188"/>
      <c r="BFP70" s="188"/>
      <c r="BFQ70" s="188"/>
      <c r="BFR70" s="188"/>
      <c r="BFS70" s="188"/>
      <c r="BFT70" s="188"/>
      <c r="BFU70" s="188"/>
      <c r="BFV70" s="188"/>
      <c r="BFW70" s="188"/>
      <c r="BFX70" s="188"/>
      <c r="BFY70" s="188"/>
      <c r="BFZ70" s="188"/>
      <c r="BGA70" s="188"/>
      <c r="BGB70" s="188"/>
      <c r="BGC70" s="188"/>
      <c r="BGD70" s="188"/>
      <c r="BGE70" s="188"/>
      <c r="BGF70" s="188"/>
      <c r="BGG70" s="188"/>
      <c r="BGH70" s="188"/>
      <c r="BGI70" s="188"/>
      <c r="BGJ70" s="188"/>
      <c r="BGK70" s="188"/>
      <c r="BGL70" s="188"/>
      <c r="BGM70" s="188"/>
      <c r="BGN70" s="188"/>
      <c r="BGO70" s="188"/>
      <c r="BGP70" s="188"/>
      <c r="BGQ70" s="188"/>
      <c r="BGR70" s="188"/>
      <c r="BGS70" s="188"/>
      <c r="BGT70" s="188"/>
      <c r="BGU70" s="188"/>
      <c r="BGV70" s="188"/>
      <c r="BGW70" s="188"/>
      <c r="BGX70" s="188"/>
      <c r="BGY70" s="188"/>
      <c r="BGZ70" s="188"/>
      <c r="BHA70" s="188"/>
      <c r="BHB70" s="188"/>
      <c r="BHC70" s="188"/>
      <c r="BHD70" s="188"/>
      <c r="BHE70" s="188"/>
      <c r="BHF70" s="188"/>
      <c r="BHG70" s="188"/>
      <c r="BHH70" s="188"/>
      <c r="BHI70" s="188"/>
      <c r="BHJ70" s="188"/>
      <c r="BHK70" s="188"/>
      <c r="BHL70" s="188"/>
      <c r="BHM70" s="188"/>
      <c r="BHN70" s="188"/>
      <c r="BHO70" s="188"/>
      <c r="BHP70" s="188"/>
      <c r="BHQ70" s="188"/>
      <c r="BHR70" s="188"/>
      <c r="BHS70" s="188"/>
      <c r="BHT70" s="188"/>
      <c r="BHU70" s="188"/>
      <c r="BHV70" s="188"/>
      <c r="BHW70" s="188"/>
      <c r="BHX70" s="188"/>
      <c r="BHY70" s="188"/>
      <c r="BHZ70" s="188"/>
      <c r="BIA70" s="188"/>
      <c r="BIB70" s="188"/>
      <c r="BIC70" s="188"/>
      <c r="BID70" s="188"/>
      <c r="BIE70" s="188"/>
      <c r="BIF70" s="188"/>
      <c r="BIG70" s="188"/>
      <c r="BIH70" s="188"/>
      <c r="BII70" s="188"/>
      <c r="BIJ70" s="188"/>
      <c r="BIK70" s="188"/>
      <c r="BIL70" s="188"/>
      <c r="BIM70" s="188"/>
      <c r="BIN70" s="188"/>
      <c r="BIO70" s="188"/>
      <c r="BIP70" s="188"/>
      <c r="BIQ70" s="188"/>
      <c r="BIR70" s="188"/>
      <c r="BIS70" s="188"/>
      <c r="BIT70" s="188"/>
      <c r="BIU70" s="188"/>
      <c r="BIV70" s="188"/>
      <c r="BIW70" s="188"/>
      <c r="BIX70" s="188"/>
      <c r="BIY70" s="188"/>
      <c r="BIZ70" s="188"/>
      <c r="BJA70" s="188"/>
      <c r="BJB70" s="188"/>
      <c r="BJC70" s="188"/>
      <c r="BJD70" s="188"/>
      <c r="BJE70" s="188"/>
      <c r="BJF70" s="188"/>
      <c r="BJG70" s="188"/>
      <c r="BJH70" s="188"/>
      <c r="BJI70" s="188"/>
      <c r="BJJ70" s="188"/>
      <c r="BJK70" s="188"/>
      <c r="BJL70" s="188"/>
      <c r="BJM70" s="188"/>
      <c r="BJN70" s="188"/>
      <c r="BJO70" s="188"/>
      <c r="BJP70" s="188"/>
      <c r="BJQ70" s="188"/>
      <c r="BJR70" s="188"/>
      <c r="BJS70" s="188"/>
      <c r="BJT70" s="188"/>
      <c r="BJU70" s="188"/>
      <c r="BJV70" s="188"/>
      <c r="BJW70" s="188"/>
      <c r="BJX70" s="188"/>
      <c r="BJY70" s="188"/>
      <c r="BJZ70" s="188"/>
      <c r="BKA70" s="188"/>
      <c r="BKB70" s="188"/>
      <c r="BKC70" s="188"/>
      <c r="BKD70" s="188"/>
      <c r="BKE70" s="188"/>
      <c r="BKF70" s="188"/>
      <c r="BKG70" s="188"/>
      <c r="BKH70" s="188"/>
      <c r="BKI70" s="188"/>
      <c r="BKJ70" s="188"/>
      <c r="BKK70" s="188"/>
      <c r="BKL70" s="188"/>
      <c r="BKM70" s="188"/>
      <c r="BKN70" s="188"/>
    </row>
    <row r="71" spans="1:1652" s="21" customFormat="1" x14ac:dyDescent="0.3">
      <c r="A71" s="171"/>
      <c r="B71" s="189"/>
      <c r="C71" s="189"/>
      <c r="D71" s="189"/>
      <c r="E71" s="189"/>
      <c r="F71" s="189"/>
      <c r="G71" s="189"/>
      <c r="I71" s="188"/>
      <c r="J71" s="188"/>
      <c r="K71" s="188"/>
      <c r="L71" s="188"/>
      <c r="M71" s="188"/>
      <c r="N71" s="188"/>
      <c r="O71" s="188"/>
      <c r="P71" s="188"/>
      <c r="Q71" s="188"/>
      <c r="R71" s="188"/>
      <c r="S71" s="188"/>
      <c r="T71" s="188"/>
      <c r="U71" s="188"/>
      <c r="V71" s="188"/>
      <c r="W71" s="188"/>
      <c r="X71" s="188"/>
      <c r="Y71" s="188"/>
      <c r="Z71" s="188"/>
      <c r="AA71" s="188"/>
      <c r="AB71" s="188"/>
      <c r="AC71" s="188"/>
      <c r="AD71" s="188"/>
      <c r="AE71" s="188"/>
      <c r="AF71" s="188"/>
      <c r="AG71" s="188"/>
      <c r="AH71" s="188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188"/>
      <c r="AT71" s="189"/>
      <c r="AU71" s="189"/>
      <c r="AV71" s="189"/>
      <c r="AW71" s="189"/>
      <c r="AX71" s="189"/>
      <c r="AY71" s="189"/>
      <c r="AZ71" s="189"/>
      <c r="BA71" s="189"/>
      <c r="BB71" s="189"/>
      <c r="BC71" s="189"/>
      <c r="BD71" s="189"/>
      <c r="BE71" s="188"/>
      <c r="BF71" s="188"/>
      <c r="BG71" s="188"/>
      <c r="BH71" s="188"/>
      <c r="BI71" s="188"/>
      <c r="BJ71" s="188"/>
      <c r="BK71" s="188"/>
      <c r="BL71" s="188"/>
      <c r="BM71" s="188"/>
      <c r="BN71" s="188"/>
      <c r="BO71" s="188"/>
      <c r="BP71" s="188"/>
      <c r="BQ71" s="188"/>
      <c r="BR71" s="188"/>
      <c r="BS71" s="188"/>
      <c r="BT71" s="188"/>
      <c r="BU71" s="188"/>
      <c r="BV71" s="188"/>
      <c r="BW71" s="188"/>
      <c r="BX71" s="188"/>
      <c r="BY71" s="188"/>
      <c r="BZ71" s="188"/>
      <c r="CA71" s="188"/>
      <c r="CB71" s="188"/>
      <c r="CC71" s="188"/>
      <c r="CD71" s="188"/>
      <c r="CE71" s="188"/>
      <c r="CF71" s="188"/>
      <c r="CG71" s="188"/>
      <c r="CH71" s="188"/>
      <c r="CI71" s="188"/>
      <c r="CJ71" s="188"/>
      <c r="CK71" s="188"/>
      <c r="CL71" s="188"/>
      <c r="CM71" s="188"/>
      <c r="CN71" s="188"/>
      <c r="CO71" s="188"/>
      <c r="CP71" s="188"/>
      <c r="CQ71" s="188"/>
      <c r="CR71" s="188"/>
      <c r="CS71" s="188"/>
      <c r="CT71" s="188"/>
      <c r="CU71" s="188"/>
      <c r="CV71" s="188"/>
      <c r="CW71" s="188"/>
      <c r="CX71" s="188"/>
      <c r="CY71" s="188"/>
      <c r="CZ71" s="188"/>
      <c r="DA71" s="188"/>
      <c r="DB71" s="188"/>
      <c r="DC71" s="188"/>
      <c r="DD71" s="188"/>
      <c r="DE71" s="188"/>
      <c r="DF71" s="188"/>
      <c r="DG71" s="188"/>
      <c r="DH71" s="188"/>
      <c r="DI71" s="188"/>
      <c r="DJ71" s="188"/>
      <c r="DK71" s="188"/>
      <c r="DL71" s="188"/>
      <c r="DM71" s="188"/>
      <c r="DN71" s="188"/>
      <c r="DO71" s="188"/>
      <c r="DP71" s="188"/>
      <c r="DQ71" s="188"/>
      <c r="DR71" s="188"/>
      <c r="DS71" s="188"/>
      <c r="DT71" s="188"/>
      <c r="DU71" s="188"/>
      <c r="DV71" s="188"/>
      <c r="DW71" s="188"/>
      <c r="DX71" s="188"/>
      <c r="DY71" s="188"/>
      <c r="DZ71" s="188"/>
      <c r="EA71" s="188"/>
      <c r="EB71" s="188"/>
      <c r="EC71" s="188"/>
      <c r="ED71" s="188"/>
      <c r="EE71" s="188"/>
      <c r="EF71" s="188"/>
      <c r="EG71" s="188"/>
      <c r="EH71" s="188"/>
      <c r="EI71" s="188"/>
      <c r="EJ71" s="188"/>
      <c r="EK71" s="188"/>
      <c r="EL71" s="188"/>
      <c r="EM71" s="188"/>
      <c r="EN71" s="188"/>
      <c r="EO71" s="188"/>
      <c r="EP71" s="188"/>
      <c r="EQ71" s="188"/>
      <c r="ER71" s="188"/>
      <c r="ES71" s="188"/>
      <c r="ET71" s="188"/>
      <c r="EU71" s="188"/>
      <c r="EV71" s="188"/>
      <c r="EW71" s="188"/>
      <c r="EX71" s="188"/>
      <c r="EY71" s="188"/>
      <c r="EZ71" s="188"/>
      <c r="FA71" s="188"/>
      <c r="FB71" s="188"/>
      <c r="FC71" s="188"/>
      <c r="FD71" s="188"/>
      <c r="FE71" s="188"/>
      <c r="FF71" s="188"/>
      <c r="FG71" s="188"/>
      <c r="FH71" s="188"/>
      <c r="FI71" s="188"/>
      <c r="FJ71" s="188"/>
      <c r="FK71" s="188"/>
      <c r="FL71" s="188"/>
      <c r="FM71" s="188"/>
      <c r="FN71" s="188"/>
      <c r="FO71" s="188"/>
      <c r="FP71" s="188"/>
      <c r="FQ71" s="188"/>
      <c r="FR71" s="188"/>
      <c r="FS71" s="188"/>
      <c r="FT71" s="188"/>
      <c r="FU71" s="188"/>
      <c r="FV71" s="188"/>
      <c r="FW71" s="188"/>
      <c r="FX71" s="188"/>
      <c r="FY71" s="188"/>
      <c r="FZ71" s="188"/>
      <c r="GA71" s="188"/>
      <c r="GB71" s="188"/>
      <c r="GC71" s="188"/>
      <c r="GD71" s="188"/>
      <c r="GE71" s="188"/>
      <c r="GF71" s="188"/>
      <c r="GG71" s="188"/>
      <c r="GH71" s="188"/>
      <c r="GI71" s="188"/>
      <c r="GJ71" s="188"/>
      <c r="GK71" s="188"/>
      <c r="GL71" s="188"/>
      <c r="GM71" s="188"/>
      <c r="GN71" s="188"/>
      <c r="GO71" s="188"/>
      <c r="GP71" s="188"/>
      <c r="GQ71" s="188"/>
      <c r="GR71" s="188"/>
      <c r="GS71" s="188"/>
      <c r="GT71" s="188"/>
      <c r="GU71" s="188"/>
      <c r="GV71" s="188"/>
      <c r="GW71" s="188"/>
      <c r="GX71" s="188"/>
      <c r="GY71" s="188"/>
      <c r="GZ71" s="188"/>
      <c r="HA71" s="188"/>
      <c r="HB71" s="188"/>
      <c r="HC71" s="188"/>
      <c r="HD71" s="188"/>
      <c r="HE71" s="188"/>
      <c r="HF71" s="188"/>
      <c r="HG71" s="188"/>
      <c r="HH71" s="188"/>
      <c r="HI71" s="188"/>
      <c r="HJ71" s="188"/>
      <c r="HK71" s="188"/>
      <c r="HL71" s="188"/>
      <c r="HM71" s="188"/>
      <c r="HN71" s="188"/>
      <c r="HO71" s="188"/>
      <c r="HP71" s="188"/>
      <c r="HQ71" s="188"/>
      <c r="HR71" s="188"/>
      <c r="HS71" s="188"/>
      <c r="HT71" s="188"/>
      <c r="HU71" s="188"/>
      <c r="HV71" s="188"/>
      <c r="HW71" s="188"/>
      <c r="HX71" s="188"/>
      <c r="HY71" s="188"/>
      <c r="HZ71" s="188"/>
      <c r="IA71" s="188"/>
      <c r="IB71" s="188"/>
      <c r="IC71" s="188"/>
      <c r="ID71" s="188"/>
      <c r="IE71" s="188"/>
      <c r="IF71" s="188"/>
      <c r="IG71" s="188"/>
      <c r="IH71" s="188"/>
      <c r="II71" s="188"/>
      <c r="IJ71" s="188"/>
      <c r="IK71" s="188"/>
      <c r="IL71" s="188"/>
      <c r="IM71" s="188"/>
      <c r="IN71" s="188"/>
      <c r="IO71" s="188"/>
      <c r="IP71" s="188"/>
      <c r="IQ71" s="188"/>
      <c r="IR71" s="188"/>
      <c r="IS71" s="188"/>
      <c r="IT71" s="188"/>
      <c r="IU71" s="188"/>
      <c r="IV71" s="188"/>
      <c r="IW71" s="188"/>
      <c r="IX71" s="188"/>
      <c r="IY71" s="188"/>
      <c r="IZ71" s="188"/>
      <c r="JA71" s="188"/>
      <c r="JB71" s="188"/>
      <c r="JC71" s="188"/>
      <c r="JD71" s="188"/>
      <c r="JE71" s="188"/>
      <c r="JF71" s="188"/>
      <c r="JG71" s="188"/>
      <c r="JH71" s="188"/>
      <c r="JI71" s="188"/>
      <c r="JJ71" s="188"/>
      <c r="JK71" s="188"/>
      <c r="JL71" s="188"/>
      <c r="JM71" s="188"/>
      <c r="JN71" s="188"/>
      <c r="JO71" s="188"/>
      <c r="JP71" s="188"/>
      <c r="JQ71" s="188"/>
      <c r="JR71" s="188"/>
      <c r="JS71" s="188"/>
      <c r="JT71" s="188"/>
      <c r="JU71" s="188"/>
      <c r="JV71" s="188"/>
      <c r="JW71" s="188"/>
      <c r="JX71" s="188"/>
      <c r="JY71" s="188"/>
      <c r="JZ71" s="188"/>
      <c r="KA71" s="188"/>
      <c r="KB71" s="188"/>
      <c r="KC71" s="188"/>
      <c r="KD71" s="188"/>
      <c r="KE71" s="188"/>
      <c r="KF71" s="188"/>
      <c r="KG71" s="188"/>
      <c r="KH71" s="188"/>
      <c r="KI71" s="188"/>
      <c r="KJ71" s="188"/>
      <c r="KK71" s="188"/>
      <c r="KL71" s="188"/>
      <c r="KM71" s="188"/>
      <c r="KN71" s="188"/>
      <c r="KO71" s="188"/>
      <c r="KP71" s="188"/>
      <c r="KQ71" s="188"/>
      <c r="KR71" s="188"/>
      <c r="KS71" s="188"/>
      <c r="KT71" s="188"/>
      <c r="KU71" s="188"/>
      <c r="KV71" s="188"/>
      <c r="KW71" s="188"/>
      <c r="KX71" s="188"/>
      <c r="KY71" s="188"/>
      <c r="KZ71" s="188"/>
      <c r="LA71" s="188"/>
      <c r="LB71" s="188"/>
      <c r="LC71" s="188"/>
      <c r="LD71" s="188"/>
      <c r="LE71" s="188"/>
      <c r="LF71" s="188"/>
      <c r="LG71" s="188"/>
      <c r="LH71" s="188"/>
      <c r="LI71" s="188"/>
      <c r="LJ71" s="188"/>
      <c r="LK71" s="188"/>
      <c r="LL71" s="188"/>
      <c r="LM71" s="188"/>
      <c r="LN71" s="188"/>
      <c r="LO71" s="188"/>
      <c r="LP71" s="188"/>
      <c r="LQ71" s="188"/>
      <c r="LR71" s="188"/>
      <c r="LS71" s="188"/>
      <c r="LT71" s="188"/>
      <c r="LU71" s="188"/>
      <c r="LV71" s="188"/>
      <c r="LW71" s="188"/>
      <c r="LX71" s="188"/>
      <c r="LY71" s="188"/>
      <c r="LZ71" s="188"/>
      <c r="MA71" s="188"/>
      <c r="MB71" s="188"/>
      <c r="MC71" s="188"/>
      <c r="MD71" s="188"/>
      <c r="ME71" s="188"/>
      <c r="MF71" s="188"/>
      <c r="MG71" s="188"/>
      <c r="MH71" s="188"/>
      <c r="MI71" s="188"/>
      <c r="MJ71" s="188"/>
      <c r="MK71" s="188"/>
      <c r="ML71" s="188"/>
      <c r="MM71" s="188"/>
      <c r="MN71" s="188"/>
      <c r="MO71" s="188"/>
      <c r="MP71" s="188"/>
      <c r="MQ71" s="188"/>
      <c r="MR71" s="188"/>
      <c r="MS71" s="188"/>
      <c r="MT71" s="188"/>
      <c r="MU71" s="188"/>
      <c r="MV71" s="188"/>
      <c r="MW71" s="188"/>
      <c r="MX71" s="188"/>
      <c r="MY71" s="188"/>
      <c r="MZ71" s="188"/>
      <c r="NA71" s="188"/>
      <c r="NB71" s="188"/>
      <c r="NC71" s="188"/>
      <c r="ND71" s="188"/>
      <c r="NE71" s="188"/>
      <c r="NF71" s="188"/>
      <c r="NG71" s="188"/>
      <c r="NH71" s="188"/>
      <c r="NI71" s="188"/>
      <c r="NJ71" s="188"/>
      <c r="NK71" s="188"/>
      <c r="NL71" s="188"/>
      <c r="NM71" s="188"/>
      <c r="NN71" s="188"/>
      <c r="NO71" s="188"/>
      <c r="NP71" s="188"/>
      <c r="NQ71" s="188"/>
      <c r="NR71" s="188"/>
      <c r="NS71" s="188"/>
      <c r="NT71" s="188"/>
      <c r="NU71" s="188"/>
      <c r="NV71" s="188"/>
      <c r="NW71" s="188"/>
      <c r="NX71" s="188"/>
      <c r="NY71" s="188"/>
      <c r="NZ71" s="188"/>
      <c r="OA71" s="188"/>
      <c r="OB71" s="188"/>
      <c r="OC71" s="188"/>
      <c r="OD71" s="188"/>
      <c r="OE71" s="188"/>
      <c r="OF71" s="188"/>
      <c r="OG71" s="188"/>
      <c r="OH71" s="188"/>
      <c r="OI71" s="188"/>
      <c r="OJ71" s="188"/>
      <c r="OK71" s="188"/>
      <c r="OL71" s="188"/>
      <c r="OM71" s="188"/>
      <c r="ON71" s="188"/>
      <c r="OO71" s="188"/>
      <c r="OP71" s="188"/>
      <c r="OQ71" s="188"/>
      <c r="OR71" s="188"/>
      <c r="OS71" s="188"/>
      <c r="OT71" s="188"/>
      <c r="OU71" s="188"/>
      <c r="OV71" s="188"/>
      <c r="OW71" s="188"/>
      <c r="OX71" s="188"/>
      <c r="OY71" s="188"/>
      <c r="OZ71" s="188"/>
      <c r="PA71" s="188"/>
      <c r="PB71" s="188"/>
      <c r="PC71" s="188"/>
      <c r="PD71" s="188"/>
      <c r="PE71" s="188"/>
      <c r="PF71" s="188"/>
      <c r="PG71" s="188"/>
      <c r="PH71" s="188"/>
      <c r="PI71" s="188"/>
      <c r="PJ71" s="188"/>
      <c r="PK71" s="188"/>
      <c r="PL71" s="188"/>
      <c r="PM71" s="188"/>
      <c r="PN71" s="188"/>
      <c r="PO71" s="188"/>
      <c r="PP71" s="188"/>
      <c r="PQ71" s="188"/>
      <c r="PR71" s="188"/>
      <c r="PS71" s="188"/>
      <c r="PT71" s="188"/>
      <c r="PU71" s="188"/>
      <c r="PV71" s="188"/>
      <c r="PW71" s="188"/>
      <c r="PX71" s="188"/>
      <c r="PY71" s="188"/>
      <c r="PZ71" s="188"/>
      <c r="QA71" s="188"/>
      <c r="QB71" s="188"/>
      <c r="QC71" s="188"/>
      <c r="QD71" s="188"/>
      <c r="QE71" s="188"/>
      <c r="QF71" s="188"/>
      <c r="QG71" s="188"/>
      <c r="QH71" s="188"/>
      <c r="QI71" s="188"/>
      <c r="QJ71" s="188"/>
      <c r="QK71" s="188"/>
      <c r="QL71" s="188"/>
      <c r="QM71" s="188"/>
      <c r="QN71" s="188"/>
      <c r="QO71" s="188"/>
      <c r="QP71" s="188"/>
      <c r="QQ71" s="188"/>
      <c r="QR71" s="188"/>
      <c r="QS71" s="188"/>
      <c r="QT71" s="188"/>
      <c r="QU71" s="188"/>
      <c r="QV71" s="188"/>
      <c r="QW71" s="188"/>
      <c r="QX71" s="188"/>
      <c r="QY71" s="188"/>
      <c r="QZ71" s="188"/>
      <c r="RA71" s="188"/>
      <c r="RB71" s="188"/>
      <c r="RC71" s="188"/>
      <c r="RD71" s="188"/>
      <c r="RE71" s="188"/>
      <c r="RF71" s="188"/>
      <c r="RG71" s="188"/>
      <c r="RH71" s="188"/>
      <c r="RI71" s="188"/>
      <c r="RJ71" s="188"/>
      <c r="RK71" s="188"/>
      <c r="RL71" s="188"/>
      <c r="RM71" s="188"/>
      <c r="RN71" s="188"/>
      <c r="RO71" s="188"/>
      <c r="RP71" s="188"/>
      <c r="RQ71" s="188"/>
      <c r="RR71" s="188"/>
      <c r="RS71" s="188"/>
      <c r="RT71" s="188"/>
      <c r="RU71" s="188"/>
      <c r="RV71" s="188"/>
      <c r="RW71" s="188"/>
      <c r="RX71" s="188"/>
      <c r="RY71" s="188"/>
      <c r="RZ71" s="188"/>
      <c r="SA71" s="188"/>
      <c r="SB71" s="188"/>
      <c r="SC71" s="188"/>
      <c r="SD71" s="188"/>
      <c r="SE71" s="188"/>
      <c r="SF71" s="188"/>
      <c r="SG71" s="188"/>
      <c r="SH71" s="188"/>
      <c r="SI71" s="188"/>
      <c r="SJ71" s="188"/>
      <c r="SK71" s="188"/>
      <c r="SL71" s="188"/>
      <c r="SM71" s="188"/>
      <c r="SN71" s="188"/>
      <c r="SO71" s="188"/>
      <c r="SP71" s="188"/>
      <c r="SQ71" s="188"/>
      <c r="SR71" s="188"/>
      <c r="SS71" s="188"/>
      <c r="ST71" s="188"/>
      <c r="SU71" s="188"/>
      <c r="SV71" s="188"/>
      <c r="SW71" s="188"/>
      <c r="SX71" s="188"/>
      <c r="SY71" s="188"/>
      <c r="SZ71" s="188"/>
      <c r="TA71" s="188"/>
      <c r="TB71" s="188"/>
      <c r="TC71" s="188"/>
      <c r="TD71" s="188"/>
      <c r="TE71" s="188"/>
      <c r="TF71" s="188"/>
      <c r="TG71" s="188"/>
      <c r="TH71" s="188"/>
      <c r="TI71" s="188"/>
      <c r="TJ71" s="188"/>
      <c r="TK71" s="188"/>
      <c r="TL71" s="188"/>
      <c r="TM71" s="188"/>
      <c r="TN71" s="188"/>
      <c r="TO71" s="188"/>
      <c r="TP71" s="188"/>
      <c r="TQ71" s="188"/>
      <c r="TR71" s="188"/>
      <c r="TS71" s="188"/>
      <c r="TT71" s="188"/>
      <c r="TU71" s="188"/>
      <c r="TV71" s="188"/>
      <c r="TW71" s="188"/>
      <c r="TX71" s="188"/>
      <c r="TY71" s="188"/>
      <c r="TZ71" s="188"/>
      <c r="UA71" s="188"/>
      <c r="UB71" s="188"/>
      <c r="UC71" s="188"/>
      <c r="UD71" s="188"/>
      <c r="UE71" s="188"/>
      <c r="UF71" s="188"/>
      <c r="UG71" s="188"/>
      <c r="UH71" s="188"/>
      <c r="UI71" s="188"/>
      <c r="UJ71" s="188"/>
      <c r="UK71" s="188"/>
      <c r="UL71" s="188"/>
      <c r="UM71" s="188"/>
      <c r="UN71" s="188"/>
      <c r="UO71" s="188"/>
      <c r="UP71" s="188"/>
      <c r="UQ71" s="188"/>
      <c r="UR71" s="188"/>
      <c r="US71" s="188"/>
      <c r="UT71" s="188"/>
      <c r="UU71" s="188"/>
      <c r="UV71" s="188"/>
      <c r="UW71" s="188"/>
      <c r="UX71" s="188"/>
      <c r="UY71" s="188"/>
      <c r="UZ71" s="188"/>
      <c r="VA71" s="188"/>
      <c r="VB71" s="188"/>
      <c r="VC71" s="188"/>
      <c r="VD71" s="188"/>
      <c r="VE71" s="188"/>
      <c r="VF71" s="188"/>
      <c r="VG71" s="188"/>
      <c r="VH71" s="188"/>
      <c r="VI71" s="188"/>
      <c r="VJ71" s="188"/>
      <c r="VK71" s="188"/>
      <c r="VL71" s="188"/>
      <c r="VM71" s="188"/>
      <c r="VN71" s="188"/>
      <c r="VO71" s="188"/>
      <c r="VP71" s="188"/>
      <c r="VQ71" s="188"/>
      <c r="VR71" s="188"/>
      <c r="VS71" s="188"/>
      <c r="VT71" s="188"/>
      <c r="VU71" s="188"/>
      <c r="VV71" s="188"/>
      <c r="VW71" s="188"/>
      <c r="VX71" s="188"/>
      <c r="VY71" s="188"/>
      <c r="VZ71" s="188"/>
      <c r="WA71" s="188"/>
      <c r="WB71" s="188"/>
      <c r="WC71" s="188"/>
      <c r="WD71" s="188"/>
      <c r="WE71" s="188"/>
      <c r="WF71" s="188"/>
      <c r="WG71" s="188"/>
      <c r="WH71" s="188"/>
      <c r="WI71" s="188"/>
      <c r="WJ71" s="188"/>
      <c r="WK71" s="188"/>
      <c r="WL71" s="188"/>
      <c r="WM71" s="188"/>
      <c r="WN71" s="188"/>
      <c r="WO71" s="188"/>
      <c r="WP71" s="188"/>
      <c r="WQ71" s="188"/>
      <c r="WR71" s="188"/>
      <c r="WS71" s="188"/>
      <c r="WT71" s="188"/>
      <c r="WU71" s="188"/>
      <c r="WV71" s="188"/>
      <c r="WW71" s="188"/>
      <c r="WX71" s="188"/>
      <c r="WY71" s="188"/>
      <c r="WZ71" s="188"/>
      <c r="XA71" s="188"/>
      <c r="XB71" s="188"/>
      <c r="XC71" s="188"/>
      <c r="XD71" s="188"/>
      <c r="XE71" s="188"/>
      <c r="XF71" s="188"/>
      <c r="XG71" s="188"/>
      <c r="XH71" s="188"/>
      <c r="XI71" s="188"/>
      <c r="XJ71" s="188"/>
      <c r="XK71" s="188"/>
      <c r="XL71" s="188"/>
      <c r="XM71" s="188"/>
      <c r="XN71" s="188"/>
      <c r="XO71" s="188"/>
      <c r="XP71" s="188"/>
      <c r="XQ71" s="188"/>
      <c r="XR71" s="188"/>
      <c r="XS71" s="188"/>
      <c r="XT71" s="188"/>
      <c r="XU71" s="188"/>
      <c r="XV71" s="188"/>
      <c r="XW71" s="188"/>
      <c r="XX71" s="188"/>
      <c r="XY71" s="188"/>
      <c r="XZ71" s="188"/>
      <c r="YA71" s="188"/>
      <c r="YB71" s="188"/>
      <c r="YC71" s="188"/>
      <c r="YD71" s="188"/>
      <c r="YE71" s="188"/>
      <c r="YF71" s="188"/>
      <c r="YG71" s="188"/>
      <c r="YH71" s="188"/>
      <c r="YI71" s="188"/>
      <c r="YJ71" s="188"/>
      <c r="YK71" s="188"/>
      <c r="YL71" s="188"/>
      <c r="YM71" s="188"/>
      <c r="YN71" s="188"/>
      <c r="YO71" s="188"/>
      <c r="YP71" s="188"/>
      <c r="YQ71" s="188"/>
      <c r="YR71" s="188"/>
      <c r="YS71" s="188"/>
      <c r="YT71" s="188"/>
      <c r="YU71" s="188"/>
      <c r="YV71" s="188"/>
      <c r="YW71" s="188"/>
      <c r="YX71" s="188"/>
      <c r="YY71" s="188"/>
      <c r="YZ71" s="188"/>
      <c r="ZA71" s="188"/>
      <c r="ZB71" s="188"/>
      <c r="ZC71" s="188"/>
      <c r="ZD71" s="188"/>
      <c r="ZE71" s="188"/>
      <c r="ZF71" s="188"/>
      <c r="ZG71" s="188"/>
      <c r="ZH71" s="188"/>
      <c r="ZI71" s="188"/>
      <c r="ZJ71" s="188"/>
      <c r="ZK71" s="188"/>
      <c r="ZL71" s="188"/>
      <c r="ZM71" s="188"/>
      <c r="ZN71" s="188"/>
      <c r="ZO71" s="188"/>
      <c r="ZP71" s="188"/>
      <c r="ZQ71" s="188"/>
      <c r="ZR71" s="188"/>
      <c r="ZS71" s="188"/>
      <c r="ZT71" s="188"/>
      <c r="ZU71" s="188"/>
      <c r="ZV71" s="188"/>
      <c r="ZW71" s="188"/>
      <c r="ZX71" s="188"/>
      <c r="ZY71" s="188"/>
      <c r="ZZ71" s="188"/>
      <c r="AAA71" s="188"/>
      <c r="AAB71" s="188"/>
      <c r="AAC71" s="188"/>
      <c r="AAD71" s="188"/>
      <c r="AAE71" s="188"/>
      <c r="AAF71" s="188"/>
      <c r="AAG71" s="188"/>
      <c r="AAH71" s="188"/>
      <c r="AAI71" s="188"/>
      <c r="AAJ71" s="188"/>
      <c r="AAK71" s="188"/>
      <c r="AAL71" s="188"/>
      <c r="AAM71" s="188"/>
      <c r="AAN71" s="188"/>
      <c r="AAO71" s="188"/>
      <c r="AAP71" s="188"/>
      <c r="AAQ71" s="188"/>
      <c r="AAR71" s="188"/>
      <c r="AAS71" s="188"/>
      <c r="AAT71" s="188"/>
      <c r="AAU71" s="188"/>
      <c r="AAV71" s="188"/>
      <c r="AAW71" s="188"/>
      <c r="AAX71" s="188"/>
      <c r="AAY71" s="188"/>
      <c r="AAZ71" s="188"/>
      <c r="ABA71" s="188"/>
      <c r="ABB71" s="188"/>
      <c r="ABC71" s="188"/>
      <c r="ABD71" s="188"/>
      <c r="ABE71" s="188"/>
      <c r="ABF71" s="188"/>
      <c r="ABG71" s="188"/>
      <c r="ABH71" s="188"/>
      <c r="ABI71" s="188"/>
      <c r="ABJ71" s="188"/>
      <c r="ABK71" s="188"/>
      <c r="ABL71" s="188"/>
      <c r="ABM71" s="188"/>
      <c r="ABN71" s="188"/>
      <c r="ABO71" s="188"/>
      <c r="ABP71" s="188"/>
      <c r="ABQ71" s="188"/>
      <c r="ABR71" s="188"/>
      <c r="ABS71" s="188"/>
      <c r="ABT71" s="188"/>
      <c r="ABU71" s="188"/>
      <c r="ABV71" s="188"/>
      <c r="ABW71" s="188"/>
      <c r="ABX71" s="188"/>
      <c r="ABY71" s="188"/>
      <c r="ABZ71" s="188"/>
      <c r="ACA71" s="188"/>
      <c r="ACB71" s="188"/>
      <c r="ACC71" s="188"/>
      <c r="ACD71" s="188"/>
      <c r="ACE71" s="188"/>
      <c r="ACF71" s="188"/>
      <c r="ACG71" s="188"/>
      <c r="ACH71" s="188"/>
      <c r="ACI71" s="188"/>
      <c r="ACJ71" s="188"/>
      <c r="ACK71" s="188"/>
      <c r="ACL71" s="188"/>
      <c r="ACM71" s="188"/>
      <c r="ACN71" s="188"/>
      <c r="ACO71" s="188"/>
      <c r="ACP71" s="188"/>
      <c r="ACQ71" s="188"/>
      <c r="ACR71" s="188"/>
      <c r="ACS71" s="188"/>
      <c r="ACT71" s="188"/>
      <c r="ACU71" s="188"/>
      <c r="ACV71" s="188"/>
      <c r="ACW71" s="188"/>
      <c r="ACX71" s="188"/>
      <c r="ACY71" s="188"/>
      <c r="ACZ71" s="188"/>
      <c r="ADA71" s="188"/>
      <c r="ADB71" s="188"/>
      <c r="ADC71" s="188"/>
      <c r="ADD71" s="188"/>
      <c r="ADE71" s="188"/>
      <c r="ADF71" s="188"/>
      <c r="ADG71" s="188"/>
      <c r="ADH71" s="188"/>
      <c r="ADI71" s="188"/>
      <c r="ADJ71" s="188"/>
      <c r="ADK71" s="188"/>
      <c r="ADL71" s="188"/>
      <c r="ADM71" s="188"/>
      <c r="ADN71" s="188"/>
      <c r="ADO71" s="188"/>
      <c r="ADP71" s="188"/>
      <c r="ADQ71" s="188"/>
      <c r="ADR71" s="188"/>
      <c r="ADS71" s="188"/>
      <c r="ADT71" s="188"/>
      <c r="ADU71" s="188"/>
      <c r="ADV71" s="188"/>
      <c r="ADW71" s="188"/>
      <c r="ADX71" s="188"/>
      <c r="ADY71" s="188"/>
      <c r="ADZ71" s="188"/>
      <c r="AEA71" s="188"/>
      <c r="AEB71" s="188"/>
      <c r="AEC71" s="188"/>
      <c r="AED71" s="188"/>
      <c r="AEE71" s="188"/>
      <c r="AEF71" s="188"/>
      <c r="AEG71" s="188"/>
      <c r="AEH71" s="188"/>
      <c r="AEI71" s="188"/>
      <c r="AEJ71" s="188"/>
      <c r="AEK71" s="188"/>
      <c r="AEL71" s="188"/>
      <c r="AEM71" s="188"/>
      <c r="AEN71" s="188"/>
      <c r="AEO71" s="188"/>
      <c r="AEP71" s="188"/>
      <c r="AEQ71" s="188"/>
      <c r="AER71" s="188"/>
      <c r="AES71" s="188"/>
      <c r="AET71" s="188"/>
      <c r="AEU71" s="188"/>
      <c r="AEV71" s="188"/>
      <c r="AEW71" s="188"/>
      <c r="AEX71" s="188"/>
      <c r="AEY71" s="188"/>
      <c r="AEZ71" s="188"/>
      <c r="AFA71" s="188"/>
      <c r="AFB71" s="188"/>
      <c r="AFC71" s="188"/>
      <c r="AFD71" s="188"/>
      <c r="AFE71" s="188"/>
      <c r="AFF71" s="188"/>
      <c r="AFG71" s="188"/>
      <c r="AFH71" s="188"/>
      <c r="AFI71" s="188"/>
      <c r="AFJ71" s="188"/>
      <c r="AFK71" s="188"/>
      <c r="AFL71" s="188"/>
      <c r="AFM71" s="188"/>
      <c r="AFN71" s="188"/>
      <c r="AFO71" s="188"/>
      <c r="AFP71" s="188"/>
      <c r="AFQ71" s="188"/>
      <c r="AFR71" s="188"/>
      <c r="AFS71" s="188"/>
      <c r="AFT71" s="188"/>
      <c r="AFU71" s="188"/>
      <c r="AFV71" s="188"/>
      <c r="AFW71" s="188"/>
      <c r="AFX71" s="188"/>
      <c r="AFY71" s="188"/>
      <c r="AFZ71" s="188"/>
      <c r="AGA71" s="188"/>
      <c r="AGB71" s="188"/>
      <c r="AGC71" s="188"/>
      <c r="AGD71" s="188"/>
      <c r="AGE71" s="188"/>
      <c r="AGF71" s="188"/>
      <c r="AGG71" s="188"/>
      <c r="AGH71" s="188"/>
      <c r="AGI71" s="188"/>
      <c r="AGJ71" s="188"/>
      <c r="AGK71" s="188"/>
      <c r="AGL71" s="188"/>
      <c r="AGM71" s="188"/>
      <c r="AGN71" s="188"/>
      <c r="AGO71" s="188"/>
      <c r="AGP71" s="188"/>
      <c r="AGQ71" s="188"/>
      <c r="AGR71" s="188"/>
      <c r="AGS71" s="188"/>
      <c r="AGT71" s="188"/>
      <c r="AGU71" s="188"/>
      <c r="AGV71" s="188"/>
      <c r="AGW71" s="188"/>
      <c r="AGX71" s="188"/>
      <c r="AGY71" s="188"/>
      <c r="AGZ71" s="188"/>
      <c r="AHA71" s="188"/>
      <c r="AHB71" s="188"/>
      <c r="AHC71" s="188"/>
      <c r="AHD71" s="188"/>
      <c r="AHE71" s="188"/>
      <c r="AHF71" s="188"/>
      <c r="AHG71" s="188"/>
      <c r="AHH71" s="188"/>
      <c r="AHI71" s="188"/>
      <c r="AHJ71" s="188"/>
      <c r="AHK71" s="188"/>
      <c r="AHL71" s="188"/>
      <c r="AHM71" s="188"/>
      <c r="AHN71" s="188"/>
      <c r="AHO71" s="188"/>
      <c r="AHP71" s="188"/>
      <c r="AHQ71" s="188"/>
      <c r="AHR71" s="188"/>
      <c r="AHS71" s="188"/>
      <c r="AHT71" s="188"/>
      <c r="AHU71" s="188"/>
      <c r="AHV71" s="188"/>
      <c r="AHW71" s="188"/>
      <c r="AHX71" s="188"/>
      <c r="AHY71" s="188"/>
      <c r="AHZ71" s="188"/>
      <c r="AIA71" s="188"/>
      <c r="AIB71" s="188"/>
      <c r="AIC71" s="188"/>
      <c r="AID71" s="188"/>
      <c r="AIE71" s="188"/>
      <c r="AIF71" s="188"/>
      <c r="AIG71" s="188"/>
      <c r="AIH71" s="188"/>
      <c r="AII71" s="188"/>
      <c r="AIJ71" s="188"/>
      <c r="AIK71" s="188"/>
      <c r="AIL71" s="188"/>
      <c r="AIM71" s="188"/>
      <c r="AIN71" s="188"/>
      <c r="AIO71" s="188"/>
      <c r="AIP71" s="188"/>
      <c r="AIQ71" s="188"/>
      <c r="AIR71" s="188"/>
      <c r="AIS71" s="188"/>
      <c r="AIT71" s="188"/>
      <c r="AIU71" s="188"/>
      <c r="AIV71" s="188"/>
      <c r="AIW71" s="188"/>
      <c r="AIX71" s="188"/>
      <c r="AIY71" s="188"/>
      <c r="AIZ71" s="188"/>
      <c r="AJA71" s="188"/>
      <c r="AJB71" s="188"/>
      <c r="AJC71" s="188"/>
      <c r="AJD71" s="188"/>
      <c r="AJE71" s="188"/>
      <c r="AJF71" s="188"/>
      <c r="AJG71" s="188"/>
      <c r="AJH71" s="188"/>
      <c r="AJI71" s="188"/>
      <c r="AJJ71" s="188"/>
      <c r="AJK71" s="188"/>
      <c r="AJL71" s="188"/>
      <c r="AJM71" s="188"/>
      <c r="AJN71" s="188"/>
      <c r="AJO71" s="188"/>
      <c r="AJP71" s="188"/>
      <c r="AJQ71" s="188"/>
      <c r="AJR71" s="188"/>
      <c r="AJS71" s="188"/>
      <c r="AJT71" s="188"/>
      <c r="AJU71" s="188"/>
      <c r="AJV71" s="188"/>
      <c r="AJW71" s="188"/>
      <c r="AJX71" s="188"/>
      <c r="AJY71" s="188"/>
      <c r="AJZ71" s="188"/>
      <c r="AKA71" s="188"/>
      <c r="AKB71" s="188"/>
      <c r="AKC71" s="188"/>
      <c r="AKD71" s="188"/>
      <c r="AKE71" s="188"/>
      <c r="AKF71" s="188"/>
      <c r="AKG71" s="188"/>
      <c r="AKH71" s="188"/>
      <c r="AKI71" s="188"/>
      <c r="AKJ71" s="188"/>
      <c r="AKK71" s="188"/>
      <c r="AKL71" s="188"/>
      <c r="AKM71" s="188"/>
      <c r="AKN71" s="188"/>
      <c r="AKO71" s="188"/>
      <c r="AKP71" s="188"/>
      <c r="AKQ71" s="188"/>
      <c r="AKR71" s="188"/>
      <c r="AKS71" s="188"/>
      <c r="AKT71" s="188"/>
      <c r="AKU71" s="188"/>
      <c r="AKV71" s="188"/>
      <c r="AKW71" s="188"/>
      <c r="AKX71" s="188"/>
      <c r="AKY71" s="188"/>
      <c r="AKZ71" s="188"/>
      <c r="ALA71" s="188"/>
      <c r="ALB71" s="188"/>
      <c r="ALC71" s="188"/>
      <c r="ALD71" s="188"/>
      <c r="ALE71" s="188"/>
      <c r="ALF71" s="188"/>
      <c r="ALG71" s="188"/>
      <c r="ALH71" s="188"/>
      <c r="ALI71" s="188"/>
      <c r="ALJ71" s="188"/>
      <c r="ALK71" s="188"/>
      <c r="ALL71" s="188"/>
      <c r="ALM71" s="188"/>
      <c r="ALN71" s="188"/>
      <c r="ALO71" s="188"/>
      <c r="ALP71" s="188"/>
      <c r="ALQ71" s="188"/>
      <c r="ALR71" s="188"/>
      <c r="ALS71" s="188"/>
      <c r="ALT71" s="188"/>
      <c r="ALU71" s="188"/>
      <c r="ALV71" s="188"/>
      <c r="ALW71" s="188"/>
      <c r="ALX71" s="188"/>
      <c r="ALY71" s="188"/>
      <c r="ALZ71" s="188"/>
      <c r="AMA71" s="188"/>
      <c r="AMB71" s="188"/>
      <c r="AMC71" s="188"/>
      <c r="AMD71" s="188"/>
      <c r="AME71" s="188"/>
      <c r="AMF71" s="188"/>
      <c r="AMG71" s="188"/>
      <c r="AMH71" s="188"/>
      <c r="AMI71" s="188"/>
      <c r="AMJ71" s="188"/>
      <c r="AMK71" s="188"/>
      <c r="AML71" s="188"/>
      <c r="AMM71" s="188"/>
      <c r="AMN71" s="188"/>
      <c r="AMO71" s="188"/>
      <c r="AMP71" s="188"/>
      <c r="AMQ71" s="188"/>
      <c r="AMR71" s="188"/>
      <c r="AMS71" s="188"/>
      <c r="AMT71" s="188"/>
      <c r="AMU71" s="188"/>
      <c r="AMV71" s="188"/>
      <c r="AMW71" s="188"/>
      <c r="AMX71" s="188"/>
      <c r="AMY71" s="188"/>
      <c r="AMZ71" s="188"/>
      <c r="ANA71" s="188"/>
      <c r="ANB71" s="188"/>
      <c r="ANC71" s="188"/>
      <c r="AND71" s="188"/>
      <c r="ANE71" s="188"/>
      <c r="ANF71" s="188"/>
      <c r="ANG71" s="188"/>
      <c r="ANH71" s="188"/>
      <c r="ANI71" s="188"/>
      <c r="ANJ71" s="188"/>
      <c r="ANK71" s="188"/>
      <c r="ANL71" s="188"/>
      <c r="ANM71" s="188"/>
      <c r="ANN71" s="188"/>
      <c r="ANO71" s="188"/>
      <c r="ANP71" s="188"/>
      <c r="ANQ71" s="188"/>
      <c r="ANR71" s="188"/>
      <c r="ANS71" s="188"/>
      <c r="ANT71" s="188"/>
      <c r="ANU71" s="188"/>
      <c r="ANV71" s="188"/>
      <c r="ANW71" s="188"/>
      <c r="ANX71" s="188"/>
      <c r="ANY71" s="188"/>
      <c r="ANZ71" s="188"/>
      <c r="AOA71" s="188"/>
      <c r="AOB71" s="188"/>
      <c r="AOC71" s="188"/>
      <c r="AOD71" s="188"/>
      <c r="AOE71" s="188"/>
      <c r="AOF71" s="188"/>
      <c r="AOG71" s="188"/>
      <c r="AOH71" s="188"/>
      <c r="AOI71" s="188"/>
      <c r="AOJ71" s="188"/>
      <c r="AOK71" s="188"/>
      <c r="AOL71" s="188"/>
      <c r="AOM71" s="188"/>
      <c r="AON71" s="188"/>
      <c r="AOO71" s="188"/>
      <c r="AOP71" s="188"/>
      <c r="AOQ71" s="188"/>
      <c r="AOR71" s="188"/>
      <c r="AOS71" s="188"/>
      <c r="AOT71" s="188"/>
      <c r="AOU71" s="188"/>
      <c r="AOV71" s="188"/>
      <c r="AOW71" s="188"/>
      <c r="AOX71" s="188"/>
      <c r="AOY71" s="188"/>
      <c r="AOZ71" s="188"/>
      <c r="APA71" s="188"/>
      <c r="APB71" s="188"/>
      <c r="APC71" s="188"/>
      <c r="APD71" s="188"/>
      <c r="APE71" s="188"/>
      <c r="APF71" s="188"/>
      <c r="APG71" s="188"/>
      <c r="APH71" s="188"/>
      <c r="API71" s="188"/>
      <c r="APJ71" s="188"/>
      <c r="APK71" s="188"/>
      <c r="APL71" s="188"/>
      <c r="APM71" s="188"/>
      <c r="APN71" s="188"/>
      <c r="APO71" s="188"/>
      <c r="APP71" s="188"/>
      <c r="APQ71" s="188"/>
      <c r="APR71" s="188"/>
      <c r="APS71" s="188"/>
      <c r="APT71" s="188"/>
      <c r="APU71" s="188"/>
      <c r="APV71" s="188"/>
      <c r="APW71" s="188"/>
      <c r="APX71" s="188"/>
      <c r="APY71" s="188"/>
      <c r="APZ71" s="188"/>
      <c r="AQA71" s="188"/>
      <c r="AQB71" s="188"/>
      <c r="AQC71" s="188"/>
      <c r="AQD71" s="188"/>
      <c r="AQE71" s="188"/>
      <c r="AQF71" s="188"/>
      <c r="AQG71" s="188"/>
      <c r="AQH71" s="188"/>
      <c r="AQI71" s="188"/>
      <c r="AQJ71" s="188"/>
      <c r="AQK71" s="188"/>
      <c r="AQL71" s="188"/>
      <c r="AQM71" s="188"/>
      <c r="AQN71" s="188"/>
      <c r="AQO71" s="188"/>
      <c r="AQP71" s="188"/>
      <c r="AQQ71" s="188"/>
      <c r="AQR71" s="188"/>
      <c r="AQS71" s="188"/>
      <c r="AQT71" s="188"/>
      <c r="AQU71" s="188"/>
      <c r="AQV71" s="188"/>
      <c r="AQW71" s="188"/>
      <c r="AQX71" s="188"/>
      <c r="AQY71" s="188"/>
      <c r="AQZ71" s="188"/>
      <c r="ARA71" s="188"/>
      <c r="ARB71" s="188"/>
      <c r="ARC71" s="188"/>
      <c r="ARD71" s="188"/>
      <c r="ARE71" s="188"/>
      <c r="ARF71" s="188"/>
      <c r="ARG71" s="188"/>
      <c r="ARH71" s="188"/>
      <c r="ARI71" s="188"/>
      <c r="ARJ71" s="188"/>
      <c r="ARK71" s="188"/>
      <c r="ARL71" s="188"/>
      <c r="ARM71" s="188"/>
      <c r="ARN71" s="188"/>
      <c r="ARO71" s="188"/>
      <c r="ARP71" s="188"/>
      <c r="ARQ71" s="188"/>
      <c r="ARR71" s="188"/>
      <c r="ARS71" s="188"/>
      <c r="ART71" s="188"/>
      <c r="ARU71" s="188"/>
      <c r="ARV71" s="188"/>
      <c r="ARW71" s="188"/>
      <c r="ARX71" s="188"/>
      <c r="ARY71" s="188"/>
      <c r="ARZ71" s="188"/>
      <c r="ASA71" s="188"/>
      <c r="ASB71" s="188"/>
      <c r="ASC71" s="188"/>
      <c r="ASD71" s="188"/>
      <c r="ASE71" s="188"/>
      <c r="ASF71" s="188"/>
      <c r="ASG71" s="188"/>
      <c r="ASH71" s="188"/>
      <c r="ASI71" s="188"/>
      <c r="ASJ71" s="188"/>
      <c r="ASK71" s="188"/>
      <c r="ASL71" s="188"/>
      <c r="ASM71" s="188"/>
      <c r="ASN71" s="188"/>
      <c r="ASO71" s="188"/>
      <c r="ASP71" s="188"/>
      <c r="ASQ71" s="188"/>
      <c r="ASR71" s="188"/>
      <c r="ASS71" s="188"/>
      <c r="AST71" s="188"/>
      <c r="ASU71" s="188"/>
      <c r="ASV71" s="188"/>
      <c r="ASW71" s="188"/>
      <c r="ASX71" s="188"/>
      <c r="ASY71" s="188"/>
      <c r="ASZ71" s="188"/>
      <c r="ATA71" s="188"/>
      <c r="ATB71" s="188"/>
      <c r="ATC71" s="188"/>
      <c r="ATD71" s="188"/>
      <c r="ATE71" s="188"/>
      <c r="ATF71" s="188"/>
      <c r="ATG71" s="188"/>
      <c r="ATH71" s="188"/>
      <c r="ATI71" s="188"/>
      <c r="ATJ71" s="188"/>
      <c r="ATK71" s="188"/>
      <c r="ATL71" s="188"/>
      <c r="ATM71" s="188"/>
      <c r="ATN71" s="188"/>
      <c r="ATO71" s="188"/>
      <c r="ATP71" s="188"/>
      <c r="ATQ71" s="188"/>
      <c r="ATR71" s="188"/>
      <c r="ATS71" s="188"/>
      <c r="ATT71" s="188"/>
      <c r="ATU71" s="188"/>
      <c r="ATV71" s="188"/>
      <c r="ATW71" s="188"/>
      <c r="ATX71" s="188"/>
      <c r="ATY71" s="188"/>
      <c r="ATZ71" s="188"/>
      <c r="AUA71" s="188"/>
      <c r="AUB71" s="188"/>
      <c r="AUC71" s="188"/>
      <c r="AUD71" s="188"/>
      <c r="AUE71" s="188"/>
      <c r="AUF71" s="188"/>
      <c r="AUG71" s="188"/>
      <c r="AUH71" s="188"/>
      <c r="AUI71" s="188"/>
      <c r="AUJ71" s="188"/>
      <c r="AUK71" s="188"/>
      <c r="AUL71" s="188"/>
      <c r="AUM71" s="188"/>
      <c r="AUN71" s="188"/>
      <c r="AUO71" s="188"/>
      <c r="AUP71" s="188"/>
      <c r="AUQ71" s="188"/>
      <c r="AUR71" s="188"/>
      <c r="AUS71" s="188"/>
      <c r="AUT71" s="188"/>
      <c r="AUU71" s="188"/>
      <c r="AUV71" s="188"/>
      <c r="AUW71" s="188"/>
      <c r="AUX71" s="188"/>
      <c r="AUY71" s="188"/>
      <c r="AUZ71" s="188"/>
      <c r="AVA71" s="188"/>
      <c r="AVB71" s="188"/>
      <c r="AVC71" s="188"/>
      <c r="AVD71" s="188"/>
      <c r="AVE71" s="188"/>
      <c r="AVF71" s="188"/>
      <c r="AVG71" s="188"/>
      <c r="AVH71" s="188"/>
      <c r="AVI71" s="188"/>
      <c r="AVJ71" s="188"/>
      <c r="AVK71" s="188"/>
      <c r="AVL71" s="188"/>
      <c r="AVM71" s="188"/>
      <c r="AVN71" s="188"/>
      <c r="AVO71" s="188"/>
      <c r="AVP71" s="188"/>
      <c r="AVQ71" s="188"/>
      <c r="AVR71" s="188"/>
      <c r="AVS71" s="188"/>
      <c r="AVT71" s="188"/>
      <c r="AVU71" s="188"/>
      <c r="AVV71" s="188"/>
      <c r="AVW71" s="188"/>
      <c r="AVX71" s="188"/>
      <c r="AVY71" s="188"/>
      <c r="AVZ71" s="188"/>
      <c r="AWA71" s="188"/>
      <c r="AWB71" s="188"/>
      <c r="AWC71" s="188"/>
      <c r="AWD71" s="188"/>
      <c r="AWE71" s="188"/>
      <c r="AWF71" s="188"/>
      <c r="AWG71" s="188"/>
      <c r="AWH71" s="188"/>
      <c r="AWI71" s="188"/>
      <c r="AWJ71" s="188"/>
      <c r="AWK71" s="188"/>
      <c r="AWL71" s="188"/>
      <c r="AWM71" s="188"/>
      <c r="AWN71" s="188"/>
      <c r="AWO71" s="188"/>
      <c r="AWP71" s="188"/>
      <c r="AWQ71" s="188"/>
      <c r="AWR71" s="188"/>
      <c r="AWS71" s="188"/>
      <c r="AWT71" s="188"/>
      <c r="AWU71" s="188"/>
      <c r="AWV71" s="188"/>
      <c r="AWW71" s="188"/>
      <c r="AWX71" s="188"/>
      <c r="AWY71" s="188"/>
      <c r="AWZ71" s="188"/>
      <c r="AXA71" s="188"/>
      <c r="AXB71" s="188"/>
      <c r="AXC71" s="188"/>
      <c r="AXD71" s="188"/>
      <c r="AXE71" s="188"/>
      <c r="AXF71" s="188"/>
      <c r="AXG71" s="188"/>
      <c r="AXH71" s="188"/>
      <c r="AXI71" s="188"/>
      <c r="AXJ71" s="188"/>
      <c r="AXK71" s="188"/>
      <c r="AXL71" s="188"/>
      <c r="AXM71" s="188"/>
      <c r="AXN71" s="188"/>
      <c r="AXO71" s="188"/>
      <c r="AXP71" s="188"/>
      <c r="AXQ71" s="188"/>
      <c r="AXR71" s="188"/>
      <c r="AXS71" s="188"/>
      <c r="AXT71" s="188"/>
      <c r="AXU71" s="188"/>
      <c r="AXV71" s="188"/>
      <c r="AXW71" s="188"/>
      <c r="AXX71" s="188"/>
      <c r="AXY71" s="188"/>
      <c r="AXZ71" s="188"/>
      <c r="AYA71" s="188"/>
      <c r="AYB71" s="188"/>
      <c r="AYC71" s="188"/>
      <c r="AYD71" s="188"/>
      <c r="AYE71" s="188"/>
      <c r="AYF71" s="188"/>
      <c r="AYG71" s="188"/>
      <c r="AYH71" s="188"/>
      <c r="AYI71" s="188"/>
      <c r="AYJ71" s="188"/>
      <c r="AYK71" s="188"/>
      <c r="AYL71" s="188"/>
      <c r="AYM71" s="188"/>
      <c r="AYN71" s="188"/>
      <c r="AYO71" s="188"/>
      <c r="AYP71" s="188"/>
      <c r="AYQ71" s="188"/>
      <c r="AYR71" s="188"/>
      <c r="AYS71" s="188"/>
      <c r="AYT71" s="188"/>
      <c r="AYU71" s="188"/>
      <c r="AYV71" s="188"/>
      <c r="AYW71" s="188"/>
      <c r="AYX71" s="188"/>
      <c r="AYY71" s="188"/>
      <c r="AYZ71" s="188"/>
      <c r="AZA71" s="188"/>
      <c r="AZB71" s="188"/>
      <c r="AZC71" s="188"/>
      <c r="AZD71" s="188"/>
      <c r="AZE71" s="188"/>
      <c r="AZF71" s="188"/>
      <c r="AZG71" s="188"/>
      <c r="AZH71" s="188"/>
      <c r="AZI71" s="188"/>
      <c r="AZJ71" s="188"/>
      <c r="AZK71" s="188"/>
      <c r="AZL71" s="188"/>
      <c r="AZM71" s="188"/>
      <c r="AZN71" s="188"/>
      <c r="AZO71" s="188"/>
      <c r="AZP71" s="188"/>
      <c r="AZQ71" s="188"/>
      <c r="AZR71" s="188"/>
      <c r="AZS71" s="188"/>
      <c r="AZT71" s="188"/>
      <c r="AZU71" s="188"/>
      <c r="AZV71" s="188"/>
      <c r="AZW71" s="188"/>
      <c r="AZX71" s="188"/>
      <c r="AZY71" s="188"/>
      <c r="AZZ71" s="188"/>
      <c r="BAA71" s="188"/>
      <c r="BAB71" s="188"/>
      <c r="BAC71" s="188"/>
      <c r="BAD71" s="188"/>
      <c r="BAE71" s="188"/>
      <c r="BAF71" s="188"/>
      <c r="BAG71" s="188"/>
      <c r="BAH71" s="188"/>
      <c r="BAI71" s="188"/>
      <c r="BAJ71" s="188"/>
      <c r="BAK71" s="188"/>
      <c r="BAL71" s="188"/>
      <c r="BAM71" s="188"/>
      <c r="BAN71" s="188"/>
      <c r="BAO71" s="188"/>
      <c r="BAP71" s="188"/>
      <c r="BAQ71" s="188"/>
      <c r="BAR71" s="188"/>
      <c r="BAS71" s="188"/>
      <c r="BAT71" s="188"/>
      <c r="BAU71" s="188"/>
      <c r="BAV71" s="188"/>
      <c r="BAW71" s="188"/>
      <c r="BAX71" s="188"/>
      <c r="BAY71" s="188"/>
      <c r="BAZ71" s="188"/>
      <c r="BBA71" s="188"/>
      <c r="BBB71" s="188"/>
      <c r="BBC71" s="188"/>
      <c r="BBD71" s="188"/>
      <c r="BBE71" s="188"/>
      <c r="BBF71" s="188"/>
      <c r="BBG71" s="188"/>
      <c r="BBH71" s="188"/>
      <c r="BBI71" s="188"/>
      <c r="BBJ71" s="188"/>
      <c r="BBK71" s="188"/>
      <c r="BBL71" s="188"/>
      <c r="BBM71" s="188"/>
      <c r="BBN71" s="188"/>
      <c r="BBO71" s="188"/>
      <c r="BBP71" s="188"/>
      <c r="BBQ71" s="188"/>
      <c r="BBR71" s="188"/>
      <c r="BBS71" s="188"/>
      <c r="BBT71" s="188"/>
      <c r="BBU71" s="188"/>
      <c r="BBV71" s="188"/>
      <c r="BBW71" s="188"/>
      <c r="BBX71" s="188"/>
      <c r="BBY71" s="188"/>
      <c r="BBZ71" s="188"/>
      <c r="BCA71" s="188"/>
      <c r="BCB71" s="188"/>
      <c r="BCC71" s="188"/>
      <c r="BCD71" s="188"/>
      <c r="BCE71" s="188"/>
      <c r="BCF71" s="188"/>
      <c r="BCG71" s="188"/>
      <c r="BCH71" s="188"/>
      <c r="BCI71" s="188"/>
      <c r="BCJ71" s="188"/>
      <c r="BCK71" s="188"/>
      <c r="BCL71" s="188"/>
      <c r="BCM71" s="188"/>
      <c r="BCN71" s="188"/>
      <c r="BCO71" s="188"/>
      <c r="BCP71" s="188"/>
      <c r="BCQ71" s="188"/>
      <c r="BCR71" s="188"/>
      <c r="BCS71" s="188"/>
      <c r="BCT71" s="188"/>
      <c r="BCU71" s="188"/>
      <c r="BCV71" s="188"/>
      <c r="BCW71" s="188"/>
      <c r="BCX71" s="188"/>
      <c r="BCY71" s="188"/>
      <c r="BCZ71" s="188"/>
      <c r="BDA71" s="188"/>
      <c r="BDB71" s="188"/>
      <c r="BDC71" s="188"/>
      <c r="BDD71" s="188"/>
      <c r="BDE71" s="188"/>
      <c r="BDF71" s="188"/>
      <c r="BDG71" s="188"/>
      <c r="BDH71" s="188"/>
      <c r="BDI71" s="188"/>
      <c r="BDJ71" s="188"/>
      <c r="BDK71" s="188"/>
      <c r="BDL71" s="188"/>
      <c r="BDM71" s="188"/>
      <c r="BDN71" s="188"/>
      <c r="BDO71" s="188"/>
      <c r="BDP71" s="188"/>
      <c r="BDQ71" s="188"/>
      <c r="BDR71" s="188"/>
      <c r="BDS71" s="188"/>
      <c r="BDT71" s="188"/>
      <c r="BDU71" s="188"/>
      <c r="BDV71" s="188"/>
      <c r="BDW71" s="188"/>
      <c r="BDX71" s="188"/>
      <c r="BDY71" s="188"/>
      <c r="BDZ71" s="188"/>
      <c r="BEA71" s="188"/>
      <c r="BEB71" s="188"/>
      <c r="BEC71" s="188"/>
      <c r="BED71" s="188"/>
      <c r="BEE71" s="188"/>
      <c r="BEF71" s="188"/>
      <c r="BEG71" s="188"/>
      <c r="BEH71" s="188"/>
      <c r="BEI71" s="188"/>
      <c r="BEJ71" s="188"/>
      <c r="BEK71" s="188"/>
      <c r="BEL71" s="188"/>
      <c r="BEM71" s="188"/>
      <c r="BEN71" s="188"/>
      <c r="BEO71" s="188"/>
      <c r="BEP71" s="188"/>
      <c r="BEQ71" s="188"/>
      <c r="BER71" s="188"/>
      <c r="BES71" s="188"/>
      <c r="BET71" s="188"/>
      <c r="BEU71" s="188"/>
      <c r="BEV71" s="188"/>
      <c r="BEW71" s="188"/>
      <c r="BEX71" s="188"/>
      <c r="BEY71" s="188"/>
      <c r="BEZ71" s="188"/>
      <c r="BFA71" s="188"/>
      <c r="BFB71" s="188"/>
      <c r="BFC71" s="188"/>
      <c r="BFD71" s="188"/>
      <c r="BFE71" s="188"/>
      <c r="BFF71" s="188"/>
      <c r="BFG71" s="188"/>
      <c r="BFH71" s="188"/>
      <c r="BFI71" s="188"/>
      <c r="BFJ71" s="188"/>
      <c r="BFK71" s="188"/>
      <c r="BFL71" s="188"/>
      <c r="BFM71" s="188"/>
      <c r="BFN71" s="188"/>
      <c r="BFO71" s="188"/>
      <c r="BFP71" s="188"/>
      <c r="BFQ71" s="188"/>
      <c r="BFR71" s="188"/>
      <c r="BFS71" s="188"/>
      <c r="BFT71" s="188"/>
      <c r="BFU71" s="188"/>
      <c r="BFV71" s="188"/>
      <c r="BFW71" s="188"/>
      <c r="BFX71" s="188"/>
      <c r="BFY71" s="188"/>
      <c r="BFZ71" s="188"/>
      <c r="BGA71" s="188"/>
      <c r="BGB71" s="188"/>
      <c r="BGC71" s="188"/>
      <c r="BGD71" s="188"/>
      <c r="BGE71" s="188"/>
      <c r="BGF71" s="188"/>
      <c r="BGG71" s="188"/>
      <c r="BGH71" s="188"/>
      <c r="BGI71" s="188"/>
      <c r="BGJ71" s="188"/>
      <c r="BGK71" s="188"/>
      <c r="BGL71" s="188"/>
      <c r="BGM71" s="188"/>
      <c r="BGN71" s="188"/>
      <c r="BGO71" s="188"/>
      <c r="BGP71" s="188"/>
      <c r="BGQ71" s="188"/>
      <c r="BGR71" s="188"/>
      <c r="BGS71" s="188"/>
      <c r="BGT71" s="188"/>
      <c r="BGU71" s="188"/>
      <c r="BGV71" s="188"/>
      <c r="BGW71" s="188"/>
      <c r="BGX71" s="188"/>
      <c r="BGY71" s="188"/>
      <c r="BGZ71" s="188"/>
      <c r="BHA71" s="188"/>
      <c r="BHB71" s="188"/>
      <c r="BHC71" s="188"/>
      <c r="BHD71" s="188"/>
      <c r="BHE71" s="188"/>
      <c r="BHF71" s="188"/>
      <c r="BHG71" s="188"/>
      <c r="BHH71" s="188"/>
      <c r="BHI71" s="188"/>
      <c r="BHJ71" s="188"/>
      <c r="BHK71" s="188"/>
      <c r="BHL71" s="188"/>
      <c r="BHM71" s="188"/>
      <c r="BHN71" s="188"/>
      <c r="BHO71" s="188"/>
      <c r="BHP71" s="188"/>
      <c r="BHQ71" s="188"/>
      <c r="BHR71" s="188"/>
      <c r="BHS71" s="188"/>
      <c r="BHT71" s="188"/>
      <c r="BHU71" s="188"/>
      <c r="BHV71" s="188"/>
      <c r="BHW71" s="188"/>
      <c r="BHX71" s="188"/>
      <c r="BHY71" s="188"/>
      <c r="BHZ71" s="188"/>
      <c r="BIA71" s="188"/>
      <c r="BIB71" s="188"/>
      <c r="BIC71" s="188"/>
      <c r="BID71" s="188"/>
      <c r="BIE71" s="188"/>
      <c r="BIF71" s="188"/>
      <c r="BIG71" s="188"/>
      <c r="BIH71" s="188"/>
      <c r="BII71" s="188"/>
      <c r="BIJ71" s="188"/>
      <c r="BIK71" s="188"/>
      <c r="BIL71" s="188"/>
      <c r="BIM71" s="188"/>
      <c r="BIN71" s="188"/>
      <c r="BIO71" s="188"/>
      <c r="BIP71" s="188"/>
      <c r="BIQ71" s="188"/>
      <c r="BIR71" s="188"/>
      <c r="BIS71" s="188"/>
      <c r="BIT71" s="188"/>
      <c r="BIU71" s="188"/>
      <c r="BIV71" s="188"/>
      <c r="BIW71" s="188"/>
      <c r="BIX71" s="188"/>
      <c r="BIY71" s="188"/>
      <c r="BIZ71" s="188"/>
      <c r="BJA71" s="188"/>
      <c r="BJB71" s="188"/>
      <c r="BJC71" s="188"/>
      <c r="BJD71" s="188"/>
      <c r="BJE71" s="188"/>
      <c r="BJF71" s="188"/>
      <c r="BJG71" s="188"/>
      <c r="BJH71" s="188"/>
      <c r="BJI71" s="188"/>
      <c r="BJJ71" s="188"/>
      <c r="BJK71" s="188"/>
      <c r="BJL71" s="188"/>
      <c r="BJM71" s="188"/>
      <c r="BJN71" s="188"/>
      <c r="BJO71" s="188"/>
      <c r="BJP71" s="188"/>
      <c r="BJQ71" s="188"/>
      <c r="BJR71" s="188"/>
      <c r="BJS71" s="188"/>
      <c r="BJT71" s="188"/>
      <c r="BJU71" s="188"/>
      <c r="BJV71" s="188"/>
      <c r="BJW71" s="188"/>
      <c r="BJX71" s="188"/>
      <c r="BJY71" s="188"/>
      <c r="BJZ71" s="188"/>
      <c r="BKA71" s="188"/>
      <c r="BKB71" s="188"/>
      <c r="BKC71" s="188"/>
      <c r="BKD71" s="188"/>
      <c r="BKE71" s="188"/>
      <c r="BKF71" s="188"/>
      <c r="BKG71" s="188"/>
      <c r="BKH71" s="188"/>
      <c r="BKI71" s="188"/>
      <c r="BKJ71" s="188"/>
      <c r="BKK71" s="188"/>
      <c r="BKL71" s="188"/>
      <c r="BKM71" s="188"/>
      <c r="BKN71" s="188"/>
    </row>
    <row r="72" spans="1:1652" s="21" customFormat="1" x14ac:dyDescent="0.3">
      <c r="A72" s="171"/>
      <c r="B72" s="189"/>
      <c r="C72" s="189"/>
      <c r="D72" s="189"/>
      <c r="E72" s="189"/>
      <c r="F72" s="189"/>
      <c r="G72" s="189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  <c r="V72" s="188"/>
      <c r="W72" s="188"/>
      <c r="X72" s="188"/>
      <c r="Y72" s="188"/>
      <c r="Z72" s="188"/>
      <c r="AA72" s="188"/>
      <c r="AB72" s="188"/>
      <c r="AC72" s="188"/>
      <c r="AD72" s="188"/>
      <c r="AE72" s="188"/>
      <c r="AF72" s="188"/>
      <c r="AG72" s="188"/>
      <c r="AH72" s="188"/>
      <c r="AI72" s="188"/>
      <c r="AJ72" s="188"/>
      <c r="AK72" s="188"/>
      <c r="AL72" s="188"/>
      <c r="AM72" s="188"/>
      <c r="AN72" s="188"/>
      <c r="AO72" s="188"/>
      <c r="AP72" s="188"/>
      <c r="AQ72" s="188"/>
      <c r="AR72" s="188"/>
      <c r="AS72" s="188"/>
      <c r="AT72" s="189"/>
      <c r="AU72" s="189"/>
      <c r="AV72" s="189"/>
      <c r="AW72" s="189"/>
      <c r="AX72" s="189"/>
      <c r="AY72" s="189"/>
      <c r="AZ72" s="189"/>
      <c r="BA72" s="189"/>
      <c r="BB72" s="189"/>
      <c r="BC72" s="189"/>
      <c r="BD72" s="189"/>
      <c r="BE72" s="188"/>
      <c r="BF72" s="188"/>
      <c r="BG72" s="188"/>
      <c r="BH72" s="188"/>
      <c r="BI72" s="188"/>
      <c r="BJ72" s="188"/>
      <c r="BK72" s="188"/>
      <c r="BL72" s="188"/>
      <c r="BM72" s="188"/>
      <c r="BN72" s="188"/>
      <c r="BO72" s="188"/>
      <c r="BP72" s="188"/>
      <c r="BQ72" s="188"/>
      <c r="BR72" s="188"/>
      <c r="BS72" s="188"/>
      <c r="BT72" s="188"/>
      <c r="BU72" s="188"/>
      <c r="BV72" s="188"/>
      <c r="BW72" s="188"/>
      <c r="BX72" s="188"/>
      <c r="BY72" s="188"/>
      <c r="BZ72" s="188"/>
      <c r="CA72" s="188"/>
      <c r="CB72" s="188"/>
      <c r="CC72" s="188"/>
      <c r="CD72" s="188"/>
      <c r="CE72" s="188"/>
      <c r="CF72" s="188"/>
      <c r="CG72" s="188"/>
      <c r="CH72" s="188"/>
      <c r="CI72" s="188"/>
      <c r="CJ72" s="188"/>
      <c r="CK72" s="188"/>
      <c r="CL72" s="188"/>
      <c r="CM72" s="188"/>
      <c r="CN72" s="188"/>
      <c r="CO72" s="188"/>
      <c r="CP72" s="188"/>
      <c r="CQ72" s="188"/>
      <c r="CR72" s="188"/>
      <c r="CS72" s="188"/>
      <c r="CT72" s="188"/>
      <c r="CU72" s="188"/>
      <c r="CV72" s="188"/>
      <c r="CW72" s="188"/>
      <c r="CX72" s="188"/>
      <c r="CY72" s="188"/>
      <c r="CZ72" s="188"/>
      <c r="DA72" s="188"/>
      <c r="DB72" s="188"/>
      <c r="DC72" s="188"/>
      <c r="DD72" s="188"/>
      <c r="DE72" s="188"/>
      <c r="DF72" s="188"/>
      <c r="DG72" s="188"/>
      <c r="DH72" s="188"/>
      <c r="DI72" s="188"/>
      <c r="DJ72" s="188"/>
      <c r="DK72" s="188"/>
      <c r="DL72" s="188"/>
      <c r="DM72" s="188"/>
      <c r="DN72" s="188"/>
      <c r="DO72" s="188"/>
      <c r="DP72" s="188"/>
      <c r="DQ72" s="188"/>
      <c r="DR72" s="188"/>
      <c r="DS72" s="188"/>
      <c r="DT72" s="188"/>
      <c r="DU72" s="188"/>
      <c r="DV72" s="188"/>
      <c r="DW72" s="188"/>
      <c r="DX72" s="188"/>
      <c r="DY72" s="188"/>
      <c r="DZ72" s="188"/>
      <c r="EA72" s="188"/>
      <c r="EB72" s="188"/>
      <c r="EC72" s="188"/>
      <c r="ED72" s="188"/>
      <c r="EE72" s="188"/>
      <c r="EF72" s="188"/>
      <c r="EG72" s="188"/>
      <c r="EH72" s="188"/>
      <c r="EI72" s="188"/>
      <c r="EJ72" s="188"/>
      <c r="EK72" s="188"/>
      <c r="EL72" s="188"/>
      <c r="EM72" s="188"/>
      <c r="EN72" s="188"/>
      <c r="EO72" s="188"/>
      <c r="EP72" s="188"/>
      <c r="EQ72" s="188"/>
      <c r="ER72" s="188"/>
      <c r="ES72" s="188"/>
      <c r="ET72" s="188"/>
      <c r="EU72" s="188"/>
      <c r="EV72" s="188"/>
      <c r="EW72" s="188"/>
      <c r="EX72" s="188"/>
      <c r="EY72" s="188"/>
      <c r="EZ72" s="188"/>
      <c r="FA72" s="188"/>
      <c r="FB72" s="188"/>
      <c r="FC72" s="188"/>
      <c r="FD72" s="188"/>
      <c r="FE72" s="188"/>
      <c r="FF72" s="188"/>
      <c r="FG72" s="188"/>
      <c r="FH72" s="188"/>
      <c r="FI72" s="188"/>
      <c r="FJ72" s="188"/>
      <c r="FK72" s="188"/>
      <c r="FL72" s="188"/>
      <c r="FM72" s="188"/>
      <c r="FN72" s="188"/>
      <c r="FO72" s="188"/>
      <c r="FP72" s="188"/>
      <c r="FQ72" s="188"/>
      <c r="FR72" s="188"/>
      <c r="FS72" s="188"/>
      <c r="FT72" s="188"/>
      <c r="FU72" s="188"/>
      <c r="FV72" s="188"/>
      <c r="FW72" s="188"/>
      <c r="FX72" s="188"/>
      <c r="FY72" s="188"/>
      <c r="FZ72" s="188"/>
      <c r="GA72" s="188"/>
      <c r="GB72" s="188"/>
      <c r="GC72" s="188"/>
      <c r="GD72" s="188"/>
      <c r="GE72" s="188"/>
      <c r="GF72" s="188"/>
      <c r="GG72" s="188"/>
      <c r="GH72" s="188"/>
      <c r="GI72" s="188"/>
      <c r="GJ72" s="188"/>
      <c r="GK72" s="188"/>
      <c r="GL72" s="188"/>
      <c r="GM72" s="188"/>
      <c r="GN72" s="188"/>
      <c r="GO72" s="188"/>
      <c r="GP72" s="188"/>
      <c r="GQ72" s="188"/>
      <c r="GR72" s="188"/>
      <c r="GS72" s="188"/>
      <c r="GT72" s="188"/>
      <c r="GU72" s="188"/>
      <c r="GV72" s="188"/>
      <c r="GW72" s="188"/>
      <c r="GX72" s="188"/>
      <c r="GY72" s="188"/>
      <c r="GZ72" s="188"/>
      <c r="HA72" s="188"/>
      <c r="HB72" s="188"/>
      <c r="HC72" s="188"/>
      <c r="HD72" s="188"/>
      <c r="HE72" s="188"/>
      <c r="HF72" s="188"/>
      <c r="HG72" s="188"/>
      <c r="HH72" s="188"/>
      <c r="HI72" s="188"/>
      <c r="HJ72" s="188"/>
      <c r="HK72" s="188"/>
      <c r="HL72" s="188"/>
      <c r="HM72" s="188"/>
      <c r="HN72" s="188"/>
      <c r="HO72" s="188"/>
      <c r="HP72" s="188"/>
      <c r="HQ72" s="188"/>
      <c r="HR72" s="188"/>
      <c r="HS72" s="188"/>
      <c r="HT72" s="188"/>
      <c r="HU72" s="188"/>
      <c r="HV72" s="188"/>
      <c r="HW72" s="188"/>
      <c r="HX72" s="188"/>
      <c r="HY72" s="188"/>
      <c r="HZ72" s="188"/>
      <c r="IA72" s="188"/>
      <c r="IB72" s="188"/>
      <c r="IC72" s="188"/>
      <c r="ID72" s="188"/>
      <c r="IE72" s="188"/>
      <c r="IF72" s="188"/>
      <c r="IG72" s="188"/>
      <c r="IH72" s="188"/>
      <c r="II72" s="188"/>
      <c r="IJ72" s="188"/>
      <c r="IK72" s="188"/>
      <c r="IL72" s="188"/>
      <c r="IM72" s="188"/>
      <c r="IN72" s="188"/>
      <c r="IO72" s="188"/>
      <c r="IP72" s="188"/>
      <c r="IQ72" s="188"/>
      <c r="IR72" s="188"/>
      <c r="IS72" s="188"/>
      <c r="IT72" s="188"/>
      <c r="IU72" s="188"/>
      <c r="IV72" s="188"/>
      <c r="IW72" s="188"/>
      <c r="IX72" s="188"/>
      <c r="IY72" s="188"/>
      <c r="IZ72" s="188"/>
      <c r="JA72" s="188"/>
      <c r="JB72" s="188"/>
      <c r="JC72" s="188"/>
      <c r="JD72" s="188"/>
      <c r="JE72" s="188"/>
      <c r="JF72" s="188"/>
      <c r="JG72" s="188"/>
      <c r="JH72" s="188"/>
      <c r="JI72" s="188"/>
      <c r="JJ72" s="188"/>
      <c r="JK72" s="188"/>
      <c r="JL72" s="188"/>
      <c r="JM72" s="188"/>
      <c r="JN72" s="188"/>
      <c r="JO72" s="188"/>
      <c r="JP72" s="188"/>
      <c r="JQ72" s="188"/>
      <c r="JR72" s="188"/>
      <c r="JS72" s="188"/>
      <c r="JT72" s="188"/>
      <c r="JU72" s="188"/>
      <c r="JV72" s="188"/>
      <c r="JW72" s="188"/>
      <c r="JX72" s="188"/>
      <c r="JY72" s="188"/>
      <c r="JZ72" s="188"/>
      <c r="KA72" s="188"/>
      <c r="KB72" s="188"/>
      <c r="KC72" s="188"/>
      <c r="KD72" s="188"/>
      <c r="KE72" s="188"/>
      <c r="KF72" s="188"/>
      <c r="KG72" s="188"/>
      <c r="KH72" s="188"/>
      <c r="KI72" s="188"/>
      <c r="KJ72" s="188"/>
      <c r="KK72" s="188"/>
      <c r="KL72" s="188"/>
      <c r="KM72" s="188"/>
      <c r="KN72" s="188"/>
      <c r="KO72" s="188"/>
      <c r="KP72" s="188"/>
      <c r="KQ72" s="188"/>
      <c r="KR72" s="188"/>
      <c r="KS72" s="188"/>
      <c r="KT72" s="188"/>
      <c r="KU72" s="188"/>
      <c r="KV72" s="188"/>
      <c r="KW72" s="188"/>
      <c r="KX72" s="188"/>
      <c r="KY72" s="188"/>
      <c r="KZ72" s="188"/>
      <c r="LA72" s="188"/>
      <c r="LB72" s="188"/>
      <c r="LC72" s="188"/>
      <c r="LD72" s="188"/>
      <c r="LE72" s="188"/>
      <c r="LF72" s="188"/>
      <c r="LG72" s="188"/>
      <c r="LH72" s="188"/>
      <c r="LI72" s="188"/>
      <c r="LJ72" s="188"/>
      <c r="LK72" s="188"/>
      <c r="LL72" s="188"/>
      <c r="LM72" s="188"/>
      <c r="LN72" s="188"/>
      <c r="LO72" s="188"/>
      <c r="LP72" s="188"/>
      <c r="LQ72" s="188"/>
      <c r="LR72" s="188"/>
      <c r="LS72" s="188"/>
      <c r="LT72" s="188"/>
      <c r="LU72" s="188"/>
      <c r="LV72" s="188"/>
      <c r="LW72" s="188"/>
      <c r="LX72" s="188"/>
      <c r="LY72" s="188"/>
      <c r="LZ72" s="188"/>
      <c r="MA72" s="188"/>
      <c r="MB72" s="188"/>
      <c r="MC72" s="188"/>
      <c r="MD72" s="188"/>
      <c r="ME72" s="188"/>
      <c r="MF72" s="188"/>
      <c r="MG72" s="188"/>
      <c r="MH72" s="188"/>
      <c r="MI72" s="188"/>
      <c r="MJ72" s="188"/>
      <c r="MK72" s="188"/>
      <c r="ML72" s="188"/>
      <c r="MM72" s="188"/>
      <c r="MN72" s="188"/>
      <c r="MO72" s="188"/>
      <c r="MP72" s="188"/>
      <c r="MQ72" s="188"/>
      <c r="MR72" s="188"/>
      <c r="MS72" s="188"/>
      <c r="MT72" s="188"/>
      <c r="MU72" s="188"/>
      <c r="MV72" s="188"/>
      <c r="MW72" s="188"/>
      <c r="MX72" s="188"/>
      <c r="MY72" s="188"/>
      <c r="MZ72" s="188"/>
      <c r="NA72" s="188"/>
      <c r="NB72" s="188"/>
      <c r="NC72" s="188"/>
      <c r="ND72" s="188"/>
      <c r="NE72" s="188"/>
      <c r="NF72" s="188"/>
      <c r="NG72" s="188"/>
      <c r="NH72" s="188"/>
      <c r="NI72" s="188"/>
      <c r="NJ72" s="188"/>
      <c r="NK72" s="188"/>
      <c r="NL72" s="188"/>
      <c r="NM72" s="188"/>
      <c r="NN72" s="188"/>
      <c r="NO72" s="188"/>
      <c r="NP72" s="188"/>
      <c r="NQ72" s="188"/>
      <c r="NR72" s="188"/>
      <c r="NS72" s="188"/>
      <c r="NT72" s="188"/>
      <c r="NU72" s="188"/>
      <c r="NV72" s="188"/>
      <c r="NW72" s="188"/>
      <c r="NX72" s="188"/>
      <c r="NY72" s="188"/>
      <c r="NZ72" s="188"/>
      <c r="OA72" s="188"/>
      <c r="OB72" s="188"/>
      <c r="OC72" s="188"/>
      <c r="OD72" s="188"/>
      <c r="OE72" s="188"/>
      <c r="OF72" s="188"/>
      <c r="OG72" s="188"/>
      <c r="OH72" s="188"/>
      <c r="OI72" s="188"/>
      <c r="OJ72" s="188"/>
      <c r="OK72" s="188"/>
      <c r="OL72" s="188"/>
      <c r="OM72" s="188"/>
      <c r="ON72" s="188"/>
      <c r="OO72" s="188"/>
      <c r="OP72" s="188"/>
      <c r="OQ72" s="188"/>
      <c r="OR72" s="188"/>
      <c r="OS72" s="188"/>
      <c r="OT72" s="188"/>
      <c r="OU72" s="188"/>
      <c r="OV72" s="188"/>
      <c r="OW72" s="188"/>
      <c r="OX72" s="188"/>
      <c r="OY72" s="188"/>
      <c r="OZ72" s="188"/>
      <c r="PA72" s="188"/>
      <c r="PB72" s="188"/>
      <c r="PC72" s="188"/>
      <c r="PD72" s="188"/>
      <c r="PE72" s="188"/>
      <c r="PF72" s="188"/>
      <c r="PG72" s="188"/>
      <c r="PH72" s="188"/>
      <c r="PI72" s="188"/>
      <c r="PJ72" s="188"/>
      <c r="PK72" s="188"/>
      <c r="PL72" s="188"/>
      <c r="PM72" s="188"/>
      <c r="PN72" s="188"/>
      <c r="PO72" s="188"/>
      <c r="PP72" s="188"/>
      <c r="PQ72" s="188"/>
      <c r="PR72" s="188"/>
      <c r="PS72" s="188"/>
      <c r="PT72" s="188"/>
      <c r="PU72" s="188"/>
      <c r="PV72" s="188"/>
      <c r="PW72" s="188"/>
      <c r="PX72" s="188"/>
      <c r="PY72" s="188"/>
      <c r="PZ72" s="188"/>
      <c r="QA72" s="188"/>
      <c r="QB72" s="188"/>
      <c r="QC72" s="188"/>
      <c r="QD72" s="188"/>
      <c r="QE72" s="188"/>
      <c r="QF72" s="188"/>
      <c r="QG72" s="188"/>
      <c r="QH72" s="188"/>
      <c r="QI72" s="188"/>
      <c r="QJ72" s="188"/>
      <c r="QK72" s="188"/>
      <c r="QL72" s="188"/>
      <c r="QM72" s="188"/>
      <c r="QN72" s="188"/>
      <c r="QO72" s="188"/>
      <c r="QP72" s="188"/>
      <c r="QQ72" s="188"/>
      <c r="QR72" s="188"/>
      <c r="QS72" s="188"/>
      <c r="QT72" s="188"/>
      <c r="QU72" s="188"/>
      <c r="QV72" s="188"/>
      <c r="QW72" s="188"/>
      <c r="QX72" s="188"/>
      <c r="QY72" s="188"/>
      <c r="QZ72" s="188"/>
      <c r="RA72" s="188"/>
      <c r="RB72" s="188"/>
      <c r="RC72" s="188"/>
      <c r="RD72" s="188"/>
      <c r="RE72" s="188"/>
      <c r="RF72" s="188"/>
      <c r="RG72" s="188"/>
      <c r="RH72" s="188"/>
      <c r="RI72" s="188"/>
      <c r="RJ72" s="188"/>
      <c r="RK72" s="188"/>
      <c r="RL72" s="188"/>
      <c r="RM72" s="188"/>
      <c r="RN72" s="188"/>
      <c r="RO72" s="188"/>
      <c r="RP72" s="188"/>
      <c r="RQ72" s="188"/>
      <c r="RR72" s="188"/>
      <c r="RS72" s="188"/>
      <c r="RT72" s="188"/>
      <c r="RU72" s="188"/>
      <c r="RV72" s="188"/>
      <c r="RW72" s="188"/>
      <c r="RX72" s="188"/>
      <c r="RY72" s="188"/>
      <c r="RZ72" s="188"/>
      <c r="SA72" s="188"/>
      <c r="SB72" s="188"/>
      <c r="SC72" s="188"/>
      <c r="SD72" s="188"/>
      <c r="SE72" s="188"/>
      <c r="SF72" s="188"/>
      <c r="SG72" s="188"/>
      <c r="SH72" s="188"/>
      <c r="SI72" s="188"/>
      <c r="SJ72" s="188"/>
      <c r="SK72" s="188"/>
      <c r="SL72" s="188"/>
      <c r="SM72" s="188"/>
      <c r="SN72" s="188"/>
      <c r="SO72" s="188"/>
      <c r="SP72" s="188"/>
      <c r="SQ72" s="188"/>
      <c r="SR72" s="188"/>
      <c r="SS72" s="188"/>
      <c r="ST72" s="188"/>
      <c r="SU72" s="188"/>
      <c r="SV72" s="188"/>
      <c r="SW72" s="188"/>
      <c r="SX72" s="188"/>
      <c r="SY72" s="188"/>
      <c r="SZ72" s="188"/>
      <c r="TA72" s="188"/>
      <c r="TB72" s="188"/>
      <c r="TC72" s="188"/>
      <c r="TD72" s="188"/>
      <c r="TE72" s="188"/>
      <c r="TF72" s="188"/>
      <c r="TG72" s="188"/>
      <c r="TH72" s="188"/>
      <c r="TI72" s="188"/>
      <c r="TJ72" s="188"/>
      <c r="TK72" s="188"/>
      <c r="TL72" s="188"/>
      <c r="TM72" s="188"/>
      <c r="TN72" s="188"/>
      <c r="TO72" s="188"/>
      <c r="TP72" s="188"/>
      <c r="TQ72" s="188"/>
      <c r="TR72" s="188"/>
      <c r="TS72" s="188"/>
      <c r="TT72" s="188"/>
      <c r="TU72" s="188"/>
      <c r="TV72" s="188"/>
      <c r="TW72" s="188"/>
      <c r="TX72" s="188"/>
      <c r="TY72" s="188"/>
      <c r="TZ72" s="188"/>
      <c r="UA72" s="188"/>
      <c r="UB72" s="188"/>
      <c r="UC72" s="188"/>
      <c r="UD72" s="188"/>
      <c r="UE72" s="188"/>
      <c r="UF72" s="188"/>
      <c r="UG72" s="188"/>
      <c r="UH72" s="188"/>
      <c r="UI72" s="188"/>
      <c r="UJ72" s="188"/>
      <c r="UK72" s="188"/>
      <c r="UL72" s="188"/>
      <c r="UM72" s="188"/>
      <c r="UN72" s="188"/>
      <c r="UO72" s="188"/>
      <c r="UP72" s="188"/>
      <c r="UQ72" s="188"/>
      <c r="UR72" s="188"/>
      <c r="US72" s="188"/>
      <c r="UT72" s="188"/>
      <c r="UU72" s="188"/>
      <c r="UV72" s="188"/>
      <c r="UW72" s="188"/>
      <c r="UX72" s="188"/>
      <c r="UY72" s="188"/>
      <c r="UZ72" s="188"/>
      <c r="VA72" s="188"/>
      <c r="VB72" s="188"/>
      <c r="VC72" s="188"/>
      <c r="VD72" s="188"/>
      <c r="VE72" s="188"/>
      <c r="VF72" s="188"/>
      <c r="VG72" s="188"/>
      <c r="VH72" s="188"/>
      <c r="VI72" s="188"/>
      <c r="VJ72" s="188"/>
      <c r="VK72" s="188"/>
      <c r="VL72" s="188"/>
      <c r="VM72" s="188"/>
      <c r="VN72" s="188"/>
      <c r="VO72" s="188"/>
      <c r="VP72" s="188"/>
      <c r="VQ72" s="188"/>
      <c r="VR72" s="188"/>
      <c r="VS72" s="188"/>
      <c r="VT72" s="188"/>
      <c r="VU72" s="188"/>
      <c r="VV72" s="188"/>
      <c r="VW72" s="188"/>
      <c r="VX72" s="188"/>
      <c r="VY72" s="188"/>
      <c r="VZ72" s="188"/>
      <c r="WA72" s="188"/>
      <c r="WB72" s="188"/>
      <c r="WC72" s="188"/>
      <c r="WD72" s="188"/>
      <c r="WE72" s="188"/>
      <c r="WF72" s="188"/>
      <c r="WG72" s="188"/>
      <c r="WH72" s="188"/>
      <c r="WI72" s="188"/>
      <c r="WJ72" s="188"/>
      <c r="WK72" s="188"/>
      <c r="WL72" s="188"/>
      <c r="WM72" s="188"/>
      <c r="WN72" s="188"/>
      <c r="WO72" s="188"/>
      <c r="WP72" s="188"/>
      <c r="WQ72" s="188"/>
      <c r="WR72" s="188"/>
      <c r="WS72" s="188"/>
      <c r="WT72" s="188"/>
      <c r="WU72" s="188"/>
      <c r="WV72" s="188"/>
      <c r="WW72" s="188"/>
      <c r="WX72" s="188"/>
      <c r="WY72" s="188"/>
      <c r="WZ72" s="188"/>
      <c r="XA72" s="188"/>
      <c r="XB72" s="188"/>
      <c r="XC72" s="188"/>
      <c r="XD72" s="188"/>
      <c r="XE72" s="188"/>
      <c r="XF72" s="188"/>
      <c r="XG72" s="188"/>
      <c r="XH72" s="188"/>
      <c r="XI72" s="188"/>
      <c r="XJ72" s="188"/>
      <c r="XK72" s="188"/>
      <c r="XL72" s="188"/>
      <c r="XM72" s="188"/>
      <c r="XN72" s="188"/>
      <c r="XO72" s="188"/>
      <c r="XP72" s="188"/>
      <c r="XQ72" s="188"/>
      <c r="XR72" s="188"/>
      <c r="XS72" s="188"/>
      <c r="XT72" s="188"/>
      <c r="XU72" s="188"/>
      <c r="XV72" s="188"/>
      <c r="XW72" s="188"/>
      <c r="XX72" s="188"/>
      <c r="XY72" s="188"/>
      <c r="XZ72" s="188"/>
      <c r="YA72" s="188"/>
      <c r="YB72" s="188"/>
      <c r="YC72" s="188"/>
      <c r="YD72" s="188"/>
      <c r="YE72" s="188"/>
      <c r="YF72" s="188"/>
      <c r="YG72" s="188"/>
      <c r="YH72" s="188"/>
      <c r="YI72" s="188"/>
      <c r="YJ72" s="188"/>
      <c r="YK72" s="188"/>
      <c r="YL72" s="188"/>
      <c r="YM72" s="188"/>
      <c r="YN72" s="188"/>
      <c r="YO72" s="188"/>
      <c r="YP72" s="188"/>
      <c r="YQ72" s="188"/>
      <c r="YR72" s="188"/>
      <c r="YS72" s="188"/>
      <c r="YT72" s="188"/>
      <c r="YU72" s="188"/>
      <c r="YV72" s="188"/>
      <c r="YW72" s="188"/>
      <c r="YX72" s="188"/>
      <c r="YY72" s="188"/>
      <c r="YZ72" s="188"/>
      <c r="ZA72" s="188"/>
      <c r="ZB72" s="188"/>
      <c r="ZC72" s="188"/>
      <c r="ZD72" s="188"/>
      <c r="ZE72" s="188"/>
      <c r="ZF72" s="188"/>
      <c r="ZG72" s="188"/>
      <c r="ZH72" s="188"/>
      <c r="ZI72" s="188"/>
      <c r="ZJ72" s="188"/>
      <c r="ZK72" s="188"/>
      <c r="ZL72" s="188"/>
      <c r="ZM72" s="188"/>
      <c r="ZN72" s="188"/>
      <c r="ZO72" s="188"/>
      <c r="ZP72" s="188"/>
      <c r="ZQ72" s="188"/>
      <c r="ZR72" s="188"/>
      <c r="ZS72" s="188"/>
      <c r="ZT72" s="188"/>
      <c r="ZU72" s="188"/>
      <c r="ZV72" s="188"/>
      <c r="ZW72" s="188"/>
      <c r="ZX72" s="188"/>
      <c r="ZY72" s="188"/>
      <c r="ZZ72" s="188"/>
      <c r="AAA72" s="188"/>
      <c r="AAB72" s="188"/>
      <c r="AAC72" s="188"/>
      <c r="AAD72" s="188"/>
      <c r="AAE72" s="188"/>
      <c r="AAF72" s="188"/>
      <c r="AAG72" s="188"/>
      <c r="AAH72" s="188"/>
      <c r="AAI72" s="188"/>
      <c r="AAJ72" s="188"/>
      <c r="AAK72" s="188"/>
      <c r="AAL72" s="188"/>
      <c r="AAM72" s="188"/>
      <c r="AAN72" s="188"/>
      <c r="AAO72" s="188"/>
      <c r="AAP72" s="188"/>
      <c r="AAQ72" s="188"/>
      <c r="AAR72" s="188"/>
      <c r="AAS72" s="188"/>
      <c r="AAT72" s="188"/>
      <c r="AAU72" s="188"/>
      <c r="AAV72" s="188"/>
      <c r="AAW72" s="188"/>
      <c r="AAX72" s="188"/>
      <c r="AAY72" s="188"/>
      <c r="AAZ72" s="188"/>
      <c r="ABA72" s="188"/>
      <c r="ABB72" s="188"/>
      <c r="ABC72" s="188"/>
      <c r="ABD72" s="188"/>
      <c r="ABE72" s="188"/>
      <c r="ABF72" s="188"/>
      <c r="ABG72" s="188"/>
      <c r="ABH72" s="188"/>
      <c r="ABI72" s="188"/>
      <c r="ABJ72" s="188"/>
      <c r="ABK72" s="188"/>
      <c r="ABL72" s="188"/>
      <c r="ABM72" s="188"/>
      <c r="ABN72" s="188"/>
      <c r="ABO72" s="188"/>
      <c r="ABP72" s="188"/>
      <c r="ABQ72" s="188"/>
      <c r="ABR72" s="188"/>
      <c r="ABS72" s="188"/>
      <c r="ABT72" s="188"/>
      <c r="ABU72" s="188"/>
      <c r="ABV72" s="188"/>
      <c r="ABW72" s="188"/>
      <c r="ABX72" s="188"/>
      <c r="ABY72" s="188"/>
      <c r="ABZ72" s="188"/>
      <c r="ACA72" s="188"/>
      <c r="ACB72" s="188"/>
      <c r="ACC72" s="188"/>
      <c r="ACD72" s="188"/>
      <c r="ACE72" s="188"/>
      <c r="ACF72" s="188"/>
      <c r="ACG72" s="188"/>
      <c r="ACH72" s="188"/>
      <c r="ACI72" s="188"/>
      <c r="ACJ72" s="188"/>
      <c r="ACK72" s="188"/>
      <c r="ACL72" s="188"/>
      <c r="ACM72" s="188"/>
      <c r="ACN72" s="188"/>
      <c r="ACO72" s="188"/>
      <c r="ACP72" s="188"/>
      <c r="ACQ72" s="188"/>
      <c r="ACR72" s="188"/>
      <c r="ACS72" s="188"/>
      <c r="ACT72" s="188"/>
      <c r="ACU72" s="188"/>
      <c r="ACV72" s="188"/>
      <c r="ACW72" s="188"/>
      <c r="ACX72" s="188"/>
      <c r="ACY72" s="188"/>
      <c r="ACZ72" s="188"/>
      <c r="ADA72" s="188"/>
      <c r="ADB72" s="188"/>
      <c r="ADC72" s="188"/>
      <c r="ADD72" s="188"/>
      <c r="ADE72" s="188"/>
      <c r="ADF72" s="188"/>
      <c r="ADG72" s="188"/>
      <c r="ADH72" s="188"/>
      <c r="ADI72" s="188"/>
      <c r="ADJ72" s="188"/>
      <c r="ADK72" s="188"/>
      <c r="ADL72" s="188"/>
      <c r="ADM72" s="188"/>
      <c r="ADN72" s="188"/>
      <c r="ADO72" s="188"/>
      <c r="ADP72" s="188"/>
      <c r="ADQ72" s="188"/>
      <c r="ADR72" s="188"/>
      <c r="ADS72" s="188"/>
      <c r="ADT72" s="188"/>
      <c r="ADU72" s="188"/>
      <c r="ADV72" s="188"/>
      <c r="ADW72" s="188"/>
      <c r="ADX72" s="188"/>
      <c r="ADY72" s="188"/>
      <c r="ADZ72" s="188"/>
      <c r="AEA72" s="188"/>
      <c r="AEB72" s="188"/>
      <c r="AEC72" s="188"/>
      <c r="AED72" s="188"/>
      <c r="AEE72" s="188"/>
      <c r="AEF72" s="188"/>
      <c r="AEG72" s="188"/>
      <c r="AEH72" s="188"/>
      <c r="AEI72" s="188"/>
      <c r="AEJ72" s="188"/>
      <c r="AEK72" s="188"/>
      <c r="AEL72" s="188"/>
      <c r="AEM72" s="188"/>
      <c r="AEN72" s="188"/>
      <c r="AEO72" s="188"/>
      <c r="AEP72" s="188"/>
      <c r="AEQ72" s="188"/>
      <c r="AER72" s="188"/>
      <c r="AES72" s="188"/>
      <c r="AET72" s="188"/>
      <c r="AEU72" s="188"/>
      <c r="AEV72" s="188"/>
      <c r="AEW72" s="188"/>
      <c r="AEX72" s="188"/>
      <c r="AEY72" s="188"/>
      <c r="AEZ72" s="188"/>
      <c r="AFA72" s="188"/>
      <c r="AFB72" s="188"/>
      <c r="AFC72" s="188"/>
      <c r="AFD72" s="188"/>
      <c r="AFE72" s="188"/>
      <c r="AFF72" s="188"/>
      <c r="AFG72" s="188"/>
      <c r="AFH72" s="188"/>
      <c r="AFI72" s="188"/>
      <c r="AFJ72" s="188"/>
      <c r="AFK72" s="188"/>
      <c r="AFL72" s="188"/>
      <c r="AFM72" s="188"/>
      <c r="AFN72" s="188"/>
      <c r="AFO72" s="188"/>
      <c r="AFP72" s="188"/>
      <c r="AFQ72" s="188"/>
      <c r="AFR72" s="188"/>
      <c r="AFS72" s="188"/>
      <c r="AFT72" s="188"/>
      <c r="AFU72" s="188"/>
      <c r="AFV72" s="188"/>
      <c r="AFW72" s="188"/>
      <c r="AFX72" s="188"/>
      <c r="AFY72" s="188"/>
      <c r="AFZ72" s="188"/>
      <c r="AGA72" s="188"/>
      <c r="AGB72" s="188"/>
      <c r="AGC72" s="188"/>
      <c r="AGD72" s="188"/>
      <c r="AGE72" s="188"/>
      <c r="AGF72" s="188"/>
      <c r="AGG72" s="188"/>
      <c r="AGH72" s="188"/>
      <c r="AGI72" s="188"/>
      <c r="AGJ72" s="188"/>
      <c r="AGK72" s="188"/>
      <c r="AGL72" s="188"/>
      <c r="AGM72" s="188"/>
      <c r="AGN72" s="188"/>
      <c r="AGO72" s="188"/>
      <c r="AGP72" s="188"/>
      <c r="AGQ72" s="188"/>
      <c r="AGR72" s="188"/>
      <c r="AGS72" s="188"/>
      <c r="AGT72" s="188"/>
      <c r="AGU72" s="188"/>
      <c r="AGV72" s="188"/>
      <c r="AGW72" s="188"/>
      <c r="AGX72" s="188"/>
      <c r="AGY72" s="188"/>
      <c r="AGZ72" s="188"/>
      <c r="AHA72" s="188"/>
      <c r="AHB72" s="188"/>
      <c r="AHC72" s="188"/>
      <c r="AHD72" s="188"/>
      <c r="AHE72" s="188"/>
      <c r="AHF72" s="188"/>
      <c r="AHG72" s="188"/>
      <c r="AHH72" s="188"/>
      <c r="AHI72" s="188"/>
      <c r="AHJ72" s="188"/>
      <c r="AHK72" s="188"/>
      <c r="AHL72" s="188"/>
      <c r="AHM72" s="188"/>
      <c r="AHN72" s="188"/>
      <c r="AHO72" s="188"/>
      <c r="AHP72" s="188"/>
      <c r="AHQ72" s="188"/>
      <c r="AHR72" s="188"/>
      <c r="AHS72" s="188"/>
      <c r="AHT72" s="188"/>
      <c r="AHU72" s="188"/>
      <c r="AHV72" s="188"/>
      <c r="AHW72" s="188"/>
      <c r="AHX72" s="188"/>
      <c r="AHY72" s="188"/>
      <c r="AHZ72" s="188"/>
      <c r="AIA72" s="188"/>
      <c r="AIB72" s="188"/>
      <c r="AIC72" s="188"/>
      <c r="AID72" s="188"/>
      <c r="AIE72" s="188"/>
      <c r="AIF72" s="188"/>
      <c r="AIG72" s="188"/>
      <c r="AIH72" s="188"/>
      <c r="AII72" s="188"/>
      <c r="AIJ72" s="188"/>
      <c r="AIK72" s="188"/>
      <c r="AIL72" s="188"/>
      <c r="AIM72" s="188"/>
      <c r="AIN72" s="188"/>
      <c r="AIO72" s="188"/>
      <c r="AIP72" s="188"/>
      <c r="AIQ72" s="188"/>
      <c r="AIR72" s="188"/>
      <c r="AIS72" s="188"/>
      <c r="AIT72" s="188"/>
      <c r="AIU72" s="188"/>
      <c r="AIV72" s="188"/>
      <c r="AIW72" s="188"/>
      <c r="AIX72" s="188"/>
      <c r="AIY72" s="188"/>
      <c r="AIZ72" s="188"/>
      <c r="AJA72" s="188"/>
      <c r="AJB72" s="188"/>
      <c r="AJC72" s="188"/>
      <c r="AJD72" s="188"/>
      <c r="AJE72" s="188"/>
      <c r="AJF72" s="188"/>
      <c r="AJG72" s="188"/>
      <c r="AJH72" s="188"/>
      <c r="AJI72" s="188"/>
      <c r="AJJ72" s="188"/>
      <c r="AJK72" s="188"/>
      <c r="AJL72" s="188"/>
      <c r="AJM72" s="188"/>
      <c r="AJN72" s="188"/>
      <c r="AJO72" s="188"/>
      <c r="AJP72" s="188"/>
      <c r="AJQ72" s="188"/>
      <c r="AJR72" s="188"/>
      <c r="AJS72" s="188"/>
      <c r="AJT72" s="188"/>
      <c r="AJU72" s="188"/>
      <c r="AJV72" s="188"/>
      <c r="AJW72" s="188"/>
      <c r="AJX72" s="188"/>
      <c r="AJY72" s="188"/>
      <c r="AJZ72" s="188"/>
      <c r="AKA72" s="188"/>
      <c r="AKB72" s="188"/>
      <c r="AKC72" s="188"/>
      <c r="AKD72" s="188"/>
      <c r="AKE72" s="188"/>
      <c r="AKF72" s="188"/>
      <c r="AKG72" s="188"/>
      <c r="AKH72" s="188"/>
      <c r="AKI72" s="188"/>
      <c r="AKJ72" s="188"/>
      <c r="AKK72" s="188"/>
      <c r="AKL72" s="188"/>
      <c r="AKM72" s="188"/>
      <c r="AKN72" s="188"/>
      <c r="AKO72" s="188"/>
      <c r="AKP72" s="188"/>
      <c r="AKQ72" s="188"/>
      <c r="AKR72" s="188"/>
      <c r="AKS72" s="188"/>
      <c r="AKT72" s="188"/>
      <c r="AKU72" s="188"/>
      <c r="AKV72" s="188"/>
      <c r="AKW72" s="188"/>
      <c r="AKX72" s="188"/>
      <c r="AKY72" s="188"/>
      <c r="AKZ72" s="188"/>
      <c r="ALA72" s="188"/>
      <c r="ALB72" s="188"/>
      <c r="ALC72" s="188"/>
      <c r="ALD72" s="188"/>
      <c r="ALE72" s="188"/>
      <c r="ALF72" s="188"/>
      <c r="ALG72" s="188"/>
      <c r="ALH72" s="188"/>
      <c r="ALI72" s="188"/>
      <c r="ALJ72" s="188"/>
      <c r="ALK72" s="188"/>
      <c r="ALL72" s="188"/>
      <c r="ALM72" s="188"/>
      <c r="ALN72" s="188"/>
      <c r="ALO72" s="188"/>
      <c r="ALP72" s="188"/>
      <c r="ALQ72" s="188"/>
      <c r="ALR72" s="188"/>
      <c r="ALS72" s="188"/>
      <c r="ALT72" s="188"/>
      <c r="ALU72" s="188"/>
      <c r="ALV72" s="188"/>
      <c r="ALW72" s="188"/>
      <c r="ALX72" s="188"/>
      <c r="ALY72" s="188"/>
      <c r="ALZ72" s="188"/>
      <c r="AMA72" s="188"/>
      <c r="AMB72" s="188"/>
      <c r="AMC72" s="188"/>
      <c r="AMD72" s="188"/>
      <c r="AME72" s="188"/>
      <c r="AMF72" s="188"/>
      <c r="AMG72" s="188"/>
      <c r="AMH72" s="188"/>
      <c r="AMI72" s="188"/>
      <c r="AMJ72" s="188"/>
      <c r="AMK72" s="188"/>
      <c r="AML72" s="188"/>
      <c r="AMM72" s="188"/>
      <c r="AMN72" s="188"/>
      <c r="AMO72" s="188"/>
      <c r="AMP72" s="188"/>
      <c r="AMQ72" s="188"/>
      <c r="AMR72" s="188"/>
      <c r="AMS72" s="188"/>
      <c r="AMT72" s="188"/>
      <c r="AMU72" s="188"/>
      <c r="AMV72" s="188"/>
      <c r="AMW72" s="188"/>
      <c r="AMX72" s="188"/>
      <c r="AMY72" s="188"/>
      <c r="AMZ72" s="188"/>
      <c r="ANA72" s="188"/>
      <c r="ANB72" s="188"/>
      <c r="ANC72" s="188"/>
      <c r="AND72" s="188"/>
      <c r="ANE72" s="188"/>
      <c r="ANF72" s="188"/>
      <c r="ANG72" s="188"/>
      <c r="ANH72" s="188"/>
      <c r="ANI72" s="188"/>
      <c r="ANJ72" s="188"/>
      <c r="ANK72" s="188"/>
      <c r="ANL72" s="188"/>
      <c r="ANM72" s="188"/>
      <c r="ANN72" s="188"/>
      <c r="ANO72" s="188"/>
      <c r="ANP72" s="188"/>
      <c r="ANQ72" s="188"/>
      <c r="ANR72" s="188"/>
      <c r="ANS72" s="188"/>
      <c r="ANT72" s="188"/>
      <c r="ANU72" s="188"/>
      <c r="ANV72" s="188"/>
      <c r="ANW72" s="188"/>
      <c r="ANX72" s="188"/>
      <c r="ANY72" s="188"/>
      <c r="ANZ72" s="188"/>
      <c r="AOA72" s="188"/>
      <c r="AOB72" s="188"/>
      <c r="AOC72" s="188"/>
      <c r="AOD72" s="188"/>
      <c r="AOE72" s="188"/>
      <c r="AOF72" s="188"/>
      <c r="AOG72" s="188"/>
      <c r="AOH72" s="188"/>
      <c r="AOI72" s="188"/>
      <c r="AOJ72" s="188"/>
      <c r="AOK72" s="188"/>
      <c r="AOL72" s="188"/>
      <c r="AOM72" s="188"/>
      <c r="AON72" s="188"/>
      <c r="AOO72" s="188"/>
      <c r="AOP72" s="188"/>
      <c r="AOQ72" s="188"/>
      <c r="AOR72" s="188"/>
      <c r="AOS72" s="188"/>
      <c r="AOT72" s="188"/>
      <c r="AOU72" s="188"/>
      <c r="AOV72" s="188"/>
      <c r="AOW72" s="188"/>
      <c r="AOX72" s="188"/>
      <c r="AOY72" s="188"/>
      <c r="AOZ72" s="188"/>
      <c r="APA72" s="188"/>
      <c r="APB72" s="188"/>
      <c r="APC72" s="188"/>
      <c r="APD72" s="188"/>
      <c r="APE72" s="188"/>
      <c r="APF72" s="188"/>
      <c r="APG72" s="188"/>
      <c r="APH72" s="188"/>
      <c r="API72" s="188"/>
      <c r="APJ72" s="188"/>
      <c r="APK72" s="188"/>
      <c r="APL72" s="188"/>
      <c r="APM72" s="188"/>
      <c r="APN72" s="188"/>
      <c r="APO72" s="188"/>
      <c r="APP72" s="188"/>
      <c r="APQ72" s="188"/>
      <c r="APR72" s="188"/>
      <c r="APS72" s="188"/>
      <c r="APT72" s="188"/>
      <c r="APU72" s="188"/>
      <c r="APV72" s="188"/>
      <c r="APW72" s="188"/>
      <c r="APX72" s="188"/>
      <c r="APY72" s="188"/>
      <c r="APZ72" s="188"/>
      <c r="AQA72" s="188"/>
      <c r="AQB72" s="188"/>
      <c r="AQC72" s="188"/>
      <c r="AQD72" s="188"/>
      <c r="AQE72" s="188"/>
      <c r="AQF72" s="188"/>
      <c r="AQG72" s="188"/>
      <c r="AQH72" s="188"/>
      <c r="AQI72" s="188"/>
      <c r="AQJ72" s="188"/>
      <c r="AQK72" s="188"/>
      <c r="AQL72" s="188"/>
      <c r="AQM72" s="188"/>
      <c r="AQN72" s="188"/>
      <c r="AQO72" s="188"/>
      <c r="AQP72" s="188"/>
      <c r="AQQ72" s="188"/>
      <c r="AQR72" s="188"/>
      <c r="AQS72" s="188"/>
      <c r="AQT72" s="188"/>
      <c r="AQU72" s="188"/>
      <c r="AQV72" s="188"/>
      <c r="AQW72" s="188"/>
      <c r="AQX72" s="188"/>
      <c r="AQY72" s="188"/>
      <c r="AQZ72" s="188"/>
      <c r="ARA72" s="188"/>
      <c r="ARB72" s="188"/>
      <c r="ARC72" s="188"/>
      <c r="ARD72" s="188"/>
      <c r="ARE72" s="188"/>
      <c r="ARF72" s="188"/>
      <c r="ARG72" s="188"/>
      <c r="ARH72" s="188"/>
      <c r="ARI72" s="188"/>
      <c r="ARJ72" s="188"/>
      <c r="ARK72" s="188"/>
      <c r="ARL72" s="188"/>
      <c r="ARM72" s="188"/>
      <c r="ARN72" s="188"/>
      <c r="ARO72" s="188"/>
      <c r="ARP72" s="188"/>
      <c r="ARQ72" s="188"/>
      <c r="ARR72" s="188"/>
      <c r="ARS72" s="188"/>
      <c r="ART72" s="188"/>
      <c r="ARU72" s="188"/>
      <c r="ARV72" s="188"/>
      <c r="ARW72" s="188"/>
      <c r="ARX72" s="188"/>
      <c r="ARY72" s="188"/>
      <c r="ARZ72" s="188"/>
      <c r="ASA72" s="188"/>
      <c r="ASB72" s="188"/>
      <c r="ASC72" s="188"/>
      <c r="ASD72" s="188"/>
      <c r="ASE72" s="188"/>
      <c r="ASF72" s="188"/>
      <c r="ASG72" s="188"/>
      <c r="ASH72" s="188"/>
      <c r="ASI72" s="188"/>
      <c r="ASJ72" s="188"/>
      <c r="ASK72" s="188"/>
      <c r="ASL72" s="188"/>
      <c r="ASM72" s="188"/>
      <c r="ASN72" s="188"/>
      <c r="ASO72" s="188"/>
      <c r="ASP72" s="188"/>
      <c r="ASQ72" s="188"/>
      <c r="ASR72" s="188"/>
      <c r="ASS72" s="188"/>
      <c r="AST72" s="188"/>
      <c r="ASU72" s="188"/>
      <c r="ASV72" s="188"/>
      <c r="ASW72" s="188"/>
      <c r="ASX72" s="188"/>
      <c r="ASY72" s="188"/>
      <c r="ASZ72" s="188"/>
      <c r="ATA72" s="188"/>
      <c r="ATB72" s="188"/>
      <c r="ATC72" s="188"/>
      <c r="ATD72" s="188"/>
      <c r="ATE72" s="188"/>
      <c r="ATF72" s="188"/>
      <c r="ATG72" s="188"/>
      <c r="ATH72" s="188"/>
      <c r="ATI72" s="188"/>
      <c r="ATJ72" s="188"/>
      <c r="ATK72" s="188"/>
      <c r="ATL72" s="188"/>
      <c r="ATM72" s="188"/>
      <c r="ATN72" s="188"/>
      <c r="ATO72" s="188"/>
      <c r="ATP72" s="188"/>
      <c r="ATQ72" s="188"/>
      <c r="ATR72" s="188"/>
      <c r="ATS72" s="188"/>
      <c r="ATT72" s="188"/>
      <c r="ATU72" s="188"/>
      <c r="ATV72" s="188"/>
      <c r="ATW72" s="188"/>
      <c r="ATX72" s="188"/>
      <c r="ATY72" s="188"/>
      <c r="ATZ72" s="188"/>
      <c r="AUA72" s="188"/>
      <c r="AUB72" s="188"/>
      <c r="AUC72" s="188"/>
      <c r="AUD72" s="188"/>
      <c r="AUE72" s="188"/>
      <c r="AUF72" s="188"/>
      <c r="AUG72" s="188"/>
      <c r="AUH72" s="188"/>
      <c r="AUI72" s="188"/>
      <c r="AUJ72" s="188"/>
      <c r="AUK72" s="188"/>
      <c r="AUL72" s="188"/>
      <c r="AUM72" s="188"/>
      <c r="AUN72" s="188"/>
      <c r="AUO72" s="188"/>
      <c r="AUP72" s="188"/>
      <c r="AUQ72" s="188"/>
      <c r="AUR72" s="188"/>
      <c r="AUS72" s="188"/>
      <c r="AUT72" s="188"/>
      <c r="AUU72" s="188"/>
      <c r="AUV72" s="188"/>
      <c r="AUW72" s="188"/>
      <c r="AUX72" s="188"/>
      <c r="AUY72" s="188"/>
      <c r="AUZ72" s="188"/>
      <c r="AVA72" s="188"/>
      <c r="AVB72" s="188"/>
      <c r="AVC72" s="188"/>
      <c r="AVD72" s="188"/>
      <c r="AVE72" s="188"/>
      <c r="AVF72" s="188"/>
      <c r="AVG72" s="188"/>
      <c r="AVH72" s="188"/>
      <c r="AVI72" s="188"/>
      <c r="AVJ72" s="188"/>
      <c r="AVK72" s="188"/>
      <c r="AVL72" s="188"/>
      <c r="AVM72" s="188"/>
      <c r="AVN72" s="188"/>
      <c r="AVO72" s="188"/>
      <c r="AVP72" s="188"/>
      <c r="AVQ72" s="188"/>
      <c r="AVR72" s="188"/>
      <c r="AVS72" s="188"/>
      <c r="AVT72" s="188"/>
      <c r="AVU72" s="188"/>
      <c r="AVV72" s="188"/>
      <c r="AVW72" s="188"/>
      <c r="AVX72" s="188"/>
      <c r="AVY72" s="188"/>
      <c r="AVZ72" s="188"/>
      <c r="AWA72" s="188"/>
      <c r="AWB72" s="188"/>
      <c r="AWC72" s="188"/>
      <c r="AWD72" s="188"/>
      <c r="AWE72" s="188"/>
      <c r="AWF72" s="188"/>
      <c r="AWG72" s="188"/>
      <c r="AWH72" s="188"/>
      <c r="AWI72" s="188"/>
      <c r="AWJ72" s="188"/>
      <c r="AWK72" s="188"/>
      <c r="AWL72" s="188"/>
      <c r="AWM72" s="188"/>
      <c r="AWN72" s="188"/>
      <c r="AWO72" s="188"/>
      <c r="AWP72" s="188"/>
      <c r="AWQ72" s="188"/>
      <c r="AWR72" s="188"/>
      <c r="AWS72" s="188"/>
      <c r="AWT72" s="188"/>
      <c r="AWU72" s="188"/>
      <c r="AWV72" s="188"/>
      <c r="AWW72" s="188"/>
      <c r="AWX72" s="188"/>
      <c r="AWY72" s="188"/>
      <c r="AWZ72" s="188"/>
      <c r="AXA72" s="188"/>
      <c r="AXB72" s="188"/>
      <c r="AXC72" s="188"/>
      <c r="AXD72" s="188"/>
      <c r="AXE72" s="188"/>
      <c r="AXF72" s="188"/>
      <c r="AXG72" s="188"/>
      <c r="AXH72" s="188"/>
      <c r="AXI72" s="188"/>
      <c r="AXJ72" s="188"/>
      <c r="AXK72" s="188"/>
      <c r="AXL72" s="188"/>
      <c r="AXM72" s="188"/>
      <c r="AXN72" s="188"/>
      <c r="AXO72" s="188"/>
      <c r="AXP72" s="188"/>
      <c r="AXQ72" s="188"/>
      <c r="AXR72" s="188"/>
      <c r="AXS72" s="188"/>
      <c r="AXT72" s="188"/>
      <c r="AXU72" s="188"/>
      <c r="AXV72" s="188"/>
      <c r="AXW72" s="188"/>
      <c r="AXX72" s="188"/>
      <c r="AXY72" s="188"/>
      <c r="AXZ72" s="188"/>
      <c r="AYA72" s="188"/>
      <c r="AYB72" s="188"/>
      <c r="AYC72" s="188"/>
      <c r="AYD72" s="188"/>
      <c r="AYE72" s="188"/>
      <c r="AYF72" s="188"/>
      <c r="AYG72" s="188"/>
      <c r="AYH72" s="188"/>
      <c r="AYI72" s="188"/>
      <c r="AYJ72" s="188"/>
      <c r="AYK72" s="188"/>
      <c r="AYL72" s="188"/>
      <c r="AYM72" s="188"/>
      <c r="AYN72" s="188"/>
      <c r="AYO72" s="188"/>
      <c r="AYP72" s="188"/>
      <c r="AYQ72" s="188"/>
      <c r="AYR72" s="188"/>
      <c r="AYS72" s="188"/>
      <c r="AYT72" s="188"/>
      <c r="AYU72" s="188"/>
      <c r="AYV72" s="188"/>
      <c r="AYW72" s="188"/>
      <c r="AYX72" s="188"/>
      <c r="AYY72" s="188"/>
      <c r="AYZ72" s="188"/>
      <c r="AZA72" s="188"/>
      <c r="AZB72" s="188"/>
      <c r="AZC72" s="188"/>
      <c r="AZD72" s="188"/>
      <c r="AZE72" s="188"/>
      <c r="AZF72" s="188"/>
      <c r="AZG72" s="188"/>
      <c r="AZH72" s="188"/>
      <c r="AZI72" s="188"/>
      <c r="AZJ72" s="188"/>
      <c r="AZK72" s="188"/>
      <c r="AZL72" s="188"/>
      <c r="AZM72" s="188"/>
      <c r="AZN72" s="188"/>
      <c r="AZO72" s="188"/>
      <c r="AZP72" s="188"/>
      <c r="AZQ72" s="188"/>
      <c r="AZR72" s="188"/>
      <c r="AZS72" s="188"/>
      <c r="AZT72" s="188"/>
      <c r="AZU72" s="188"/>
      <c r="AZV72" s="188"/>
      <c r="AZW72" s="188"/>
      <c r="AZX72" s="188"/>
      <c r="AZY72" s="188"/>
      <c r="AZZ72" s="188"/>
      <c r="BAA72" s="188"/>
      <c r="BAB72" s="188"/>
      <c r="BAC72" s="188"/>
      <c r="BAD72" s="188"/>
      <c r="BAE72" s="188"/>
      <c r="BAF72" s="188"/>
      <c r="BAG72" s="188"/>
      <c r="BAH72" s="188"/>
      <c r="BAI72" s="188"/>
      <c r="BAJ72" s="188"/>
      <c r="BAK72" s="188"/>
      <c r="BAL72" s="188"/>
      <c r="BAM72" s="188"/>
      <c r="BAN72" s="188"/>
      <c r="BAO72" s="188"/>
      <c r="BAP72" s="188"/>
      <c r="BAQ72" s="188"/>
      <c r="BAR72" s="188"/>
      <c r="BAS72" s="188"/>
      <c r="BAT72" s="188"/>
      <c r="BAU72" s="188"/>
      <c r="BAV72" s="188"/>
      <c r="BAW72" s="188"/>
      <c r="BAX72" s="188"/>
      <c r="BAY72" s="188"/>
      <c r="BAZ72" s="188"/>
      <c r="BBA72" s="188"/>
      <c r="BBB72" s="188"/>
      <c r="BBC72" s="188"/>
      <c r="BBD72" s="188"/>
      <c r="BBE72" s="188"/>
      <c r="BBF72" s="188"/>
      <c r="BBG72" s="188"/>
      <c r="BBH72" s="188"/>
      <c r="BBI72" s="188"/>
      <c r="BBJ72" s="188"/>
      <c r="BBK72" s="188"/>
      <c r="BBL72" s="188"/>
      <c r="BBM72" s="188"/>
      <c r="BBN72" s="188"/>
      <c r="BBO72" s="188"/>
      <c r="BBP72" s="188"/>
      <c r="BBQ72" s="188"/>
      <c r="BBR72" s="188"/>
      <c r="BBS72" s="188"/>
      <c r="BBT72" s="188"/>
      <c r="BBU72" s="188"/>
      <c r="BBV72" s="188"/>
      <c r="BBW72" s="188"/>
      <c r="BBX72" s="188"/>
      <c r="BBY72" s="188"/>
      <c r="BBZ72" s="188"/>
      <c r="BCA72" s="188"/>
      <c r="BCB72" s="188"/>
      <c r="BCC72" s="188"/>
      <c r="BCD72" s="188"/>
      <c r="BCE72" s="188"/>
      <c r="BCF72" s="188"/>
      <c r="BCG72" s="188"/>
      <c r="BCH72" s="188"/>
      <c r="BCI72" s="188"/>
      <c r="BCJ72" s="188"/>
      <c r="BCK72" s="188"/>
      <c r="BCL72" s="188"/>
      <c r="BCM72" s="188"/>
      <c r="BCN72" s="188"/>
      <c r="BCO72" s="188"/>
      <c r="BCP72" s="188"/>
      <c r="BCQ72" s="188"/>
      <c r="BCR72" s="188"/>
      <c r="BCS72" s="188"/>
      <c r="BCT72" s="188"/>
      <c r="BCU72" s="188"/>
      <c r="BCV72" s="188"/>
      <c r="BCW72" s="188"/>
      <c r="BCX72" s="188"/>
      <c r="BCY72" s="188"/>
      <c r="BCZ72" s="188"/>
      <c r="BDA72" s="188"/>
      <c r="BDB72" s="188"/>
      <c r="BDC72" s="188"/>
      <c r="BDD72" s="188"/>
      <c r="BDE72" s="188"/>
      <c r="BDF72" s="188"/>
      <c r="BDG72" s="188"/>
      <c r="BDH72" s="188"/>
      <c r="BDI72" s="188"/>
      <c r="BDJ72" s="188"/>
      <c r="BDK72" s="188"/>
      <c r="BDL72" s="188"/>
      <c r="BDM72" s="188"/>
      <c r="BDN72" s="188"/>
      <c r="BDO72" s="188"/>
      <c r="BDP72" s="188"/>
      <c r="BDQ72" s="188"/>
      <c r="BDR72" s="188"/>
      <c r="BDS72" s="188"/>
      <c r="BDT72" s="188"/>
      <c r="BDU72" s="188"/>
      <c r="BDV72" s="188"/>
      <c r="BDW72" s="188"/>
      <c r="BDX72" s="188"/>
      <c r="BDY72" s="188"/>
      <c r="BDZ72" s="188"/>
      <c r="BEA72" s="188"/>
      <c r="BEB72" s="188"/>
      <c r="BEC72" s="188"/>
      <c r="BED72" s="188"/>
      <c r="BEE72" s="188"/>
      <c r="BEF72" s="188"/>
      <c r="BEG72" s="188"/>
      <c r="BEH72" s="188"/>
      <c r="BEI72" s="188"/>
      <c r="BEJ72" s="188"/>
      <c r="BEK72" s="188"/>
      <c r="BEL72" s="188"/>
      <c r="BEM72" s="188"/>
      <c r="BEN72" s="188"/>
      <c r="BEO72" s="188"/>
      <c r="BEP72" s="188"/>
      <c r="BEQ72" s="188"/>
      <c r="BER72" s="188"/>
      <c r="BES72" s="188"/>
      <c r="BET72" s="188"/>
      <c r="BEU72" s="188"/>
      <c r="BEV72" s="188"/>
      <c r="BEW72" s="188"/>
      <c r="BEX72" s="188"/>
      <c r="BEY72" s="188"/>
      <c r="BEZ72" s="188"/>
      <c r="BFA72" s="188"/>
      <c r="BFB72" s="188"/>
      <c r="BFC72" s="188"/>
      <c r="BFD72" s="188"/>
      <c r="BFE72" s="188"/>
      <c r="BFF72" s="188"/>
      <c r="BFG72" s="188"/>
      <c r="BFH72" s="188"/>
      <c r="BFI72" s="188"/>
      <c r="BFJ72" s="188"/>
      <c r="BFK72" s="188"/>
      <c r="BFL72" s="188"/>
      <c r="BFM72" s="188"/>
      <c r="BFN72" s="188"/>
      <c r="BFO72" s="188"/>
      <c r="BFP72" s="188"/>
      <c r="BFQ72" s="188"/>
      <c r="BFR72" s="188"/>
      <c r="BFS72" s="188"/>
      <c r="BFT72" s="188"/>
      <c r="BFU72" s="188"/>
      <c r="BFV72" s="188"/>
      <c r="BFW72" s="188"/>
      <c r="BFX72" s="188"/>
      <c r="BFY72" s="188"/>
      <c r="BFZ72" s="188"/>
      <c r="BGA72" s="188"/>
      <c r="BGB72" s="188"/>
      <c r="BGC72" s="188"/>
      <c r="BGD72" s="188"/>
      <c r="BGE72" s="188"/>
      <c r="BGF72" s="188"/>
      <c r="BGG72" s="188"/>
      <c r="BGH72" s="188"/>
      <c r="BGI72" s="188"/>
      <c r="BGJ72" s="188"/>
      <c r="BGK72" s="188"/>
      <c r="BGL72" s="188"/>
      <c r="BGM72" s="188"/>
      <c r="BGN72" s="188"/>
      <c r="BGO72" s="188"/>
      <c r="BGP72" s="188"/>
      <c r="BGQ72" s="188"/>
      <c r="BGR72" s="188"/>
      <c r="BGS72" s="188"/>
      <c r="BGT72" s="188"/>
      <c r="BGU72" s="188"/>
      <c r="BGV72" s="188"/>
      <c r="BGW72" s="188"/>
      <c r="BGX72" s="188"/>
      <c r="BGY72" s="188"/>
      <c r="BGZ72" s="188"/>
      <c r="BHA72" s="188"/>
      <c r="BHB72" s="188"/>
      <c r="BHC72" s="188"/>
      <c r="BHD72" s="188"/>
      <c r="BHE72" s="188"/>
      <c r="BHF72" s="188"/>
      <c r="BHG72" s="188"/>
      <c r="BHH72" s="188"/>
      <c r="BHI72" s="188"/>
      <c r="BHJ72" s="188"/>
      <c r="BHK72" s="188"/>
      <c r="BHL72" s="188"/>
      <c r="BHM72" s="188"/>
      <c r="BHN72" s="188"/>
      <c r="BHO72" s="188"/>
      <c r="BHP72" s="188"/>
      <c r="BHQ72" s="188"/>
      <c r="BHR72" s="188"/>
      <c r="BHS72" s="188"/>
      <c r="BHT72" s="188"/>
      <c r="BHU72" s="188"/>
      <c r="BHV72" s="188"/>
      <c r="BHW72" s="188"/>
      <c r="BHX72" s="188"/>
      <c r="BHY72" s="188"/>
      <c r="BHZ72" s="188"/>
      <c r="BIA72" s="188"/>
      <c r="BIB72" s="188"/>
      <c r="BIC72" s="188"/>
      <c r="BID72" s="188"/>
      <c r="BIE72" s="188"/>
      <c r="BIF72" s="188"/>
      <c r="BIG72" s="188"/>
      <c r="BIH72" s="188"/>
      <c r="BII72" s="188"/>
      <c r="BIJ72" s="188"/>
      <c r="BIK72" s="188"/>
      <c r="BIL72" s="188"/>
      <c r="BIM72" s="188"/>
      <c r="BIN72" s="188"/>
      <c r="BIO72" s="188"/>
      <c r="BIP72" s="188"/>
      <c r="BIQ72" s="188"/>
      <c r="BIR72" s="188"/>
      <c r="BIS72" s="188"/>
      <c r="BIT72" s="188"/>
      <c r="BIU72" s="188"/>
      <c r="BIV72" s="188"/>
      <c r="BIW72" s="188"/>
      <c r="BIX72" s="188"/>
      <c r="BIY72" s="188"/>
      <c r="BIZ72" s="188"/>
      <c r="BJA72" s="188"/>
      <c r="BJB72" s="188"/>
      <c r="BJC72" s="188"/>
      <c r="BJD72" s="188"/>
      <c r="BJE72" s="188"/>
      <c r="BJF72" s="188"/>
      <c r="BJG72" s="188"/>
      <c r="BJH72" s="188"/>
      <c r="BJI72" s="188"/>
      <c r="BJJ72" s="188"/>
      <c r="BJK72" s="188"/>
      <c r="BJL72" s="188"/>
      <c r="BJM72" s="188"/>
      <c r="BJN72" s="188"/>
      <c r="BJO72" s="188"/>
      <c r="BJP72" s="188"/>
      <c r="BJQ72" s="188"/>
      <c r="BJR72" s="188"/>
      <c r="BJS72" s="188"/>
      <c r="BJT72" s="188"/>
      <c r="BJU72" s="188"/>
      <c r="BJV72" s="188"/>
      <c r="BJW72" s="188"/>
      <c r="BJX72" s="188"/>
      <c r="BJY72" s="188"/>
      <c r="BJZ72" s="188"/>
      <c r="BKA72" s="188"/>
      <c r="BKB72" s="188"/>
      <c r="BKC72" s="188"/>
      <c r="BKD72" s="188"/>
      <c r="BKE72" s="188"/>
      <c r="BKF72" s="188"/>
      <c r="BKG72" s="188"/>
      <c r="BKH72" s="188"/>
      <c r="BKI72" s="188"/>
      <c r="BKJ72" s="188"/>
      <c r="BKK72" s="188"/>
      <c r="BKL72" s="188"/>
      <c r="BKM72" s="188"/>
      <c r="BKN72" s="188"/>
    </row>
    <row r="73" spans="1:1652" s="21" customFormat="1" x14ac:dyDescent="0.3">
      <c r="A73" s="171"/>
      <c r="B73" s="189"/>
      <c r="C73" s="189"/>
      <c r="D73" s="189"/>
      <c r="E73" s="189"/>
      <c r="F73" s="189"/>
      <c r="G73" s="189"/>
      <c r="I73" s="188"/>
      <c r="J73" s="188"/>
      <c r="K73" s="188"/>
      <c r="L73" s="188"/>
      <c r="M73" s="188"/>
      <c r="N73" s="188"/>
      <c r="O73" s="188"/>
      <c r="P73" s="188"/>
      <c r="Q73" s="188"/>
      <c r="R73" s="188"/>
      <c r="S73" s="188"/>
      <c r="T73" s="188"/>
      <c r="U73" s="188"/>
      <c r="V73" s="188"/>
      <c r="W73" s="188"/>
      <c r="X73" s="188"/>
      <c r="Y73" s="188"/>
      <c r="Z73" s="188"/>
      <c r="AA73" s="188"/>
      <c r="AB73" s="188"/>
      <c r="AC73" s="188"/>
      <c r="AD73" s="188"/>
      <c r="AE73" s="188"/>
      <c r="AF73" s="188"/>
      <c r="AG73" s="188"/>
      <c r="AH73" s="188"/>
      <c r="AI73" s="188"/>
      <c r="AJ73" s="188"/>
      <c r="AK73" s="188"/>
      <c r="AL73" s="188"/>
      <c r="AM73" s="188"/>
      <c r="AN73" s="188"/>
      <c r="AO73" s="188"/>
      <c r="AP73" s="188"/>
      <c r="AQ73" s="188"/>
      <c r="AR73" s="188"/>
      <c r="AS73" s="188"/>
      <c r="AT73" s="189"/>
      <c r="AU73" s="189"/>
      <c r="AV73" s="189"/>
      <c r="AW73" s="189"/>
      <c r="AX73" s="189"/>
      <c r="AY73" s="189"/>
      <c r="AZ73" s="189"/>
      <c r="BA73" s="189"/>
      <c r="BB73" s="189"/>
      <c r="BC73" s="189"/>
      <c r="BD73" s="189"/>
      <c r="BE73" s="188"/>
      <c r="BF73" s="188"/>
      <c r="BG73" s="188"/>
      <c r="BH73" s="188"/>
      <c r="BI73" s="188"/>
      <c r="BJ73" s="188"/>
      <c r="BK73" s="188"/>
      <c r="BL73" s="188"/>
      <c r="BM73" s="188"/>
      <c r="BN73" s="188"/>
      <c r="BO73" s="188"/>
      <c r="BP73" s="188"/>
      <c r="BQ73" s="188"/>
      <c r="BR73" s="188"/>
      <c r="BS73" s="188"/>
      <c r="BT73" s="188"/>
      <c r="BU73" s="188"/>
      <c r="BV73" s="188"/>
      <c r="BW73" s="188"/>
      <c r="BX73" s="188"/>
      <c r="BY73" s="188"/>
      <c r="BZ73" s="188"/>
      <c r="CA73" s="188"/>
      <c r="CB73" s="188"/>
      <c r="CC73" s="188"/>
      <c r="CD73" s="188"/>
      <c r="CE73" s="188"/>
      <c r="CF73" s="188"/>
      <c r="CG73" s="188"/>
      <c r="CH73" s="188"/>
      <c r="CI73" s="188"/>
      <c r="CJ73" s="188"/>
      <c r="CK73" s="188"/>
      <c r="CL73" s="188"/>
      <c r="CM73" s="188"/>
      <c r="CN73" s="188"/>
      <c r="CO73" s="188"/>
      <c r="CP73" s="188"/>
      <c r="CQ73" s="188"/>
      <c r="CR73" s="188"/>
      <c r="CS73" s="188"/>
      <c r="CT73" s="188"/>
      <c r="CU73" s="188"/>
      <c r="CV73" s="188"/>
      <c r="CW73" s="188"/>
      <c r="CX73" s="188"/>
      <c r="CY73" s="188"/>
      <c r="CZ73" s="188"/>
      <c r="DA73" s="188"/>
      <c r="DB73" s="188"/>
      <c r="DC73" s="188"/>
      <c r="DD73" s="188"/>
      <c r="DE73" s="188"/>
      <c r="DF73" s="188"/>
      <c r="DG73" s="188"/>
      <c r="DH73" s="188"/>
      <c r="DI73" s="188"/>
      <c r="DJ73" s="188"/>
      <c r="DK73" s="188"/>
      <c r="DL73" s="188"/>
      <c r="DM73" s="188"/>
      <c r="DN73" s="188"/>
      <c r="DO73" s="188"/>
      <c r="DP73" s="188"/>
      <c r="DQ73" s="188"/>
      <c r="DR73" s="188"/>
      <c r="DS73" s="188"/>
      <c r="DT73" s="188"/>
      <c r="DU73" s="188"/>
      <c r="DV73" s="188"/>
      <c r="DW73" s="188"/>
      <c r="DX73" s="188"/>
      <c r="DY73" s="188"/>
      <c r="DZ73" s="188"/>
      <c r="EA73" s="188"/>
      <c r="EB73" s="188"/>
      <c r="EC73" s="188"/>
      <c r="ED73" s="188"/>
      <c r="EE73" s="188"/>
      <c r="EF73" s="188"/>
      <c r="EG73" s="188"/>
      <c r="EH73" s="188"/>
      <c r="EI73" s="188"/>
      <c r="EJ73" s="188"/>
      <c r="EK73" s="188"/>
      <c r="EL73" s="188"/>
      <c r="EM73" s="188"/>
      <c r="EN73" s="188"/>
      <c r="EO73" s="188"/>
      <c r="EP73" s="188"/>
      <c r="EQ73" s="188"/>
      <c r="ER73" s="188"/>
      <c r="ES73" s="188"/>
      <c r="ET73" s="188"/>
      <c r="EU73" s="188"/>
      <c r="EV73" s="188"/>
      <c r="EW73" s="188"/>
      <c r="EX73" s="188"/>
      <c r="EY73" s="188"/>
      <c r="EZ73" s="188"/>
      <c r="FA73" s="188"/>
      <c r="FB73" s="188"/>
      <c r="FC73" s="188"/>
      <c r="FD73" s="188"/>
      <c r="FE73" s="188"/>
      <c r="FF73" s="188"/>
      <c r="FG73" s="188"/>
      <c r="FH73" s="188"/>
      <c r="FI73" s="188"/>
      <c r="FJ73" s="188"/>
      <c r="FK73" s="188"/>
      <c r="FL73" s="188"/>
      <c r="FM73" s="188"/>
      <c r="FN73" s="188"/>
      <c r="FO73" s="188"/>
      <c r="FP73" s="188"/>
      <c r="FQ73" s="188"/>
      <c r="FR73" s="188"/>
      <c r="FS73" s="188"/>
      <c r="FT73" s="188"/>
      <c r="FU73" s="188"/>
      <c r="FV73" s="188"/>
      <c r="FW73" s="188"/>
      <c r="FX73" s="188"/>
      <c r="FY73" s="188"/>
      <c r="FZ73" s="188"/>
      <c r="GA73" s="188"/>
      <c r="GB73" s="188"/>
      <c r="GC73" s="188"/>
      <c r="GD73" s="188"/>
      <c r="GE73" s="188"/>
      <c r="GF73" s="188"/>
      <c r="GG73" s="188"/>
      <c r="GH73" s="188"/>
      <c r="GI73" s="188"/>
      <c r="GJ73" s="188"/>
      <c r="GK73" s="188"/>
      <c r="GL73" s="188"/>
      <c r="GM73" s="188"/>
      <c r="GN73" s="188"/>
      <c r="GO73" s="188"/>
      <c r="GP73" s="188"/>
      <c r="GQ73" s="188"/>
      <c r="GR73" s="188"/>
      <c r="GS73" s="188"/>
      <c r="GT73" s="188"/>
      <c r="GU73" s="188"/>
      <c r="GV73" s="188"/>
      <c r="GW73" s="188"/>
      <c r="GX73" s="188"/>
      <c r="GY73" s="188"/>
      <c r="GZ73" s="188"/>
      <c r="HA73" s="188"/>
      <c r="HB73" s="188"/>
      <c r="HC73" s="188"/>
      <c r="HD73" s="188"/>
      <c r="HE73" s="188"/>
      <c r="HF73" s="188"/>
      <c r="HG73" s="188"/>
      <c r="HH73" s="188"/>
      <c r="HI73" s="188"/>
      <c r="HJ73" s="188"/>
      <c r="HK73" s="188"/>
      <c r="HL73" s="188"/>
      <c r="HM73" s="188"/>
      <c r="HN73" s="188"/>
      <c r="HO73" s="188"/>
      <c r="HP73" s="188"/>
      <c r="HQ73" s="188"/>
      <c r="HR73" s="188"/>
      <c r="HS73" s="188"/>
      <c r="HT73" s="188"/>
      <c r="HU73" s="188"/>
      <c r="HV73" s="188"/>
      <c r="HW73" s="188"/>
      <c r="HX73" s="188"/>
      <c r="HY73" s="188"/>
      <c r="HZ73" s="188"/>
      <c r="IA73" s="188"/>
      <c r="IB73" s="188"/>
      <c r="IC73" s="188"/>
      <c r="ID73" s="188"/>
      <c r="IE73" s="188"/>
      <c r="IF73" s="188"/>
      <c r="IG73" s="188"/>
      <c r="IH73" s="188"/>
      <c r="II73" s="188"/>
      <c r="IJ73" s="188"/>
      <c r="IK73" s="188"/>
      <c r="IL73" s="188"/>
      <c r="IM73" s="188"/>
      <c r="IN73" s="188"/>
      <c r="IO73" s="188"/>
      <c r="IP73" s="188"/>
      <c r="IQ73" s="188"/>
      <c r="IR73" s="188"/>
      <c r="IS73" s="188"/>
      <c r="IT73" s="188"/>
      <c r="IU73" s="188"/>
      <c r="IV73" s="188"/>
      <c r="IW73" s="188"/>
      <c r="IX73" s="188"/>
      <c r="IY73" s="188"/>
      <c r="IZ73" s="188"/>
      <c r="JA73" s="188"/>
      <c r="JB73" s="188"/>
      <c r="JC73" s="188"/>
      <c r="JD73" s="188"/>
      <c r="JE73" s="188"/>
      <c r="JF73" s="188"/>
      <c r="JG73" s="188"/>
      <c r="JH73" s="188"/>
      <c r="JI73" s="188"/>
      <c r="JJ73" s="188"/>
      <c r="JK73" s="188"/>
      <c r="JL73" s="188"/>
      <c r="JM73" s="188"/>
      <c r="JN73" s="188"/>
      <c r="JO73" s="188"/>
      <c r="JP73" s="188"/>
      <c r="JQ73" s="188"/>
      <c r="JR73" s="188"/>
      <c r="JS73" s="188"/>
      <c r="JT73" s="188"/>
      <c r="JU73" s="188"/>
      <c r="JV73" s="188"/>
      <c r="JW73" s="188"/>
      <c r="JX73" s="188"/>
      <c r="JY73" s="188"/>
      <c r="JZ73" s="188"/>
      <c r="KA73" s="188"/>
      <c r="KB73" s="188"/>
      <c r="KC73" s="188"/>
      <c r="KD73" s="188"/>
      <c r="KE73" s="188"/>
      <c r="KF73" s="188"/>
      <c r="KG73" s="188"/>
      <c r="KH73" s="188"/>
      <c r="KI73" s="188"/>
      <c r="KJ73" s="188"/>
      <c r="KK73" s="188"/>
      <c r="KL73" s="188"/>
      <c r="KM73" s="188"/>
      <c r="KN73" s="188"/>
      <c r="KO73" s="188"/>
      <c r="KP73" s="188"/>
      <c r="KQ73" s="188"/>
      <c r="KR73" s="188"/>
      <c r="KS73" s="188"/>
      <c r="KT73" s="188"/>
      <c r="KU73" s="188"/>
      <c r="KV73" s="188"/>
      <c r="KW73" s="188"/>
      <c r="KX73" s="188"/>
      <c r="KY73" s="188"/>
      <c r="KZ73" s="188"/>
      <c r="LA73" s="188"/>
      <c r="LB73" s="188"/>
      <c r="LC73" s="188"/>
      <c r="LD73" s="188"/>
      <c r="LE73" s="188"/>
      <c r="LF73" s="188"/>
      <c r="LG73" s="188"/>
      <c r="LH73" s="188"/>
      <c r="LI73" s="188"/>
      <c r="LJ73" s="188"/>
      <c r="LK73" s="188"/>
      <c r="LL73" s="188"/>
      <c r="LM73" s="188"/>
      <c r="LN73" s="188"/>
      <c r="LO73" s="188"/>
      <c r="LP73" s="188"/>
      <c r="LQ73" s="188"/>
      <c r="LR73" s="188"/>
      <c r="LS73" s="188"/>
      <c r="LT73" s="188"/>
      <c r="LU73" s="188"/>
      <c r="LV73" s="188"/>
      <c r="LW73" s="188"/>
      <c r="LX73" s="188"/>
      <c r="LY73" s="188"/>
      <c r="LZ73" s="188"/>
      <c r="MA73" s="188"/>
      <c r="MB73" s="188"/>
      <c r="MC73" s="188"/>
      <c r="MD73" s="188"/>
      <c r="ME73" s="188"/>
      <c r="MF73" s="188"/>
      <c r="MG73" s="188"/>
      <c r="MH73" s="188"/>
      <c r="MI73" s="188"/>
      <c r="MJ73" s="188"/>
      <c r="MK73" s="188"/>
      <c r="ML73" s="188"/>
      <c r="MM73" s="188"/>
      <c r="MN73" s="188"/>
      <c r="MO73" s="188"/>
      <c r="MP73" s="188"/>
      <c r="MQ73" s="188"/>
      <c r="MR73" s="188"/>
      <c r="MS73" s="188"/>
      <c r="MT73" s="188"/>
      <c r="MU73" s="188"/>
      <c r="MV73" s="188"/>
      <c r="MW73" s="188"/>
      <c r="MX73" s="188"/>
      <c r="MY73" s="188"/>
      <c r="MZ73" s="188"/>
      <c r="NA73" s="188"/>
      <c r="NB73" s="188"/>
      <c r="NC73" s="188"/>
      <c r="ND73" s="188"/>
      <c r="NE73" s="188"/>
      <c r="NF73" s="188"/>
      <c r="NG73" s="188"/>
      <c r="NH73" s="188"/>
      <c r="NI73" s="188"/>
      <c r="NJ73" s="188"/>
      <c r="NK73" s="188"/>
      <c r="NL73" s="188"/>
      <c r="NM73" s="188"/>
      <c r="NN73" s="188"/>
      <c r="NO73" s="188"/>
      <c r="NP73" s="188"/>
      <c r="NQ73" s="188"/>
      <c r="NR73" s="188"/>
      <c r="NS73" s="188"/>
      <c r="NT73" s="188"/>
      <c r="NU73" s="188"/>
      <c r="NV73" s="188"/>
      <c r="NW73" s="188"/>
      <c r="NX73" s="188"/>
      <c r="NY73" s="188"/>
      <c r="NZ73" s="188"/>
      <c r="OA73" s="188"/>
      <c r="OB73" s="188"/>
      <c r="OC73" s="188"/>
      <c r="OD73" s="188"/>
      <c r="OE73" s="188"/>
      <c r="OF73" s="188"/>
      <c r="OG73" s="188"/>
      <c r="OH73" s="188"/>
      <c r="OI73" s="188"/>
      <c r="OJ73" s="188"/>
      <c r="OK73" s="188"/>
      <c r="OL73" s="188"/>
      <c r="OM73" s="188"/>
      <c r="ON73" s="188"/>
      <c r="OO73" s="188"/>
      <c r="OP73" s="188"/>
      <c r="OQ73" s="188"/>
      <c r="OR73" s="188"/>
      <c r="OS73" s="188"/>
      <c r="OT73" s="188"/>
      <c r="OU73" s="188"/>
      <c r="OV73" s="188"/>
      <c r="OW73" s="188"/>
      <c r="OX73" s="188"/>
      <c r="OY73" s="188"/>
      <c r="OZ73" s="188"/>
      <c r="PA73" s="188"/>
      <c r="PB73" s="188"/>
      <c r="PC73" s="188"/>
      <c r="PD73" s="188"/>
      <c r="PE73" s="188"/>
      <c r="PF73" s="188"/>
      <c r="PG73" s="188"/>
      <c r="PH73" s="188"/>
      <c r="PI73" s="188"/>
      <c r="PJ73" s="188"/>
      <c r="PK73" s="188"/>
      <c r="PL73" s="188"/>
      <c r="PM73" s="188"/>
      <c r="PN73" s="188"/>
      <c r="PO73" s="188"/>
      <c r="PP73" s="188"/>
      <c r="PQ73" s="188"/>
      <c r="PR73" s="188"/>
      <c r="PS73" s="188"/>
      <c r="PT73" s="188"/>
      <c r="PU73" s="188"/>
      <c r="PV73" s="188"/>
      <c r="PW73" s="188"/>
      <c r="PX73" s="188"/>
      <c r="PY73" s="188"/>
      <c r="PZ73" s="188"/>
      <c r="QA73" s="188"/>
      <c r="QB73" s="188"/>
      <c r="QC73" s="188"/>
      <c r="QD73" s="188"/>
      <c r="QE73" s="188"/>
      <c r="QF73" s="188"/>
      <c r="QG73" s="188"/>
      <c r="QH73" s="188"/>
      <c r="QI73" s="188"/>
      <c r="QJ73" s="188"/>
      <c r="QK73" s="188"/>
      <c r="QL73" s="188"/>
      <c r="QM73" s="188"/>
      <c r="QN73" s="188"/>
      <c r="QO73" s="188"/>
      <c r="QP73" s="188"/>
      <c r="QQ73" s="188"/>
      <c r="QR73" s="188"/>
      <c r="QS73" s="188"/>
      <c r="QT73" s="188"/>
      <c r="QU73" s="188"/>
      <c r="QV73" s="188"/>
      <c r="QW73" s="188"/>
      <c r="QX73" s="188"/>
      <c r="QY73" s="188"/>
      <c r="QZ73" s="188"/>
      <c r="RA73" s="188"/>
      <c r="RB73" s="188"/>
      <c r="RC73" s="188"/>
      <c r="RD73" s="188"/>
      <c r="RE73" s="188"/>
      <c r="RF73" s="188"/>
      <c r="RG73" s="188"/>
      <c r="RH73" s="188"/>
      <c r="RI73" s="188"/>
      <c r="RJ73" s="188"/>
      <c r="RK73" s="188"/>
      <c r="RL73" s="188"/>
      <c r="RM73" s="188"/>
      <c r="RN73" s="188"/>
      <c r="RO73" s="188"/>
      <c r="RP73" s="188"/>
      <c r="RQ73" s="188"/>
      <c r="RR73" s="188"/>
      <c r="RS73" s="188"/>
      <c r="RT73" s="188"/>
      <c r="RU73" s="188"/>
      <c r="RV73" s="188"/>
      <c r="RW73" s="188"/>
      <c r="RX73" s="188"/>
      <c r="RY73" s="188"/>
      <c r="RZ73" s="188"/>
      <c r="SA73" s="188"/>
      <c r="SB73" s="188"/>
      <c r="SC73" s="188"/>
      <c r="SD73" s="188"/>
      <c r="SE73" s="188"/>
      <c r="SF73" s="188"/>
      <c r="SG73" s="188"/>
      <c r="SH73" s="188"/>
      <c r="SI73" s="188"/>
      <c r="SJ73" s="188"/>
      <c r="SK73" s="188"/>
      <c r="SL73" s="188"/>
      <c r="SM73" s="188"/>
      <c r="SN73" s="188"/>
      <c r="SO73" s="188"/>
      <c r="SP73" s="188"/>
      <c r="SQ73" s="188"/>
      <c r="SR73" s="188"/>
      <c r="SS73" s="188"/>
      <c r="ST73" s="188"/>
      <c r="SU73" s="188"/>
      <c r="SV73" s="188"/>
      <c r="SW73" s="188"/>
      <c r="SX73" s="188"/>
      <c r="SY73" s="188"/>
      <c r="SZ73" s="188"/>
      <c r="TA73" s="188"/>
      <c r="TB73" s="188"/>
      <c r="TC73" s="188"/>
      <c r="TD73" s="188"/>
      <c r="TE73" s="188"/>
      <c r="TF73" s="188"/>
      <c r="TG73" s="188"/>
      <c r="TH73" s="188"/>
      <c r="TI73" s="188"/>
      <c r="TJ73" s="188"/>
      <c r="TK73" s="188"/>
      <c r="TL73" s="188"/>
      <c r="TM73" s="188"/>
      <c r="TN73" s="188"/>
      <c r="TO73" s="188"/>
      <c r="TP73" s="188"/>
      <c r="TQ73" s="188"/>
      <c r="TR73" s="188"/>
      <c r="TS73" s="188"/>
      <c r="TT73" s="188"/>
      <c r="TU73" s="188"/>
      <c r="TV73" s="188"/>
      <c r="TW73" s="188"/>
      <c r="TX73" s="188"/>
      <c r="TY73" s="188"/>
      <c r="TZ73" s="188"/>
      <c r="UA73" s="188"/>
      <c r="UB73" s="188"/>
      <c r="UC73" s="188"/>
      <c r="UD73" s="188"/>
      <c r="UE73" s="188"/>
      <c r="UF73" s="188"/>
      <c r="UG73" s="188"/>
      <c r="UH73" s="188"/>
      <c r="UI73" s="188"/>
      <c r="UJ73" s="188"/>
      <c r="UK73" s="188"/>
      <c r="UL73" s="188"/>
      <c r="UM73" s="188"/>
      <c r="UN73" s="188"/>
      <c r="UO73" s="188"/>
      <c r="UP73" s="188"/>
      <c r="UQ73" s="188"/>
      <c r="UR73" s="188"/>
      <c r="US73" s="188"/>
      <c r="UT73" s="188"/>
      <c r="UU73" s="188"/>
      <c r="UV73" s="188"/>
      <c r="UW73" s="188"/>
      <c r="UX73" s="188"/>
      <c r="UY73" s="188"/>
      <c r="UZ73" s="188"/>
      <c r="VA73" s="188"/>
      <c r="VB73" s="188"/>
      <c r="VC73" s="188"/>
      <c r="VD73" s="188"/>
      <c r="VE73" s="188"/>
      <c r="VF73" s="188"/>
      <c r="VG73" s="188"/>
      <c r="VH73" s="188"/>
      <c r="VI73" s="188"/>
      <c r="VJ73" s="188"/>
      <c r="VK73" s="188"/>
      <c r="VL73" s="188"/>
      <c r="VM73" s="188"/>
      <c r="VN73" s="188"/>
      <c r="VO73" s="188"/>
      <c r="VP73" s="188"/>
      <c r="VQ73" s="188"/>
      <c r="VR73" s="188"/>
      <c r="VS73" s="188"/>
      <c r="VT73" s="188"/>
      <c r="VU73" s="188"/>
      <c r="VV73" s="188"/>
      <c r="VW73" s="188"/>
      <c r="VX73" s="188"/>
      <c r="VY73" s="188"/>
      <c r="VZ73" s="188"/>
      <c r="WA73" s="188"/>
      <c r="WB73" s="188"/>
      <c r="WC73" s="188"/>
      <c r="WD73" s="188"/>
      <c r="WE73" s="188"/>
      <c r="WF73" s="188"/>
      <c r="WG73" s="188"/>
      <c r="WH73" s="188"/>
      <c r="WI73" s="188"/>
      <c r="WJ73" s="188"/>
      <c r="WK73" s="188"/>
      <c r="WL73" s="188"/>
      <c r="WM73" s="188"/>
      <c r="WN73" s="188"/>
      <c r="WO73" s="188"/>
      <c r="WP73" s="188"/>
      <c r="WQ73" s="188"/>
      <c r="WR73" s="188"/>
      <c r="WS73" s="188"/>
      <c r="WT73" s="188"/>
      <c r="WU73" s="188"/>
      <c r="WV73" s="188"/>
      <c r="WW73" s="188"/>
      <c r="WX73" s="188"/>
      <c r="WY73" s="188"/>
      <c r="WZ73" s="188"/>
      <c r="XA73" s="188"/>
      <c r="XB73" s="188"/>
      <c r="XC73" s="188"/>
      <c r="XD73" s="188"/>
      <c r="XE73" s="188"/>
      <c r="XF73" s="188"/>
      <c r="XG73" s="188"/>
      <c r="XH73" s="188"/>
      <c r="XI73" s="188"/>
      <c r="XJ73" s="188"/>
      <c r="XK73" s="188"/>
      <c r="XL73" s="188"/>
      <c r="XM73" s="188"/>
      <c r="XN73" s="188"/>
      <c r="XO73" s="188"/>
      <c r="XP73" s="188"/>
      <c r="XQ73" s="188"/>
      <c r="XR73" s="188"/>
      <c r="XS73" s="188"/>
      <c r="XT73" s="188"/>
      <c r="XU73" s="188"/>
      <c r="XV73" s="188"/>
      <c r="XW73" s="188"/>
      <c r="XX73" s="188"/>
      <c r="XY73" s="188"/>
      <c r="XZ73" s="188"/>
      <c r="YA73" s="188"/>
      <c r="YB73" s="188"/>
      <c r="YC73" s="188"/>
      <c r="YD73" s="188"/>
      <c r="YE73" s="188"/>
      <c r="YF73" s="188"/>
      <c r="YG73" s="188"/>
      <c r="YH73" s="188"/>
      <c r="YI73" s="188"/>
      <c r="YJ73" s="188"/>
      <c r="YK73" s="188"/>
      <c r="YL73" s="188"/>
      <c r="YM73" s="188"/>
      <c r="YN73" s="188"/>
      <c r="YO73" s="188"/>
      <c r="YP73" s="188"/>
      <c r="YQ73" s="188"/>
      <c r="YR73" s="188"/>
      <c r="YS73" s="188"/>
      <c r="YT73" s="188"/>
      <c r="YU73" s="188"/>
      <c r="YV73" s="188"/>
      <c r="YW73" s="188"/>
      <c r="YX73" s="188"/>
      <c r="YY73" s="188"/>
      <c r="YZ73" s="188"/>
      <c r="ZA73" s="188"/>
      <c r="ZB73" s="188"/>
      <c r="ZC73" s="188"/>
      <c r="ZD73" s="188"/>
      <c r="ZE73" s="188"/>
      <c r="ZF73" s="188"/>
      <c r="ZG73" s="188"/>
      <c r="ZH73" s="188"/>
      <c r="ZI73" s="188"/>
      <c r="ZJ73" s="188"/>
      <c r="ZK73" s="188"/>
      <c r="ZL73" s="188"/>
      <c r="ZM73" s="188"/>
      <c r="ZN73" s="188"/>
      <c r="ZO73" s="188"/>
      <c r="ZP73" s="188"/>
      <c r="ZQ73" s="188"/>
      <c r="ZR73" s="188"/>
      <c r="ZS73" s="188"/>
      <c r="ZT73" s="188"/>
      <c r="ZU73" s="188"/>
      <c r="ZV73" s="188"/>
      <c r="ZW73" s="188"/>
      <c r="ZX73" s="188"/>
      <c r="ZY73" s="188"/>
      <c r="ZZ73" s="188"/>
      <c r="AAA73" s="188"/>
      <c r="AAB73" s="188"/>
      <c r="AAC73" s="188"/>
      <c r="AAD73" s="188"/>
      <c r="AAE73" s="188"/>
      <c r="AAF73" s="188"/>
      <c r="AAG73" s="188"/>
      <c r="AAH73" s="188"/>
      <c r="AAI73" s="188"/>
      <c r="AAJ73" s="188"/>
      <c r="AAK73" s="188"/>
      <c r="AAL73" s="188"/>
      <c r="AAM73" s="188"/>
      <c r="AAN73" s="188"/>
      <c r="AAO73" s="188"/>
      <c r="AAP73" s="188"/>
      <c r="AAQ73" s="188"/>
      <c r="AAR73" s="188"/>
      <c r="AAS73" s="188"/>
      <c r="AAT73" s="188"/>
      <c r="AAU73" s="188"/>
      <c r="AAV73" s="188"/>
      <c r="AAW73" s="188"/>
      <c r="AAX73" s="188"/>
      <c r="AAY73" s="188"/>
      <c r="AAZ73" s="188"/>
      <c r="ABA73" s="188"/>
      <c r="ABB73" s="188"/>
      <c r="ABC73" s="188"/>
      <c r="ABD73" s="188"/>
      <c r="ABE73" s="188"/>
      <c r="ABF73" s="188"/>
      <c r="ABG73" s="188"/>
      <c r="ABH73" s="188"/>
      <c r="ABI73" s="188"/>
      <c r="ABJ73" s="188"/>
      <c r="ABK73" s="188"/>
      <c r="ABL73" s="188"/>
      <c r="ABM73" s="188"/>
      <c r="ABN73" s="188"/>
      <c r="ABO73" s="188"/>
      <c r="ABP73" s="188"/>
      <c r="ABQ73" s="188"/>
      <c r="ABR73" s="188"/>
      <c r="ABS73" s="188"/>
      <c r="ABT73" s="188"/>
      <c r="ABU73" s="188"/>
      <c r="ABV73" s="188"/>
      <c r="ABW73" s="188"/>
      <c r="ABX73" s="188"/>
      <c r="ABY73" s="188"/>
      <c r="ABZ73" s="188"/>
      <c r="ACA73" s="188"/>
      <c r="ACB73" s="188"/>
      <c r="ACC73" s="188"/>
      <c r="ACD73" s="188"/>
      <c r="ACE73" s="188"/>
      <c r="ACF73" s="188"/>
      <c r="ACG73" s="188"/>
      <c r="ACH73" s="188"/>
      <c r="ACI73" s="188"/>
      <c r="ACJ73" s="188"/>
      <c r="ACK73" s="188"/>
      <c r="ACL73" s="188"/>
      <c r="ACM73" s="188"/>
      <c r="ACN73" s="188"/>
      <c r="ACO73" s="188"/>
      <c r="ACP73" s="188"/>
      <c r="ACQ73" s="188"/>
      <c r="ACR73" s="188"/>
      <c r="ACS73" s="188"/>
      <c r="ACT73" s="188"/>
      <c r="ACU73" s="188"/>
      <c r="ACV73" s="188"/>
      <c r="ACW73" s="188"/>
      <c r="ACX73" s="188"/>
      <c r="ACY73" s="188"/>
      <c r="ACZ73" s="188"/>
      <c r="ADA73" s="188"/>
      <c r="ADB73" s="188"/>
      <c r="ADC73" s="188"/>
      <c r="ADD73" s="188"/>
      <c r="ADE73" s="188"/>
      <c r="ADF73" s="188"/>
      <c r="ADG73" s="188"/>
      <c r="ADH73" s="188"/>
      <c r="ADI73" s="188"/>
      <c r="ADJ73" s="188"/>
      <c r="ADK73" s="188"/>
      <c r="ADL73" s="188"/>
      <c r="ADM73" s="188"/>
      <c r="ADN73" s="188"/>
      <c r="ADO73" s="188"/>
      <c r="ADP73" s="188"/>
      <c r="ADQ73" s="188"/>
      <c r="ADR73" s="188"/>
      <c r="ADS73" s="188"/>
      <c r="ADT73" s="188"/>
      <c r="ADU73" s="188"/>
      <c r="ADV73" s="188"/>
      <c r="ADW73" s="188"/>
      <c r="ADX73" s="188"/>
      <c r="ADY73" s="188"/>
      <c r="ADZ73" s="188"/>
      <c r="AEA73" s="188"/>
      <c r="AEB73" s="188"/>
      <c r="AEC73" s="188"/>
      <c r="AED73" s="188"/>
      <c r="AEE73" s="188"/>
      <c r="AEF73" s="188"/>
      <c r="AEG73" s="188"/>
      <c r="AEH73" s="188"/>
      <c r="AEI73" s="188"/>
      <c r="AEJ73" s="188"/>
      <c r="AEK73" s="188"/>
      <c r="AEL73" s="188"/>
      <c r="AEM73" s="188"/>
      <c r="AEN73" s="188"/>
      <c r="AEO73" s="188"/>
      <c r="AEP73" s="188"/>
      <c r="AEQ73" s="188"/>
      <c r="AER73" s="188"/>
      <c r="AES73" s="188"/>
      <c r="AET73" s="188"/>
      <c r="AEU73" s="188"/>
      <c r="AEV73" s="188"/>
      <c r="AEW73" s="188"/>
      <c r="AEX73" s="188"/>
      <c r="AEY73" s="188"/>
      <c r="AEZ73" s="188"/>
      <c r="AFA73" s="188"/>
      <c r="AFB73" s="188"/>
      <c r="AFC73" s="188"/>
      <c r="AFD73" s="188"/>
      <c r="AFE73" s="188"/>
      <c r="AFF73" s="188"/>
      <c r="AFG73" s="188"/>
      <c r="AFH73" s="188"/>
      <c r="AFI73" s="188"/>
      <c r="AFJ73" s="188"/>
      <c r="AFK73" s="188"/>
      <c r="AFL73" s="188"/>
      <c r="AFM73" s="188"/>
      <c r="AFN73" s="188"/>
      <c r="AFO73" s="188"/>
      <c r="AFP73" s="188"/>
      <c r="AFQ73" s="188"/>
      <c r="AFR73" s="188"/>
      <c r="AFS73" s="188"/>
      <c r="AFT73" s="188"/>
      <c r="AFU73" s="188"/>
      <c r="AFV73" s="188"/>
      <c r="AFW73" s="188"/>
      <c r="AFX73" s="188"/>
      <c r="AFY73" s="188"/>
      <c r="AFZ73" s="188"/>
      <c r="AGA73" s="188"/>
      <c r="AGB73" s="188"/>
      <c r="AGC73" s="188"/>
      <c r="AGD73" s="188"/>
      <c r="AGE73" s="188"/>
      <c r="AGF73" s="188"/>
      <c r="AGG73" s="188"/>
      <c r="AGH73" s="188"/>
      <c r="AGI73" s="188"/>
      <c r="AGJ73" s="188"/>
      <c r="AGK73" s="188"/>
      <c r="AGL73" s="188"/>
      <c r="AGM73" s="188"/>
      <c r="AGN73" s="188"/>
      <c r="AGO73" s="188"/>
      <c r="AGP73" s="188"/>
      <c r="AGQ73" s="188"/>
      <c r="AGR73" s="188"/>
      <c r="AGS73" s="188"/>
      <c r="AGT73" s="188"/>
      <c r="AGU73" s="188"/>
      <c r="AGV73" s="188"/>
      <c r="AGW73" s="188"/>
      <c r="AGX73" s="188"/>
      <c r="AGY73" s="188"/>
      <c r="AGZ73" s="188"/>
      <c r="AHA73" s="188"/>
      <c r="AHB73" s="188"/>
      <c r="AHC73" s="188"/>
      <c r="AHD73" s="188"/>
      <c r="AHE73" s="188"/>
      <c r="AHF73" s="188"/>
      <c r="AHG73" s="188"/>
      <c r="AHH73" s="188"/>
      <c r="AHI73" s="188"/>
      <c r="AHJ73" s="188"/>
      <c r="AHK73" s="188"/>
      <c r="AHL73" s="188"/>
      <c r="AHM73" s="188"/>
      <c r="AHN73" s="188"/>
      <c r="AHO73" s="188"/>
      <c r="AHP73" s="188"/>
      <c r="AHQ73" s="188"/>
      <c r="AHR73" s="188"/>
      <c r="AHS73" s="188"/>
      <c r="AHT73" s="188"/>
      <c r="AHU73" s="188"/>
      <c r="AHV73" s="188"/>
      <c r="AHW73" s="188"/>
      <c r="AHX73" s="188"/>
      <c r="AHY73" s="188"/>
      <c r="AHZ73" s="188"/>
      <c r="AIA73" s="188"/>
      <c r="AIB73" s="188"/>
      <c r="AIC73" s="188"/>
      <c r="AID73" s="188"/>
      <c r="AIE73" s="188"/>
      <c r="AIF73" s="188"/>
      <c r="AIG73" s="188"/>
      <c r="AIH73" s="188"/>
      <c r="AII73" s="188"/>
      <c r="AIJ73" s="188"/>
      <c r="AIK73" s="188"/>
      <c r="AIL73" s="188"/>
      <c r="AIM73" s="188"/>
      <c r="AIN73" s="188"/>
      <c r="AIO73" s="188"/>
      <c r="AIP73" s="188"/>
      <c r="AIQ73" s="188"/>
      <c r="AIR73" s="188"/>
      <c r="AIS73" s="188"/>
      <c r="AIT73" s="188"/>
      <c r="AIU73" s="188"/>
      <c r="AIV73" s="188"/>
      <c r="AIW73" s="188"/>
      <c r="AIX73" s="188"/>
      <c r="AIY73" s="188"/>
      <c r="AIZ73" s="188"/>
      <c r="AJA73" s="188"/>
      <c r="AJB73" s="188"/>
      <c r="AJC73" s="188"/>
      <c r="AJD73" s="188"/>
      <c r="AJE73" s="188"/>
      <c r="AJF73" s="188"/>
      <c r="AJG73" s="188"/>
      <c r="AJH73" s="188"/>
      <c r="AJI73" s="188"/>
      <c r="AJJ73" s="188"/>
      <c r="AJK73" s="188"/>
      <c r="AJL73" s="188"/>
      <c r="AJM73" s="188"/>
      <c r="AJN73" s="188"/>
      <c r="AJO73" s="188"/>
      <c r="AJP73" s="188"/>
      <c r="AJQ73" s="188"/>
      <c r="AJR73" s="188"/>
      <c r="AJS73" s="188"/>
      <c r="AJT73" s="188"/>
      <c r="AJU73" s="188"/>
      <c r="AJV73" s="188"/>
      <c r="AJW73" s="188"/>
      <c r="AJX73" s="188"/>
      <c r="AJY73" s="188"/>
      <c r="AJZ73" s="188"/>
      <c r="AKA73" s="188"/>
      <c r="AKB73" s="188"/>
      <c r="AKC73" s="188"/>
      <c r="AKD73" s="188"/>
      <c r="AKE73" s="188"/>
      <c r="AKF73" s="188"/>
      <c r="AKG73" s="188"/>
      <c r="AKH73" s="188"/>
      <c r="AKI73" s="188"/>
      <c r="AKJ73" s="188"/>
      <c r="AKK73" s="188"/>
      <c r="AKL73" s="188"/>
      <c r="AKM73" s="188"/>
      <c r="AKN73" s="188"/>
      <c r="AKO73" s="188"/>
      <c r="AKP73" s="188"/>
      <c r="AKQ73" s="188"/>
      <c r="AKR73" s="188"/>
      <c r="AKS73" s="188"/>
      <c r="AKT73" s="188"/>
      <c r="AKU73" s="188"/>
      <c r="AKV73" s="188"/>
      <c r="AKW73" s="188"/>
      <c r="AKX73" s="188"/>
      <c r="AKY73" s="188"/>
      <c r="AKZ73" s="188"/>
      <c r="ALA73" s="188"/>
      <c r="ALB73" s="188"/>
      <c r="ALC73" s="188"/>
      <c r="ALD73" s="188"/>
      <c r="ALE73" s="188"/>
      <c r="ALF73" s="188"/>
      <c r="ALG73" s="188"/>
      <c r="ALH73" s="188"/>
      <c r="ALI73" s="188"/>
      <c r="ALJ73" s="188"/>
      <c r="ALK73" s="188"/>
      <c r="ALL73" s="188"/>
      <c r="ALM73" s="188"/>
      <c r="ALN73" s="188"/>
      <c r="ALO73" s="188"/>
      <c r="ALP73" s="188"/>
      <c r="ALQ73" s="188"/>
      <c r="ALR73" s="188"/>
      <c r="ALS73" s="188"/>
      <c r="ALT73" s="188"/>
      <c r="ALU73" s="188"/>
      <c r="ALV73" s="188"/>
      <c r="ALW73" s="188"/>
      <c r="ALX73" s="188"/>
      <c r="ALY73" s="188"/>
      <c r="ALZ73" s="188"/>
      <c r="AMA73" s="188"/>
      <c r="AMB73" s="188"/>
      <c r="AMC73" s="188"/>
      <c r="AMD73" s="188"/>
      <c r="AME73" s="188"/>
      <c r="AMF73" s="188"/>
      <c r="AMG73" s="188"/>
      <c r="AMH73" s="188"/>
      <c r="AMI73" s="188"/>
      <c r="AMJ73" s="188"/>
      <c r="AMK73" s="188"/>
      <c r="AML73" s="188"/>
      <c r="AMM73" s="188"/>
      <c r="AMN73" s="188"/>
      <c r="AMO73" s="188"/>
      <c r="AMP73" s="188"/>
      <c r="AMQ73" s="188"/>
      <c r="AMR73" s="188"/>
      <c r="AMS73" s="188"/>
      <c r="AMT73" s="188"/>
      <c r="AMU73" s="188"/>
      <c r="AMV73" s="188"/>
      <c r="AMW73" s="188"/>
      <c r="AMX73" s="188"/>
      <c r="AMY73" s="188"/>
      <c r="AMZ73" s="188"/>
      <c r="ANA73" s="188"/>
      <c r="ANB73" s="188"/>
      <c r="ANC73" s="188"/>
      <c r="AND73" s="188"/>
      <c r="ANE73" s="188"/>
      <c r="ANF73" s="188"/>
      <c r="ANG73" s="188"/>
      <c r="ANH73" s="188"/>
      <c r="ANI73" s="188"/>
      <c r="ANJ73" s="188"/>
      <c r="ANK73" s="188"/>
      <c r="ANL73" s="188"/>
      <c r="ANM73" s="188"/>
      <c r="ANN73" s="188"/>
      <c r="ANO73" s="188"/>
      <c r="ANP73" s="188"/>
      <c r="ANQ73" s="188"/>
      <c r="ANR73" s="188"/>
      <c r="ANS73" s="188"/>
      <c r="ANT73" s="188"/>
      <c r="ANU73" s="188"/>
      <c r="ANV73" s="188"/>
      <c r="ANW73" s="188"/>
      <c r="ANX73" s="188"/>
      <c r="ANY73" s="188"/>
      <c r="ANZ73" s="188"/>
      <c r="AOA73" s="188"/>
      <c r="AOB73" s="188"/>
      <c r="AOC73" s="188"/>
      <c r="AOD73" s="188"/>
      <c r="AOE73" s="188"/>
      <c r="AOF73" s="188"/>
      <c r="AOG73" s="188"/>
      <c r="AOH73" s="188"/>
      <c r="AOI73" s="188"/>
      <c r="AOJ73" s="188"/>
      <c r="AOK73" s="188"/>
      <c r="AOL73" s="188"/>
      <c r="AOM73" s="188"/>
      <c r="AON73" s="188"/>
      <c r="AOO73" s="188"/>
      <c r="AOP73" s="188"/>
      <c r="AOQ73" s="188"/>
      <c r="AOR73" s="188"/>
      <c r="AOS73" s="188"/>
      <c r="AOT73" s="188"/>
      <c r="AOU73" s="188"/>
      <c r="AOV73" s="188"/>
      <c r="AOW73" s="188"/>
      <c r="AOX73" s="188"/>
      <c r="AOY73" s="188"/>
      <c r="AOZ73" s="188"/>
      <c r="APA73" s="188"/>
      <c r="APB73" s="188"/>
      <c r="APC73" s="188"/>
      <c r="APD73" s="188"/>
      <c r="APE73" s="188"/>
      <c r="APF73" s="188"/>
      <c r="APG73" s="188"/>
      <c r="APH73" s="188"/>
      <c r="API73" s="188"/>
      <c r="APJ73" s="188"/>
      <c r="APK73" s="188"/>
      <c r="APL73" s="188"/>
      <c r="APM73" s="188"/>
      <c r="APN73" s="188"/>
      <c r="APO73" s="188"/>
      <c r="APP73" s="188"/>
      <c r="APQ73" s="188"/>
      <c r="APR73" s="188"/>
      <c r="APS73" s="188"/>
      <c r="APT73" s="188"/>
      <c r="APU73" s="188"/>
      <c r="APV73" s="188"/>
      <c r="APW73" s="188"/>
      <c r="APX73" s="188"/>
      <c r="APY73" s="188"/>
      <c r="APZ73" s="188"/>
      <c r="AQA73" s="188"/>
      <c r="AQB73" s="188"/>
      <c r="AQC73" s="188"/>
      <c r="AQD73" s="188"/>
      <c r="AQE73" s="188"/>
      <c r="AQF73" s="188"/>
      <c r="AQG73" s="188"/>
      <c r="AQH73" s="188"/>
      <c r="AQI73" s="188"/>
      <c r="AQJ73" s="188"/>
      <c r="AQK73" s="188"/>
      <c r="AQL73" s="188"/>
      <c r="AQM73" s="188"/>
      <c r="AQN73" s="188"/>
      <c r="AQO73" s="188"/>
      <c r="AQP73" s="188"/>
      <c r="AQQ73" s="188"/>
      <c r="AQR73" s="188"/>
      <c r="AQS73" s="188"/>
      <c r="AQT73" s="188"/>
      <c r="AQU73" s="188"/>
      <c r="AQV73" s="188"/>
      <c r="AQW73" s="188"/>
      <c r="AQX73" s="188"/>
      <c r="AQY73" s="188"/>
      <c r="AQZ73" s="188"/>
      <c r="ARA73" s="188"/>
      <c r="ARB73" s="188"/>
      <c r="ARC73" s="188"/>
      <c r="ARD73" s="188"/>
      <c r="ARE73" s="188"/>
      <c r="ARF73" s="188"/>
      <c r="ARG73" s="188"/>
      <c r="ARH73" s="188"/>
      <c r="ARI73" s="188"/>
      <c r="ARJ73" s="188"/>
      <c r="ARK73" s="188"/>
      <c r="ARL73" s="188"/>
      <c r="ARM73" s="188"/>
      <c r="ARN73" s="188"/>
      <c r="ARO73" s="188"/>
      <c r="ARP73" s="188"/>
      <c r="ARQ73" s="188"/>
      <c r="ARR73" s="188"/>
      <c r="ARS73" s="188"/>
      <c r="ART73" s="188"/>
      <c r="ARU73" s="188"/>
      <c r="ARV73" s="188"/>
      <c r="ARW73" s="188"/>
      <c r="ARX73" s="188"/>
      <c r="ARY73" s="188"/>
      <c r="ARZ73" s="188"/>
      <c r="ASA73" s="188"/>
      <c r="ASB73" s="188"/>
      <c r="ASC73" s="188"/>
      <c r="ASD73" s="188"/>
      <c r="ASE73" s="188"/>
      <c r="ASF73" s="188"/>
      <c r="ASG73" s="188"/>
      <c r="ASH73" s="188"/>
      <c r="ASI73" s="188"/>
      <c r="ASJ73" s="188"/>
      <c r="ASK73" s="188"/>
      <c r="ASL73" s="188"/>
      <c r="ASM73" s="188"/>
      <c r="ASN73" s="188"/>
      <c r="ASO73" s="188"/>
      <c r="ASP73" s="188"/>
      <c r="ASQ73" s="188"/>
      <c r="ASR73" s="188"/>
      <c r="ASS73" s="188"/>
      <c r="AST73" s="188"/>
      <c r="ASU73" s="188"/>
      <c r="ASV73" s="188"/>
      <c r="ASW73" s="188"/>
      <c r="ASX73" s="188"/>
      <c r="ASY73" s="188"/>
      <c r="ASZ73" s="188"/>
      <c r="ATA73" s="188"/>
      <c r="ATB73" s="188"/>
      <c r="ATC73" s="188"/>
      <c r="ATD73" s="188"/>
      <c r="ATE73" s="188"/>
      <c r="ATF73" s="188"/>
      <c r="ATG73" s="188"/>
      <c r="ATH73" s="188"/>
      <c r="ATI73" s="188"/>
      <c r="ATJ73" s="188"/>
      <c r="ATK73" s="188"/>
      <c r="ATL73" s="188"/>
      <c r="ATM73" s="188"/>
      <c r="ATN73" s="188"/>
      <c r="ATO73" s="188"/>
      <c r="ATP73" s="188"/>
      <c r="ATQ73" s="188"/>
      <c r="ATR73" s="188"/>
      <c r="ATS73" s="188"/>
      <c r="ATT73" s="188"/>
      <c r="ATU73" s="188"/>
      <c r="ATV73" s="188"/>
      <c r="ATW73" s="188"/>
      <c r="ATX73" s="188"/>
      <c r="ATY73" s="188"/>
      <c r="ATZ73" s="188"/>
      <c r="AUA73" s="188"/>
      <c r="AUB73" s="188"/>
      <c r="AUC73" s="188"/>
      <c r="AUD73" s="188"/>
      <c r="AUE73" s="188"/>
      <c r="AUF73" s="188"/>
      <c r="AUG73" s="188"/>
      <c r="AUH73" s="188"/>
      <c r="AUI73" s="188"/>
      <c r="AUJ73" s="188"/>
      <c r="AUK73" s="188"/>
      <c r="AUL73" s="188"/>
      <c r="AUM73" s="188"/>
      <c r="AUN73" s="188"/>
      <c r="AUO73" s="188"/>
      <c r="AUP73" s="188"/>
      <c r="AUQ73" s="188"/>
      <c r="AUR73" s="188"/>
      <c r="AUS73" s="188"/>
      <c r="AUT73" s="188"/>
      <c r="AUU73" s="188"/>
      <c r="AUV73" s="188"/>
      <c r="AUW73" s="188"/>
      <c r="AUX73" s="188"/>
      <c r="AUY73" s="188"/>
      <c r="AUZ73" s="188"/>
      <c r="AVA73" s="188"/>
      <c r="AVB73" s="188"/>
      <c r="AVC73" s="188"/>
      <c r="AVD73" s="188"/>
      <c r="AVE73" s="188"/>
      <c r="AVF73" s="188"/>
      <c r="AVG73" s="188"/>
      <c r="AVH73" s="188"/>
      <c r="AVI73" s="188"/>
      <c r="AVJ73" s="188"/>
      <c r="AVK73" s="188"/>
      <c r="AVL73" s="188"/>
      <c r="AVM73" s="188"/>
      <c r="AVN73" s="188"/>
      <c r="AVO73" s="188"/>
      <c r="AVP73" s="188"/>
      <c r="AVQ73" s="188"/>
      <c r="AVR73" s="188"/>
      <c r="AVS73" s="188"/>
      <c r="AVT73" s="188"/>
      <c r="AVU73" s="188"/>
      <c r="AVV73" s="188"/>
      <c r="AVW73" s="188"/>
      <c r="AVX73" s="188"/>
      <c r="AVY73" s="188"/>
      <c r="AVZ73" s="188"/>
      <c r="AWA73" s="188"/>
      <c r="AWB73" s="188"/>
      <c r="AWC73" s="188"/>
      <c r="AWD73" s="188"/>
      <c r="AWE73" s="188"/>
      <c r="AWF73" s="188"/>
      <c r="AWG73" s="188"/>
      <c r="AWH73" s="188"/>
      <c r="AWI73" s="188"/>
      <c r="AWJ73" s="188"/>
      <c r="AWK73" s="188"/>
      <c r="AWL73" s="188"/>
      <c r="AWM73" s="188"/>
      <c r="AWN73" s="188"/>
      <c r="AWO73" s="188"/>
      <c r="AWP73" s="188"/>
      <c r="AWQ73" s="188"/>
      <c r="AWR73" s="188"/>
      <c r="AWS73" s="188"/>
      <c r="AWT73" s="188"/>
      <c r="AWU73" s="188"/>
      <c r="AWV73" s="188"/>
      <c r="AWW73" s="188"/>
      <c r="AWX73" s="188"/>
      <c r="AWY73" s="188"/>
      <c r="AWZ73" s="188"/>
      <c r="AXA73" s="188"/>
      <c r="AXB73" s="188"/>
      <c r="AXC73" s="188"/>
      <c r="AXD73" s="188"/>
      <c r="AXE73" s="188"/>
      <c r="AXF73" s="188"/>
      <c r="AXG73" s="188"/>
      <c r="AXH73" s="188"/>
      <c r="AXI73" s="188"/>
      <c r="AXJ73" s="188"/>
      <c r="AXK73" s="188"/>
      <c r="AXL73" s="188"/>
      <c r="AXM73" s="188"/>
      <c r="AXN73" s="188"/>
      <c r="AXO73" s="188"/>
      <c r="AXP73" s="188"/>
      <c r="AXQ73" s="188"/>
      <c r="AXR73" s="188"/>
      <c r="AXS73" s="188"/>
      <c r="AXT73" s="188"/>
      <c r="AXU73" s="188"/>
      <c r="AXV73" s="188"/>
      <c r="AXW73" s="188"/>
      <c r="AXX73" s="188"/>
      <c r="AXY73" s="188"/>
      <c r="AXZ73" s="188"/>
      <c r="AYA73" s="188"/>
      <c r="AYB73" s="188"/>
      <c r="AYC73" s="188"/>
      <c r="AYD73" s="188"/>
      <c r="AYE73" s="188"/>
      <c r="AYF73" s="188"/>
      <c r="AYG73" s="188"/>
      <c r="AYH73" s="188"/>
      <c r="AYI73" s="188"/>
      <c r="AYJ73" s="188"/>
      <c r="AYK73" s="188"/>
      <c r="AYL73" s="188"/>
      <c r="AYM73" s="188"/>
      <c r="AYN73" s="188"/>
      <c r="AYO73" s="188"/>
      <c r="AYP73" s="188"/>
      <c r="AYQ73" s="188"/>
      <c r="AYR73" s="188"/>
      <c r="AYS73" s="188"/>
      <c r="AYT73" s="188"/>
      <c r="AYU73" s="188"/>
      <c r="AYV73" s="188"/>
      <c r="AYW73" s="188"/>
      <c r="AYX73" s="188"/>
      <c r="AYY73" s="188"/>
      <c r="AYZ73" s="188"/>
      <c r="AZA73" s="188"/>
      <c r="AZB73" s="188"/>
      <c r="AZC73" s="188"/>
      <c r="AZD73" s="188"/>
      <c r="AZE73" s="188"/>
      <c r="AZF73" s="188"/>
      <c r="AZG73" s="188"/>
      <c r="AZH73" s="188"/>
      <c r="AZI73" s="188"/>
      <c r="AZJ73" s="188"/>
      <c r="AZK73" s="188"/>
      <c r="AZL73" s="188"/>
      <c r="AZM73" s="188"/>
      <c r="AZN73" s="188"/>
      <c r="AZO73" s="188"/>
      <c r="AZP73" s="188"/>
      <c r="AZQ73" s="188"/>
      <c r="AZR73" s="188"/>
      <c r="AZS73" s="188"/>
      <c r="AZT73" s="188"/>
      <c r="AZU73" s="188"/>
      <c r="AZV73" s="188"/>
      <c r="AZW73" s="188"/>
      <c r="AZX73" s="188"/>
      <c r="AZY73" s="188"/>
      <c r="AZZ73" s="188"/>
      <c r="BAA73" s="188"/>
      <c r="BAB73" s="188"/>
      <c r="BAC73" s="188"/>
      <c r="BAD73" s="188"/>
      <c r="BAE73" s="188"/>
      <c r="BAF73" s="188"/>
      <c r="BAG73" s="188"/>
      <c r="BAH73" s="188"/>
      <c r="BAI73" s="188"/>
      <c r="BAJ73" s="188"/>
      <c r="BAK73" s="188"/>
      <c r="BAL73" s="188"/>
      <c r="BAM73" s="188"/>
      <c r="BAN73" s="188"/>
      <c r="BAO73" s="188"/>
      <c r="BAP73" s="188"/>
      <c r="BAQ73" s="188"/>
      <c r="BAR73" s="188"/>
      <c r="BAS73" s="188"/>
      <c r="BAT73" s="188"/>
      <c r="BAU73" s="188"/>
      <c r="BAV73" s="188"/>
      <c r="BAW73" s="188"/>
      <c r="BAX73" s="188"/>
      <c r="BAY73" s="188"/>
      <c r="BAZ73" s="188"/>
      <c r="BBA73" s="188"/>
      <c r="BBB73" s="188"/>
      <c r="BBC73" s="188"/>
      <c r="BBD73" s="188"/>
      <c r="BBE73" s="188"/>
      <c r="BBF73" s="188"/>
      <c r="BBG73" s="188"/>
      <c r="BBH73" s="188"/>
      <c r="BBI73" s="188"/>
      <c r="BBJ73" s="188"/>
      <c r="BBK73" s="188"/>
      <c r="BBL73" s="188"/>
      <c r="BBM73" s="188"/>
      <c r="BBN73" s="188"/>
      <c r="BBO73" s="188"/>
      <c r="BBP73" s="188"/>
      <c r="BBQ73" s="188"/>
      <c r="BBR73" s="188"/>
      <c r="BBS73" s="188"/>
      <c r="BBT73" s="188"/>
      <c r="BBU73" s="188"/>
      <c r="BBV73" s="188"/>
      <c r="BBW73" s="188"/>
      <c r="BBX73" s="188"/>
      <c r="BBY73" s="188"/>
      <c r="BBZ73" s="188"/>
      <c r="BCA73" s="188"/>
      <c r="BCB73" s="188"/>
      <c r="BCC73" s="188"/>
      <c r="BCD73" s="188"/>
      <c r="BCE73" s="188"/>
      <c r="BCF73" s="188"/>
      <c r="BCG73" s="188"/>
      <c r="BCH73" s="188"/>
      <c r="BCI73" s="188"/>
      <c r="BCJ73" s="188"/>
      <c r="BCK73" s="188"/>
      <c r="BCL73" s="188"/>
      <c r="BCM73" s="188"/>
      <c r="BCN73" s="188"/>
      <c r="BCO73" s="188"/>
      <c r="BCP73" s="188"/>
      <c r="BCQ73" s="188"/>
      <c r="BCR73" s="188"/>
      <c r="BCS73" s="188"/>
      <c r="BCT73" s="188"/>
      <c r="BCU73" s="188"/>
      <c r="BCV73" s="188"/>
      <c r="BCW73" s="188"/>
      <c r="BCX73" s="188"/>
      <c r="BCY73" s="188"/>
      <c r="BCZ73" s="188"/>
      <c r="BDA73" s="188"/>
      <c r="BDB73" s="188"/>
      <c r="BDC73" s="188"/>
      <c r="BDD73" s="188"/>
      <c r="BDE73" s="188"/>
      <c r="BDF73" s="188"/>
      <c r="BDG73" s="188"/>
      <c r="BDH73" s="188"/>
      <c r="BDI73" s="188"/>
      <c r="BDJ73" s="188"/>
      <c r="BDK73" s="188"/>
      <c r="BDL73" s="188"/>
      <c r="BDM73" s="188"/>
      <c r="BDN73" s="188"/>
      <c r="BDO73" s="188"/>
      <c r="BDP73" s="188"/>
      <c r="BDQ73" s="188"/>
      <c r="BDR73" s="188"/>
      <c r="BDS73" s="188"/>
      <c r="BDT73" s="188"/>
      <c r="BDU73" s="188"/>
      <c r="BDV73" s="188"/>
      <c r="BDW73" s="188"/>
      <c r="BDX73" s="188"/>
      <c r="BDY73" s="188"/>
      <c r="BDZ73" s="188"/>
      <c r="BEA73" s="188"/>
      <c r="BEB73" s="188"/>
      <c r="BEC73" s="188"/>
      <c r="BED73" s="188"/>
      <c r="BEE73" s="188"/>
      <c r="BEF73" s="188"/>
      <c r="BEG73" s="188"/>
      <c r="BEH73" s="188"/>
      <c r="BEI73" s="188"/>
      <c r="BEJ73" s="188"/>
      <c r="BEK73" s="188"/>
      <c r="BEL73" s="188"/>
      <c r="BEM73" s="188"/>
      <c r="BEN73" s="188"/>
      <c r="BEO73" s="188"/>
      <c r="BEP73" s="188"/>
      <c r="BEQ73" s="188"/>
      <c r="BER73" s="188"/>
      <c r="BES73" s="188"/>
      <c r="BET73" s="188"/>
      <c r="BEU73" s="188"/>
      <c r="BEV73" s="188"/>
      <c r="BEW73" s="188"/>
      <c r="BEX73" s="188"/>
      <c r="BEY73" s="188"/>
      <c r="BEZ73" s="188"/>
      <c r="BFA73" s="188"/>
      <c r="BFB73" s="188"/>
      <c r="BFC73" s="188"/>
      <c r="BFD73" s="188"/>
      <c r="BFE73" s="188"/>
      <c r="BFF73" s="188"/>
      <c r="BFG73" s="188"/>
      <c r="BFH73" s="188"/>
      <c r="BFI73" s="188"/>
      <c r="BFJ73" s="188"/>
      <c r="BFK73" s="188"/>
      <c r="BFL73" s="188"/>
      <c r="BFM73" s="188"/>
      <c r="BFN73" s="188"/>
      <c r="BFO73" s="188"/>
      <c r="BFP73" s="188"/>
      <c r="BFQ73" s="188"/>
      <c r="BFR73" s="188"/>
      <c r="BFS73" s="188"/>
      <c r="BFT73" s="188"/>
      <c r="BFU73" s="188"/>
      <c r="BFV73" s="188"/>
      <c r="BFW73" s="188"/>
      <c r="BFX73" s="188"/>
      <c r="BFY73" s="188"/>
      <c r="BFZ73" s="188"/>
      <c r="BGA73" s="188"/>
      <c r="BGB73" s="188"/>
      <c r="BGC73" s="188"/>
      <c r="BGD73" s="188"/>
      <c r="BGE73" s="188"/>
      <c r="BGF73" s="188"/>
      <c r="BGG73" s="188"/>
      <c r="BGH73" s="188"/>
      <c r="BGI73" s="188"/>
      <c r="BGJ73" s="188"/>
      <c r="BGK73" s="188"/>
      <c r="BGL73" s="188"/>
      <c r="BGM73" s="188"/>
      <c r="BGN73" s="188"/>
      <c r="BGO73" s="188"/>
      <c r="BGP73" s="188"/>
      <c r="BGQ73" s="188"/>
      <c r="BGR73" s="188"/>
      <c r="BGS73" s="188"/>
      <c r="BGT73" s="188"/>
      <c r="BGU73" s="188"/>
      <c r="BGV73" s="188"/>
      <c r="BGW73" s="188"/>
      <c r="BGX73" s="188"/>
      <c r="BGY73" s="188"/>
      <c r="BGZ73" s="188"/>
      <c r="BHA73" s="188"/>
      <c r="BHB73" s="188"/>
      <c r="BHC73" s="188"/>
      <c r="BHD73" s="188"/>
      <c r="BHE73" s="188"/>
      <c r="BHF73" s="188"/>
      <c r="BHG73" s="188"/>
      <c r="BHH73" s="188"/>
      <c r="BHI73" s="188"/>
      <c r="BHJ73" s="188"/>
      <c r="BHK73" s="188"/>
      <c r="BHL73" s="188"/>
      <c r="BHM73" s="188"/>
      <c r="BHN73" s="188"/>
      <c r="BHO73" s="188"/>
      <c r="BHP73" s="188"/>
      <c r="BHQ73" s="188"/>
      <c r="BHR73" s="188"/>
      <c r="BHS73" s="188"/>
      <c r="BHT73" s="188"/>
      <c r="BHU73" s="188"/>
      <c r="BHV73" s="188"/>
      <c r="BHW73" s="188"/>
      <c r="BHX73" s="188"/>
      <c r="BHY73" s="188"/>
      <c r="BHZ73" s="188"/>
      <c r="BIA73" s="188"/>
      <c r="BIB73" s="188"/>
      <c r="BIC73" s="188"/>
      <c r="BID73" s="188"/>
      <c r="BIE73" s="188"/>
      <c r="BIF73" s="188"/>
      <c r="BIG73" s="188"/>
      <c r="BIH73" s="188"/>
      <c r="BII73" s="188"/>
      <c r="BIJ73" s="188"/>
      <c r="BIK73" s="188"/>
      <c r="BIL73" s="188"/>
      <c r="BIM73" s="188"/>
      <c r="BIN73" s="188"/>
      <c r="BIO73" s="188"/>
      <c r="BIP73" s="188"/>
      <c r="BIQ73" s="188"/>
      <c r="BIR73" s="188"/>
      <c r="BIS73" s="188"/>
      <c r="BIT73" s="188"/>
      <c r="BIU73" s="188"/>
      <c r="BIV73" s="188"/>
      <c r="BIW73" s="188"/>
      <c r="BIX73" s="188"/>
      <c r="BIY73" s="188"/>
      <c r="BIZ73" s="188"/>
      <c r="BJA73" s="188"/>
      <c r="BJB73" s="188"/>
      <c r="BJC73" s="188"/>
      <c r="BJD73" s="188"/>
      <c r="BJE73" s="188"/>
      <c r="BJF73" s="188"/>
      <c r="BJG73" s="188"/>
      <c r="BJH73" s="188"/>
      <c r="BJI73" s="188"/>
      <c r="BJJ73" s="188"/>
      <c r="BJK73" s="188"/>
      <c r="BJL73" s="188"/>
      <c r="BJM73" s="188"/>
      <c r="BJN73" s="188"/>
      <c r="BJO73" s="188"/>
      <c r="BJP73" s="188"/>
      <c r="BJQ73" s="188"/>
      <c r="BJR73" s="188"/>
      <c r="BJS73" s="188"/>
      <c r="BJT73" s="188"/>
      <c r="BJU73" s="188"/>
      <c r="BJV73" s="188"/>
      <c r="BJW73" s="188"/>
      <c r="BJX73" s="188"/>
      <c r="BJY73" s="188"/>
      <c r="BJZ73" s="188"/>
      <c r="BKA73" s="188"/>
      <c r="BKB73" s="188"/>
      <c r="BKC73" s="188"/>
      <c r="BKD73" s="188"/>
      <c r="BKE73" s="188"/>
      <c r="BKF73" s="188"/>
      <c r="BKG73" s="188"/>
      <c r="BKH73" s="188"/>
      <c r="BKI73" s="188"/>
      <c r="BKJ73" s="188"/>
      <c r="BKK73" s="188"/>
      <c r="BKL73" s="188"/>
      <c r="BKM73" s="188"/>
      <c r="BKN73" s="188"/>
    </row>
    <row r="74" spans="1:1652" s="21" customFormat="1" x14ac:dyDescent="0.3">
      <c r="A74" s="7"/>
      <c r="B74" s="234"/>
      <c r="C74" s="188"/>
      <c r="D74" s="188"/>
      <c r="E74" s="193"/>
      <c r="F74" s="193"/>
      <c r="G74" s="193"/>
      <c r="I74" s="188"/>
      <c r="J74" s="188"/>
      <c r="K74" s="188"/>
      <c r="L74" s="188"/>
      <c r="M74" s="188"/>
      <c r="N74" s="188"/>
      <c r="O74" s="188"/>
      <c r="P74" s="188"/>
      <c r="Q74" s="188"/>
      <c r="R74" s="188"/>
      <c r="S74" s="188"/>
      <c r="T74" s="188"/>
      <c r="U74" s="188"/>
      <c r="V74" s="188"/>
      <c r="W74" s="188"/>
      <c r="X74" s="188"/>
      <c r="Y74" s="188"/>
      <c r="Z74" s="188"/>
      <c r="AA74" s="188"/>
      <c r="AB74" s="188"/>
      <c r="AC74" s="188"/>
      <c r="AD74" s="188"/>
      <c r="AE74" s="188"/>
      <c r="AF74" s="188"/>
      <c r="AG74" s="188"/>
      <c r="AH74" s="188"/>
      <c r="AI74" s="188"/>
      <c r="AJ74" s="188"/>
      <c r="AK74" s="188"/>
      <c r="AL74" s="188"/>
      <c r="AM74" s="188"/>
      <c r="AN74" s="188"/>
      <c r="AO74" s="188"/>
      <c r="AP74" s="188"/>
      <c r="AQ74" s="188"/>
      <c r="AR74" s="188"/>
      <c r="AS74" s="188"/>
      <c r="AT74" s="189"/>
      <c r="AU74" s="189"/>
      <c r="AV74" s="189"/>
      <c r="AW74" s="189"/>
      <c r="AX74" s="189"/>
      <c r="AY74" s="189"/>
      <c r="AZ74" s="189"/>
      <c r="BA74" s="189"/>
      <c r="BB74" s="189"/>
      <c r="BC74" s="189"/>
      <c r="BD74" s="189"/>
      <c r="BE74" s="188"/>
      <c r="BF74" s="188"/>
      <c r="BG74" s="188"/>
      <c r="BH74" s="188"/>
      <c r="BI74" s="188"/>
      <c r="BJ74" s="188"/>
      <c r="BK74" s="188"/>
      <c r="BL74" s="188"/>
      <c r="BM74" s="188"/>
      <c r="BN74" s="188"/>
      <c r="BO74" s="188"/>
      <c r="BP74" s="188"/>
      <c r="BQ74" s="188"/>
      <c r="BR74" s="188"/>
      <c r="BS74" s="188"/>
      <c r="BT74" s="188"/>
      <c r="BU74" s="188"/>
      <c r="BV74" s="188"/>
      <c r="BW74" s="188"/>
      <c r="BX74" s="188"/>
      <c r="BY74" s="188"/>
      <c r="BZ74" s="188"/>
      <c r="CA74" s="188"/>
      <c r="CB74" s="188"/>
      <c r="CC74" s="188"/>
      <c r="CD74" s="188"/>
      <c r="CE74" s="188"/>
      <c r="CF74" s="188"/>
      <c r="CG74" s="188"/>
      <c r="CH74" s="188"/>
      <c r="CI74" s="188"/>
      <c r="CJ74" s="188"/>
      <c r="CK74" s="188"/>
      <c r="CL74" s="188"/>
      <c r="CM74" s="188"/>
      <c r="CN74" s="188"/>
      <c r="CO74" s="188"/>
      <c r="CP74" s="188"/>
      <c r="CQ74" s="188"/>
      <c r="CR74" s="188"/>
      <c r="CS74" s="188"/>
      <c r="CT74" s="188"/>
      <c r="CU74" s="188"/>
      <c r="CV74" s="188"/>
      <c r="CW74" s="188"/>
      <c r="CX74" s="188"/>
      <c r="CY74" s="188"/>
      <c r="CZ74" s="188"/>
      <c r="DA74" s="188"/>
      <c r="DB74" s="188"/>
      <c r="DC74" s="188"/>
      <c r="DD74" s="188"/>
      <c r="DE74" s="188"/>
      <c r="DF74" s="188"/>
      <c r="DG74" s="188"/>
      <c r="DH74" s="188"/>
      <c r="DI74" s="188"/>
      <c r="DJ74" s="188"/>
      <c r="DK74" s="188"/>
      <c r="DL74" s="188"/>
      <c r="DM74" s="188"/>
      <c r="DN74" s="188"/>
      <c r="DO74" s="188"/>
      <c r="DP74" s="188"/>
      <c r="DQ74" s="188"/>
      <c r="DR74" s="188"/>
      <c r="DS74" s="188"/>
      <c r="DT74" s="188"/>
      <c r="DU74" s="188"/>
      <c r="DV74" s="188"/>
      <c r="DW74" s="188"/>
      <c r="DX74" s="188"/>
      <c r="DY74" s="188"/>
      <c r="DZ74" s="188"/>
      <c r="EA74" s="188"/>
      <c r="EB74" s="188"/>
      <c r="EC74" s="188"/>
      <c r="ED74" s="188"/>
      <c r="EE74" s="188"/>
      <c r="EF74" s="188"/>
      <c r="EG74" s="188"/>
      <c r="EH74" s="188"/>
      <c r="EI74" s="188"/>
      <c r="EJ74" s="188"/>
      <c r="EK74" s="188"/>
      <c r="EL74" s="188"/>
      <c r="EM74" s="188"/>
      <c r="EN74" s="188"/>
      <c r="EO74" s="188"/>
      <c r="EP74" s="188"/>
      <c r="EQ74" s="188"/>
      <c r="ER74" s="188"/>
      <c r="ES74" s="188"/>
      <c r="ET74" s="188"/>
      <c r="EU74" s="188"/>
      <c r="EV74" s="188"/>
      <c r="EW74" s="188"/>
      <c r="EX74" s="188"/>
      <c r="EY74" s="188"/>
      <c r="EZ74" s="188"/>
      <c r="FA74" s="188"/>
      <c r="FB74" s="188"/>
      <c r="FC74" s="188"/>
      <c r="FD74" s="188"/>
      <c r="FE74" s="188"/>
      <c r="FF74" s="188"/>
      <c r="FG74" s="188"/>
      <c r="FH74" s="188"/>
      <c r="FI74" s="188"/>
      <c r="FJ74" s="188"/>
      <c r="FK74" s="188"/>
      <c r="FL74" s="188"/>
      <c r="FM74" s="188"/>
      <c r="FN74" s="188"/>
      <c r="FO74" s="188"/>
      <c r="FP74" s="188"/>
      <c r="FQ74" s="188"/>
      <c r="FR74" s="188"/>
      <c r="FS74" s="188"/>
      <c r="FT74" s="188"/>
      <c r="FU74" s="188"/>
      <c r="FV74" s="188"/>
      <c r="FW74" s="188"/>
      <c r="FX74" s="188"/>
      <c r="FY74" s="188"/>
      <c r="FZ74" s="188"/>
      <c r="GA74" s="188"/>
      <c r="GB74" s="188"/>
      <c r="GC74" s="188"/>
      <c r="GD74" s="188"/>
      <c r="GE74" s="188"/>
      <c r="GF74" s="188"/>
      <c r="GG74" s="188"/>
      <c r="GH74" s="188"/>
      <c r="GI74" s="188"/>
      <c r="GJ74" s="188"/>
      <c r="GK74" s="188"/>
      <c r="GL74" s="188"/>
      <c r="GM74" s="188"/>
      <c r="GN74" s="188"/>
      <c r="GO74" s="188"/>
      <c r="GP74" s="188"/>
      <c r="GQ74" s="188"/>
      <c r="GR74" s="188"/>
      <c r="GS74" s="188"/>
      <c r="GT74" s="188"/>
      <c r="GU74" s="188"/>
      <c r="GV74" s="188"/>
      <c r="GW74" s="188"/>
      <c r="GX74" s="188"/>
      <c r="GY74" s="188"/>
      <c r="GZ74" s="188"/>
      <c r="HA74" s="188"/>
      <c r="HB74" s="188"/>
      <c r="HC74" s="188"/>
      <c r="HD74" s="188"/>
      <c r="HE74" s="188"/>
      <c r="HF74" s="188"/>
      <c r="HG74" s="188"/>
      <c r="HH74" s="188"/>
      <c r="HI74" s="188"/>
      <c r="HJ74" s="188"/>
      <c r="HK74" s="188"/>
      <c r="HL74" s="188"/>
      <c r="HM74" s="188"/>
      <c r="HN74" s="188"/>
      <c r="HO74" s="188"/>
      <c r="HP74" s="188"/>
      <c r="HQ74" s="188"/>
      <c r="HR74" s="188"/>
      <c r="HS74" s="188"/>
      <c r="HT74" s="188"/>
      <c r="HU74" s="188"/>
      <c r="HV74" s="188"/>
      <c r="HW74" s="188"/>
      <c r="HX74" s="188"/>
      <c r="HY74" s="188"/>
      <c r="HZ74" s="188"/>
      <c r="IA74" s="188"/>
      <c r="IB74" s="188"/>
      <c r="IC74" s="188"/>
      <c r="ID74" s="188"/>
      <c r="IE74" s="188"/>
      <c r="IF74" s="188"/>
      <c r="IG74" s="188"/>
      <c r="IH74" s="188"/>
      <c r="II74" s="188"/>
      <c r="IJ74" s="188"/>
      <c r="IK74" s="188"/>
      <c r="IL74" s="188"/>
      <c r="IM74" s="188"/>
      <c r="IN74" s="188"/>
      <c r="IO74" s="188"/>
      <c r="IP74" s="188"/>
      <c r="IQ74" s="188"/>
      <c r="IR74" s="188"/>
      <c r="IS74" s="188"/>
      <c r="IT74" s="188"/>
      <c r="IU74" s="188"/>
      <c r="IV74" s="188"/>
      <c r="IW74" s="188"/>
      <c r="IX74" s="188"/>
      <c r="IY74" s="188"/>
      <c r="IZ74" s="188"/>
      <c r="JA74" s="188"/>
      <c r="JB74" s="188"/>
      <c r="JC74" s="188"/>
      <c r="JD74" s="188"/>
      <c r="JE74" s="188"/>
      <c r="JF74" s="188"/>
      <c r="JG74" s="188"/>
      <c r="JH74" s="188"/>
      <c r="JI74" s="188"/>
      <c r="JJ74" s="188"/>
      <c r="JK74" s="188"/>
      <c r="JL74" s="188"/>
      <c r="JM74" s="188"/>
      <c r="JN74" s="188"/>
      <c r="JO74" s="188"/>
      <c r="JP74" s="188"/>
      <c r="JQ74" s="188"/>
      <c r="JR74" s="188"/>
      <c r="JS74" s="188"/>
      <c r="JT74" s="188"/>
      <c r="JU74" s="188"/>
      <c r="JV74" s="188"/>
      <c r="JW74" s="188"/>
      <c r="JX74" s="188"/>
      <c r="JY74" s="188"/>
      <c r="JZ74" s="188"/>
      <c r="KA74" s="188"/>
      <c r="KB74" s="188"/>
      <c r="KC74" s="188"/>
      <c r="KD74" s="188"/>
      <c r="KE74" s="188"/>
      <c r="KF74" s="188"/>
      <c r="KG74" s="188"/>
      <c r="KH74" s="188"/>
      <c r="KI74" s="188"/>
      <c r="KJ74" s="188"/>
      <c r="KK74" s="188"/>
      <c r="KL74" s="188"/>
      <c r="KM74" s="188"/>
      <c r="KN74" s="188"/>
      <c r="KO74" s="188"/>
      <c r="KP74" s="188"/>
      <c r="KQ74" s="188"/>
      <c r="KR74" s="188"/>
      <c r="KS74" s="188"/>
      <c r="KT74" s="188"/>
      <c r="KU74" s="188"/>
      <c r="KV74" s="188"/>
      <c r="KW74" s="188"/>
      <c r="KX74" s="188"/>
      <c r="KY74" s="188"/>
      <c r="KZ74" s="188"/>
      <c r="LA74" s="188"/>
      <c r="LB74" s="188"/>
      <c r="LC74" s="188"/>
      <c r="LD74" s="188"/>
      <c r="LE74" s="188"/>
      <c r="LF74" s="188"/>
      <c r="LG74" s="188"/>
      <c r="LH74" s="188"/>
      <c r="LI74" s="188"/>
      <c r="LJ74" s="188"/>
      <c r="LK74" s="188"/>
      <c r="LL74" s="188"/>
      <c r="LM74" s="188"/>
      <c r="LN74" s="188"/>
      <c r="LO74" s="188"/>
      <c r="LP74" s="188"/>
      <c r="LQ74" s="188"/>
      <c r="LR74" s="188"/>
      <c r="LS74" s="188"/>
      <c r="LT74" s="188"/>
      <c r="LU74" s="188"/>
      <c r="LV74" s="188"/>
      <c r="LW74" s="188"/>
      <c r="LX74" s="188"/>
      <c r="LY74" s="188"/>
      <c r="LZ74" s="188"/>
      <c r="MA74" s="188"/>
      <c r="MB74" s="188"/>
      <c r="MC74" s="188"/>
      <c r="MD74" s="188"/>
      <c r="ME74" s="188"/>
      <c r="MF74" s="188"/>
      <c r="MG74" s="188"/>
      <c r="MH74" s="188"/>
      <c r="MI74" s="188"/>
      <c r="MJ74" s="188"/>
      <c r="MK74" s="188"/>
      <c r="ML74" s="188"/>
      <c r="MM74" s="188"/>
      <c r="MN74" s="188"/>
      <c r="MO74" s="188"/>
      <c r="MP74" s="188"/>
      <c r="MQ74" s="188"/>
      <c r="MR74" s="188"/>
      <c r="MS74" s="188"/>
      <c r="MT74" s="188"/>
      <c r="MU74" s="188"/>
      <c r="MV74" s="188"/>
      <c r="MW74" s="188"/>
      <c r="MX74" s="188"/>
      <c r="MY74" s="188"/>
      <c r="MZ74" s="188"/>
      <c r="NA74" s="188"/>
      <c r="NB74" s="188"/>
      <c r="NC74" s="188"/>
      <c r="ND74" s="188"/>
      <c r="NE74" s="188"/>
      <c r="NF74" s="188"/>
      <c r="NG74" s="188"/>
      <c r="NH74" s="188"/>
      <c r="NI74" s="188"/>
      <c r="NJ74" s="188"/>
      <c r="NK74" s="188"/>
      <c r="NL74" s="188"/>
      <c r="NM74" s="188"/>
      <c r="NN74" s="188"/>
      <c r="NO74" s="188"/>
      <c r="NP74" s="188"/>
      <c r="NQ74" s="188"/>
      <c r="NR74" s="188"/>
      <c r="NS74" s="188"/>
      <c r="NT74" s="188"/>
      <c r="NU74" s="188"/>
      <c r="NV74" s="188"/>
      <c r="NW74" s="188"/>
      <c r="NX74" s="188"/>
      <c r="NY74" s="188"/>
      <c r="NZ74" s="188"/>
      <c r="OA74" s="188"/>
      <c r="OB74" s="188"/>
      <c r="OC74" s="188"/>
      <c r="OD74" s="188"/>
      <c r="OE74" s="188"/>
      <c r="OF74" s="188"/>
      <c r="OG74" s="188"/>
      <c r="OH74" s="188"/>
      <c r="OI74" s="188"/>
      <c r="OJ74" s="188"/>
      <c r="OK74" s="188"/>
      <c r="OL74" s="188"/>
      <c r="OM74" s="188"/>
      <c r="ON74" s="188"/>
      <c r="OO74" s="188"/>
      <c r="OP74" s="188"/>
      <c r="OQ74" s="188"/>
      <c r="OR74" s="188"/>
      <c r="OS74" s="188"/>
      <c r="OT74" s="188"/>
      <c r="OU74" s="188"/>
      <c r="OV74" s="188"/>
      <c r="OW74" s="188"/>
      <c r="OX74" s="188"/>
      <c r="OY74" s="188"/>
      <c r="OZ74" s="188"/>
      <c r="PA74" s="188"/>
      <c r="PB74" s="188"/>
      <c r="PC74" s="188"/>
      <c r="PD74" s="188"/>
      <c r="PE74" s="188"/>
      <c r="PF74" s="188"/>
      <c r="PG74" s="188"/>
      <c r="PH74" s="188"/>
      <c r="PI74" s="188"/>
      <c r="PJ74" s="188"/>
      <c r="PK74" s="188"/>
      <c r="PL74" s="188"/>
      <c r="PM74" s="188"/>
      <c r="PN74" s="188"/>
      <c r="PO74" s="188"/>
      <c r="PP74" s="188"/>
      <c r="PQ74" s="188"/>
      <c r="PR74" s="188"/>
      <c r="PS74" s="188"/>
      <c r="PT74" s="188"/>
      <c r="PU74" s="188"/>
      <c r="PV74" s="188"/>
      <c r="PW74" s="188"/>
      <c r="PX74" s="188"/>
      <c r="PY74" s="188"/>
      <c r="PZ74" s="188"/>
      <c r="QA74" s="188"/>
      <c r="QB74" s="188"/>
      <c r="QC74" s="188"/>
      <c r="QD74" s="188"/>
      <c r="QE74" s="188"/>
      <c r="QF74" s="188"/>
      <c r="QG74" s="188"/>
      <c r="QH74" s="188"/>
      <c r="QI74" s="188"/>
      <c r="QJ74" s="188"/>
      <c r="QK74" s="188"/>
      <c r="QL74" s="188"/>
      <c r="QM74" s="188"/>
      <c r="QN74" s="188"/>
      <c r="QO74" s="188"/>
      <c r="QP74" s="188"/>
      <c r="QQ74" s="188"/>
      <c r="QR74" s="188"/>
      <c r="QS74" s="188"/>
      <c r="QT74" s="188"/>
      <c r="QU74" s="188"/>
      <c r="QV74" s="188"/>
      <c r="QW74" s="188"/>
      <c r="QX74" s="188"/>
      <c r="QY74" s="188"/>
      <c r="QZ74" s="188"/>
      <c r="RA74" s="188"/>
      <c r="RB74" s="188"/>
      <c r="RC74" s="188"/>
      <c r="RD74" s="188"/>
      <c r="RE74" s="188"/>
      <c r="RF74" s="188"/>
      <c r="RG74" s="188"/>
      <c r="RH74" s="188"/>
      <c r="RI74" s="188"/>
      <c r="RJ74" s="188"/>
      <c r="RK74" s="188"/>
      <c r="RL74" s="188"/>
      <c r="RM74" s="188"/>
      <c r="RN74" s="188"/>
      <c r="RO74" s="188"/>
      <c r="RP74" s="188"/>
      <c r="RQ74" s="188"/>
      <c r="RR74" s="188"/>
      <c r="RS74" s="188"/>
      <c r="RT74" s="188"/>
      <c r="RU74" s="188"/>
      <c r="RV74" s="188"/>
      <c r="RW74" s="188"/>
      <c r="RX74" s="188"/>
      <c r="RY74" s="188"/>
      <c r="RZ74" s="188"/>
      <c r="SA74" s="188"/>
      <c r="SB74" s="188"/>
      <c r="SC74" s="188"/>
      <c r="SD74" s="188"/>
      <c r="SE74" s="188"/>
      <c r="SF74" s="188"/>
      <c r="SG74" s="188"/>
      <c r="SH74" s="188"/>
      <c r="SI74" s="188"/>
      <c r="SJ74" s="188"/>
      <c r="SK74" s="188"/>
      <c r="SL74" s="188"/>
      <c r="SM74" s="188"/>
      <c r="SN74" s="188"/>
      <c r="SO74" s="188"/>
      <c r="SP74" s="188"/>
      <c r="SQ74" s="188"/>
      <c r="SR74" s="188"/>
      <c r="SS74" s="188"/>
      <c r="ST74" s="188"/>
      <c r="SU74" s="188"/>
      <c r="SV74" s="188"/>
      <c r="SW74" s="188"/>
      <c r="SX74" s="188"/>
      <c r="SY74" s="188"/>
      <c r="SZ74" s="188"/>
      <c r="TA74" s="188"/>
      <c r="TB74" s="188"/>
      <c r="TC74" s="188"/>
      <c r="TD74" s="188"/>
      <c r="TE74" s="188"/>
      <c r="TF74" s="188"/>
      <c r="TG74" s="188"/>
      <c r="TH74" s="188"/>
      <c r="TI74" s="188"/>
      <c r="TJ74" s="188"/>
      <c r="TK74" s="188"/>
      <c r="TL74" s="188"/>
      <c r="TM74" s="188"/>
      <c r="TN74" s="188"/>
      <c r="TO74" s="188"/>
      <c r="TP74" s="188"/>
      <c r="TQ74" s="188"/>
      <c r="TR74" s="188"/>
      <c r="TS74" s="188"/>
      <c r="TT74" s="188"/>
      <c r="TU74" s="188"/>
      <c r="TV74" s="188"/>
      <c r="TW74" s="188"/>
      <c r="TX74" s="188"/>
      <c r="TY74" s="188"/>
      <c r="TZ74" s="188"/>
      <c r="UA74" s="188"/>
      <c r="UB74" s="188"/>
      <c r="UC74" s="188"/>
      <c r="UD74" s="188"/>
      <c r="UE74" s="188"/>
      <c r="UF74" s="188"/>
      <c r="UG74" s="188"/>
      <c r="UH74" s="188"/>
      <c r="UI74" s="188"/>
      <c r="UJ74" s="188"/>
      <c r="UK74" s="188"/>
      <c r="UL74" s="188"/>
      <c r="UM74" s="188"/>
      <c r="UN74" s="188"/>
      <c r="UO74" s="188"/>
      <c r="UP74" s="188"/>
      <c r="UQ74" s="188"/>
      <c r="UR74" s="188"/>
      <c r="US74" s="188"/>
      <c r="UT74" s="188"/>
      <c r="UU74" s="188"/>
      <c r="UV74" s="188"/>
      <c r="UW74" s="188"/>
      <c r="UX74" s="188"/>
      <c r="UY74" s="188"/>
      <c r="UZ74" s="188"/>
      <c r="VA74" s="188"/>
      <c r="VB74" s="188"/>
      <c r="VC74" s="188"/>
      <c r="VD74" s="188"/>
      <c r="VE74" s="188"/>
      <c r="VF74" s="188"/>
      <c r="VG74" s="188"/>
      <c r="VH74" s="188"/>
      <c r="VI74" s="188"/>
      <c r="VJ74" s="188"/>
      <c r="VK74" s="188"/>
      <c r="VL74" s="188"/>
      <c r="VM74" s="188"/>
      <c r="VN74" s="188"/>
      <c r="VO74" s="188"/>
      <c r="VP74" s="188"/>
      <c r="VQ74" s="188"/>
      <c r="VR74" s="188"/>
      <c r="VS74" s="188"/>
      <c r="VT74" s="188"/>
      <c r="VU74" s="188"/>
      <c r="VV74" s="188"/>
      <c r="VW74" s="188"/>
      <c r="VX74" s="188"/>
      <c r="VY74" s="188"/>
      <c r="VZ74" s="188"/>
      <c r="WA74" s="188"/>
      <c r="WB74" s="188"/>
      <c r="WC74" s="188"/>
      <c r="WD74" s="188"/>
      <c r="WE74" s="188"/>
      <c r="WF74" s="188"/>
      <c r="WG74" s="188"/>
      <c r="WH74" s="188"/>
      <c r="WI74" s="188"/>
      <c r="WJ74" s="188"/>
      <c r="WK74" s="188"/>
      <c r="WL74" s="188"/>
      <c r="WM74" s="188"/>
      <c r="WN74" s="188"/>
      <c r="WO74" s="188"/>
      <c r="WP74" s="188"/>
      <c r="WQ74" s="188"/>
      <c r="WR74" s="188"/>
      <c r="WS74" s="188"/>
      <c r="WT74" s="188"/>
      <c r="WU74" s="188"/>
      <c r="WV74" s="188"/>
      <c r="WW74" s="188"/>
      <c r="WX74" s="188"/>
      <c r="WY74" s="188"/>
      <c r="WZ74" s="188"/>
      <c r="XA74" s="188"/>
      <c r="XB74" s="188"/>
      <c r="XC74" s="188"/>
      <c r="XD74" s="188"/>
      <c r="XE74" s="188"/>
      <c r="XF74" s="188"/>
      <c r="XG74" s="188"/>
      <c r="XH74" s="188"/>
      <c r="XI74" s="188"/>
      <c r="XJ74" s="188"/>
      <c r="XK74" s="188"/>
      <c r="XL74" s="188"/>
      <c r="XM74" s="188"/>
      <c r="XN74" s="188"/>
      <c r="XO74" s="188"/>
      <c r="XP74" s="188"/>
      <c r="XQ74" s="188"/>
      <c r="XR74" s="188"/>
      <c r="XS74" s="188"/>
      <c r="XT74" s="188"/>
      <c r="XU74" s="188"/>
      <c r="XV74" s="188"/>
      <c r="XW74" s="188"/>
      <c r="XX74" s="188"/>
      <c r="XY74" s="188"/>
      <c r="XZ74" s="188"/>
      <c r="YA74" s="188"/>
      <c r="YB74" s="188"/>
      <c r="YC74" s="188"/>
      <c r="YD74" s="188"/>
      <c r="YE74" s="188"/>
      <c r="YF74" s="188"/>
      <c r="YG74" s="188"/>
      <c r="YH74" s="188"/>
      <c r="YI74" s="188"/>
      <c r="YJ74" s="188"/>
      <c r="YK74" s="188"/>
      <c r="YL74" s="188"/>
      <c r="YM74" s="188"/>
      <c r="YN74" s="188"/>
      <c r="YO74" s="188"/>
      <c r="YP74" s="188"/>
      <c r="YQ74" s="188"/>
      <c r="YR74" s="188"/>
      <c r="YS74" s="188"/>
      <c r="YT74" s="188"/>
      <c r="YU74" s="188"/>
      <c r="YV74" s="188"/>
      <c r="YW74" s="188"/>
      <c r="YX74" s="188"/>
      <c r="YY74" s="188"/>
      <c r="YZ74" s="188"/>
      <c r="ZA74" s="188"/>
      <c r="ZB74" s="188"/>
      <c r="ZC74" s="188"/>
      <c r="ZD74" s="188"/>
      <c r="ZE74" s="188"/>
      <c r="ZF74" s="188"/>
      <c r="ZG74" s="188"/>
      <c r="ZH74" s="188"/>
      <c r="ZI74" s="188"/>
      <c r="ZJ74" s="188"/>
      <c r="ZK74" s="188"/>
      <c r="ZL74" s="188"/>
      <c r="ZM74" s="188"/>
      <c r="ZN74" s="188"/>
      <c r="ZO74" s="188"/>
      <c r="ZP74" s="188"/>
      <c r="ZQ74" s="188"/>
      <c r="ZR74" s="188"/>
      <c r="ZS74" s="188"/>
      <c r="ZT74" s="188"/>
      <c r="ZU74" s="188"/>
      <c r="ZV74" s="188"/>
      <c r="ZW74" s="188"/>
      <c r="ZX74" s="188"/>
      <c r="ZY74" s="188"/>
      <c r="ZZ74" s="188"/>
      <c r="AAA74" s="188"/>
      <c r="AAB74" s="188"/>
      <c r="AAC74" s="188"/>
      <c r="AAD74" s="188"/>
      <c r="AAE74" s="188"/>
      <c r="AAF74" s="188"/>
      <c r="AAG74" s="188"/>
      <c r="AAH74" s="188"/>
      <c r="AAI74" s="188"/>
      <c r="AAJ74" s="188"/>
      <c r="AAK74" s="188"/>
      <c r="AAL74" s="188"/>
      <c r="AAM74" s="188"/>
      <c r="AAN74" s="188"/>
      <c r="AAO74" s="188"/>
      <c r="AAP74" s="188"/>
      <c r="AAQ74" s="188"/>
      <c r="AAR74" s="188"/>
      <c r="AAS74" s="188"/>
      <c r="AAT74" s="188"/>
      <c r="AAU74" s="188"/>
      <c r="AAV74" s="188"/>
      <c r="AAW74" s="188"/>
      <c r="AAX74" s="188"/>
      <c r="AAY74" s="188"/>
      <c r="AAZ74" s="188"/>
      <c r="ABA74" s="188"/>
      <c r="ABB74" s="188"/>
      <c r="ABC74" s="188"/>
      <c r="ABD74" s="188"/>
      <c r="ABE74" s="188"/>
      <c r="ABF74" s="188"/>
      <c r="ABG74" s="188"/>
      <c r="ABH74" s="188"/>
      <c r="ABI74" s="188"/>
      <c r="ABJ74" s="188"/>
      <c r="ABK74" s="188"/>
      <c r="ABL74" s="188"/>
      <c r="ABM74" s="188"/>
      <c r="ABN74" s="188"/>
      <c r="ABO74" s="188"/>
      <c r="ABP74" s="188"/>
      <c r="ABQ74" s="188"/>
      <c r="ABR74" s="188"/>
      <c r="ABS74" s="188"/>
      <c r="ABT74" s="188"/>
      <c r="ABU74" s="188"/>
      <c r="ABV74" s="188"/>
      <c r="ABW74" s="188"/>
      <c r="ABX74" s="188"/>
      <c r="ABY74" s="188"/>
      <c r="ABZ74" s="188"/>
      <c r="ACA74" s="188"/>
      <c r="ACB74" s="188"/>
      <c r="ACC74" s="188"/>
      <c r="ACD74" s="188"/>
      <c r="ACE74" s="188"/>
      <c r="ACF74" s="188"/>
      <c r="ACG74" s="188"/>
      <c r="ACH74" s="188"/>
      <c r="ACI74" s="188"/>
      <c r="ACJ74" s="188"/>
      <c r="ACK74" s="188"/>
      <c r="ACL74" s="188"/>
      <c r="ACM74" s="188"/>
      <c r="ACN74" s="188"/>
      <c r="ACO74" s="188"/>
      <c r="ACP74" s="188"/>
      <c r="ACQ74" s="188"/>
      <c r="ACR74" s="188"/>
      <c r="ACS74" s="188"/>
      <c r="ACT74" s="188"/>
      <c r="ACU74" s="188"/>
      <c r="ACV74" s="188"/>
      <c r="ACW74" s="188"/>
      <c r="ACX74" s="188"/>
      <c r="ACY74" s="188"/>
      <c r="ACZ74" s="188"/>
      <c r="ADA74" s="188"/>
      <c r="ADB74" s="188"/>
      <c r="ADC74" s="188"/>
      <c r="ADD74" s="188"/>
      <c r="ADE74" s="188"/>
      <c r="ADF74" s="188"/>
      <c r="ADG74" s="188"/>
      <c r="ADH74" s="188"/>
      <c r="ADI74" s="188"/>
      <c r="ADJ74" s="188"/>
      <c r="ADK74" s="188"/>
      <c r="ADL74" s="188"/>
      <c r="ADM74" s="188"/>
      <c r="ADN74" s="188"/>
      <c r="ADO74" s="188"/>
      <c r="ADP74" s="188"/>
      <c r="ADQ74" s="188"/>
      <c r="ADR74" s="188"/>
      <c r="ADS74" s="188"/>
      <c r="ADT74" s="188"/>
      <c r="ADU74" s="188"/>
      <c r="ADV74" s="188"/>
      <c r="ADW74" s="188"/>
      <c r="ADX74" s="188"/>
      <c r="ADY74" s="188"/>
      <c r="ADZ74" s="188"/>
      <c r="AEA74" s="188"/>
      <c r="AEB74" s="188"/>
      <c r="AEC74" s="188"/>
      <c r="AED74" s="188"/>
      <c r="AEE74" s="188"/>
      <c r="AEF74" s="188"/>
      <c r="AEG74" s="188"/>
      <c r="AEH74" s="188"/>
      <c r="AEI74" s="188"/>
      <c r="AEJ74" s="188"/>
      <c r="AEK74" s="188"/>
      <c r="AEL74" s="188"/>
      <c r="AEM74" s="188"/>
      <c r="AEN74" s="188"/>
      <c r="AEO74" s="188"/>
      <c r="AEP74" s="188"/>
      <c r="AEQ74" s="188"/>
      <c r="AER74" s="188"/>
      <c r="AES74" s="188"/>
      <c r="AET74" s="188"/>
      <c r="AEU74" s="188"/>
      <c r="AEV74" s="188"/>
      <c r="AEW74" s="188"/>
      <c r="AEX74" s="188"/>
      <c r="AEY74" s="188"/>
      <c r="AEZ74" s="188"/>
      <c r="AFA74" s="188"/>
      <c r="AFB74" s="188"/>
      <c r="AFC74" s="188"/>
      <c r="AFD74" s="188"/>
      <c r="AFE74" s="188"/>
      <c r="AFF74" s="188"/>
      <c r="AFG74" s="188"/>
      <c r="AFH74" s="188"/>
      <c r="AFI74" s="188"/>
      <c r="AFJ74" s="188"/>
      <c r="AFK74" s="188"/>
      <c r="AFL74" s="188"/>
      <c r="AFM74" s="188"/>
      <c r="AFN74" s="188"/>
      <c r="AFO74" s="188"/>
      <c r="AFP74" s="188"/>
      <c r="AFQ74" s="188"/>
      <c r="AFR74" s="188"/>
      <c r="AFS74" s="188"/>
      <c r="AFT74" s="188"/>
      <c r="AFU74" s="188"/>
      <c r="AFV74" s="188"/>
      <c r="AFW74" s="188"/>
      <c r="AFX74" s="188"/>
      <c r="AFY74" s="188"/>
      <c r="AFZ74" s="188"/>
      <c r="AGA74" s="188"/>
      <c r="AGB74" s="188"/>
      <c r="AGC74" s="188"/>
      <c r="AGD74" s="188"/>
      <c r="AGE74" s="188"/>
      <c r="AGF74" s="188"/>
      <c r="AGG74" s="188"/>
      <c r="AGH74" s="188"/>
      <c r="AGI74" s="188"/>
      <c r="AGJ74" s="188"/>
      <c r="AGK74" s="188"/>
      <c r="AGL74" s="188"/>
      <c r="AGM74" s="188"/>
      <c r="AGN74" s="188"/>
      <c r="AGO74" s="188"/>
      <c r="AGP74" s="188"/>
      <c r="AGQ74" s="188"/>
      <c r="AGR74" s="188"/>
      <c r="AGS74" s="188"/>
      <c r="AGT74" s="188"/>
      <c r="AGU74" s="188"/>
      <c r="AGV74" s="188"/>
      <c r="AGW74" s="188"/>
      <c r="AGX74" s="188"/>
      <c r="AGY74" s="188"/>
      <c r="AGZ74" s="188"/>
      <c r="AHA74" s="188"/>
      <c r="AHB74" s="188"/>
      <c r="AHC74" s="188"/>
      <c r="AHD74" s="188"/>
      <c r="AHE74" s="188"/>
      <c r="AHF74" s="188"/>
      <c r="AHG74" s="188"/>
      <c r="AHH74" s="188"/>
      <c r="AHI74" s="188"/>
      <c r="AHJ74" s="188"/>
      <c r="AHK74" s="188"/>
      <c r="AHL74" s="188"/>
      <c r="AHM74" s="188"/>
      <c r="AHN74" s="188"/>
      <c r="AHO74" s="188"/>
      <c r="AHP74" s="188"/>
      <c r="AHQ74" s="188"/>
      <c r="AHR74" s="188"/>
      <c r="AHS74" s="188"/>
      <c r="AHT74" s="188"/>
      <c r="AHU74" s="188"/>
      <c r="AHV74" s="188"/>
      <c r="AHW74" s="188"/>
      <c r="AHX74" s="188"/>
      <c r="AHY74" s="188"/>
      <c r="AHZ74" s="188"/>
      <c r="AIA74" s="188"/>
      <c r="AIB74" s="188"/>
      <c r="AIC74" s="188"/>
      <c r="AID74" s="188"/>
      <c r="AIE74" s="188"/>
      <c r="AIF74" s="188"/>
      <c r="AIG74" s="188"/>
      <c r="AIH74" s="188"/>
      <c r="AII74" s="188"/>
      <c r="AIJ74" s="188"/>
      <c r="AIK74" s="188"/>
      <c r="AIL74" s="188"/>
      <c r="AIM74" s="188"/>
      <c r="AIN74" s="188"/>
      <c r="AIO74" s="188"/>
      <c r="AIP74" s="188"/>
      <c r="AIQ74" s="188"/>
      <c r="AIR74" s="188"/>
      <c r="AIS74" s="188"/>
      <c r="AIT74" s="188"/>
      <c r="AIU74" s="188"/>
      <c r="AIV74" s="188"/>
      <c r="AIW74" s="188"/>
      <c r="AIX74" s="188"/>
      <c r="AIY74" s="188"/>
      <c r="AIZ74" s="188"/>
      <c r="AJA74" s="188"/>
      <c r="AJB74" s="188"/>
      <c r="AJC74" s="188"/>
      <c r="AJD74" s="188"/>
      <c r="AJE74" s="188"/>
      <c r="AJF74" s="188"/>
      <c r="AJG74" s="188"/>
      <c r="AJH74" s="188"/>
      <c r="AJI74" s="188"/>
      <c r="AJJ74" s="188"/>
      <c r="AJK74" s="188"/>
      <c r="AJL74" s="188"/>
      <c r="AJM74" s="188"/>
      <c r="AJN74" s="188"/>
      <c r="AJO74" s="188"/>
      <c r="AJP74" s="188"/>
      <c r="AJQ74" s="188"/>
      <c r="AJR74" s="188"/>
      <c r="AJS74" s="188"/>
      <c r="AJT74" s="188"/>
      <c r="AJU74" s="188"/>
      <c r="AJV74" s="188"/>
      <c r="AJW74" s="188"/>
      <c r="AJX74" s="188"/>
      <c r="AJY74" s="188"/>
      <c r="AJZ74" s="188"/>
      <c r="AKA74" s="188"/>
      <c r="AKB74" s="188"/>
      <c r="AKC74" s="188"/>
      <c r="AKD74" s="188"/>
      <c r="AKE74" s="188"/>
      <c r="AKF74" s="188"/>
      <c r="AKG74" s="188"/>
      <c r="AKH74" s="188"/>
      <c r="AKI74" s="188"/>
      <c r="AKJ74" s="188"/>
      <c r="AKK74" s="188"/>
      <c r="AKL74" s="188"/>
      <c r="AKM74" s="188"/>
      <c r="AKN74" s="188"/>
      <c r="AKO74" s="188"/>
      <c r="AKP74" s="188"/>
      <c r="AKQ74" s="188"/>
      <c r="AKR74" s="188"/>
      <c r="AKS74" s="188"/>
      <c r="AKT74" s="188"/>
      <c r="AKU74" s="188"/>
      <c r="AKV74" s="188"/>
      <c r="AKW74" s="188"/>
      <c r="AKX74" s="188"/>
      <c r="AKY74" s="188"/>
      <c r="AKZ74" s="188"/>
      <c r="ALA74" s="188"/>
      <c r="ALB74" s="188"/>
      <c r="ALC74" s="188"/>
      <c r="ALD74" s="188"/>
      <c r="ALE74" s="188"/>
      <c r="ALF74" s="188"/>
      <c r="ALG74" s="188"/>
      <c r="ALH74" s="188"/>
      <c r="ALI74" s="188"/>
      <c r="ALJ74" s="188"/>
      <c r="ALK74" s="188"/>
      <c r="ALL74" s="188"/>
      <c r="ALM74" s="188"/>
      <c r="ALN74" s="188"/>
      <c r="ALO74" s="188"/>
      <c r="ALP74" s="188"/>
      <c r="ALQ74" s="188"/>
      <c r="ALR74" s="188"/>
      <c r="ALS74" s="188"/>
      <c r="ALT74" s="188"/>
      <c r="ALU74" s="188"/>
      <c r="ALV74" s="188"/>
      <c r="ALW74" s="188"/>
      <c r="ALX74" s="188"/>
      <c r="ALY74" s="188"/>
      <c r="ALZ74" s="188"/>
      <c r="AMA74" s="188"/>
      <c r="AMB74" s="188"/>
      <c r="AMC74" s="188"/>
      <c r="AMD74" s="188"/>
      <c r="AME74" s="188"/>
      <c r="AMF74" s="188"/>
      <c r="AMG74" s="188"/>
      <c r="AMH74" s="188"/>
      <c r="AMI74" s="188"/>
      <c r="AMJ74" s="188"/>
      <c r="AMK74" s="188"/>
      <c r="AML74" s="188"/>
      <c r="AMM74" s="188"/>
      <c r="AMN74" s="188"/>
      <c r="AMO74" s="188"/>
      <c r="AMP74" s="188"/>
      <c r="AMQ74" s="188"/>
      <c r="AMR74" s="188"/>
      <c r="AMS74" s="188"/>
      <c r="AMT74" s="188"/>
      <c r="AMU74" s="188"/>
      <c r="AMV74" s="188"/>
      <c r="AMW74" s="188"/>
      <c r="AMX74" s="188"/>
      <c r="AMY74" s="188"/>
      <c r="AMZ74" s="188"/>
      <c r="ANA74" s="188"/>
      <c r="ANB74" s="188"/>
      <c r="ANC74" s="188"/>
      <c r="AND74" s="188"/>
      <c r="ANE74" s="188"/>
      <c r="ANF74" s="188"/>
      <c r="ANG74" s="188"/>
      <c r="ANH74" s="188"/>
      <c r="ANI74" s="188"/>
      <c r="ANJ74" s="188"/>
      <c r="ANK74" s="188"/>
      <c r="ANL74" s="188"/>
      <c r="ANM74" s="188"/>
      <c r="ANN74" s="188"/>
      <c r="ANO74" s="188"/>
      <c r="ANP74" s="188"/>
      <c r="ANQ74" s="188"/>
      <c r="ANR74" s="188"/>
      <c r="ANS74" s="188"/>
      <c r="ANT74" s="188"/>
      <c r="ANU74" s="188"/>
      <c r="ANV74" s="188"/>
      <c r="ANW74" s="188"/>
      <c r="ANX74" s="188"/>
      <c r="ANY74" s="188"/>
      <c r="ANZ74" s="188"/>
      <c r="AOA74" s="188"/>
      <c r="AOB74" s="188"/>
      <c r="AOC74" s="188"/>
      <c r="AOD74" s="188"/>
      <c r="AOE74" s="188"/>
      <c r="AOF74" s="188"/>
      <c r="AOG74" s="188"/>
      <c r="AOH74" s="188"/>
      <c r="AOI74" s="188"/>
      <c r="AOJ74" s="188"/>
      <c r="AOK74" s="188"/>
      <c r="AOL74" s="188"/>
      <c r="AOM74" s="188"/>
      <c r="AON74" s="188"/>
      <c r="AOO74" s="188"/>
      <c r="AOP74" s="188"/>
      <c r="AOQ74" s="188"/>
      <c r="AOR74" s="188"/>
      <c r="AOS74" s="188"/>
      <c r="AOT74" s="188"/>
      <c r="AOU74" s="188"/>
      <c r="AOV74" s="188"/>
      <c r="AOW74" s="188"/>
      <c r="AOX74" s="188"/>
      <c r="AOY74" s="188"/>
      <c r="AOZ74" s="188"/>
      <c r="APA74" s="188"/>
      <c r="APB74" s="188"/>
      <c r="APC74" s="188"/>
      <c r="APD74" s="188"/>
      <c r="APE74" s="188"/>
      <c r="APF74" s="188"/>
      <c r="APG74" s="188"/>
      <c r="APH74" s="188"/>
      <c r="API74" s="188"/>
      <c r="APJ74" s="188"/>
      <c r="APK74" s="188"/>
      <c r="APL74" s="188"/>
      <c r="APM74" s="188"/>
      <c r="APN74" s="188"/>
      <c r="APO74" s="188"/>
      <c r="APP74" s="188"/>
      <c r="APQ74" s="188"/>
      <c r="APR74" s="188"/>
      <c r="APS74" s="188"/>
      <c r="APT74" s="188"/>
      <c r="APU74" s="188"/>
      <c r="APV74" s="188"/>
      <c r="APW74" s="188"/>
      <c r="APX74" s="188"/>
      <c r="APY74" s="188"/>
      <c r="APZ74" s="188"/>
      <c r="AQA74" s="188"/>
      <c r="AQB74" s="188"/>
      <c r="AQC74" s="188"/>
      <c r="AQD74" s="188"/>
      <c r="AQE74" s="188"/>
      <c r="AQF74" s="188"/>
      <c r="AQG74" s="188"/>
      <c r="AQH74" s="188"/>
      <c r="AQI74" s="188"/>
      <c r="AQJ74" s="188"/>
      <c r="AQK74" s="188"/>
      <c r="AQL74" s="188"/>
      <c r="AQM74" s="188"/>
      <c r="AQN74" s="188"/>
      <c r="AQO74" s="188"/>
      <c r="AQP74" s="188"/>
      <c r="AQQ74" s="188"/>
      <c r="AQR74" s="188"/>
      <c r="AQS74" s="188"/>
      <c r="AQT74" s="188"/>
      <c r="AQU74" s="188"/>
      <c r="AQV74" s="188"/>
      <c r="AQW74" s="188"/>
      <c r="AQX74" s="188"/>
      <c r="AQY74" s="188"/>
      <c r="AQZ74" s="188"/>
      <c r="ARA74" s="188"/>
      <c r="ARB74" s="188"/>
      <c r="ARC74" s="188"/>
      <c r="ARD74" s="188"/>
      <c r="ARE74" s="188"/>
      <c r="ARF74" s="188"/>
      <c r="ARG74" s="188"/>
      <c r="ARH74" s="188"/>
      <c r="ARI74" s="188"/>
      <c r="ARJ74" s="188"/>
      <c r="ARK74" s="188"/>
      <c r="ARL74" s="188"/>
      <c r="ARM74" s="188"/>
      <c r="ARN74" s="188"/>
      <c r="ARO74" s="188"/>
      <c r="ARP74" s="188"/>
      <c r="ARQ74" s="188"/>
      <c r="ARR74" s="188"/>
      <c r="ARS74" s="188"/>
      <c r="ART74" s="188"/>
      <c r="ARU74" s="188"/>
      <c r="ARV74" s="188"/>
      <c r="ARW74" s="188"/>
      <c r="ARX74" s="188"/>
      <c r="ARY74" s="188"/>
      <c r="ARZ74" s="188"/>
      <c r="ASA74" s="188"/>
      <c r="ASB74" s="188"/>
      <c r="ASC74" s="188"/>
      <c r="ASD74" s="188"/>
      <c r="ASE74" s="188"/>
      <c r="ASF74" s="188"/>
      <c r="ASG74" s="188"/>
      <c r="ASH74" s="188"/>
      <c r="ASI74" s="188"/>
      <c r="ASJ74" s="188"/>
      <c r="ASK74" s="188"/>
      <c r="ASL74" s="188"/>
      <c r="ASM74" s="188"/>
      <c r="ASN74" s="188"/>
      <c r="ASO74" s="188"/>
      <c r="ASP74" s="188"/>
      <c r="ASQ74" s="188"/>
      <c r="ASR74" s="188"/>
      <c r="ASS74" s="188"/>
      <c r="AST74" s="188"/>
      <c r="ASU74" s="188"/>
      <c r="ASV74" s="188"/>
      <c r="ASW74" s="188"/>
      <c r="ASX74" s="188"/>
      <c r="ASY74" s="188"/>
      <c r="ASZ74" s="188"/>
      <c r="ATA74" s="188"/>
      <c r="ATB74" s="188"/>
      <c r="ATC74" s="188"/>
      <c r="ATD74" s="188"/>
      <c r="ATE74" s="188"/>
      <c r="ATF74" s="188"/>
      <c r="ATG74" s="188"/>
      <c r="ATH74" s="188"/>
      <c r="ATI74" s="188"/>
      <c r="ATJ74" s="188"/>
      <c r="ATK74" s="188"/>
      <c r="ATL74" s="188"/>
      <c r="ATM74" s="188"/>
      <c r="ATN74" s="188"/>
      <c r="ATO74" s="188"/>
      <c r="ATP74" s="188"/>
      <c r="ATQ74" s="188"/>
      <c r="ATR74" s="188"/>
      <c r="ATS74" s="188"/>
      <c r="ATT74" s="188"/>
      <c r="ATU74" s="188"/>
      <c r="ATV74" s="188"/>
      <c r="ATW74" s="188"/>
      <c r="ATX74" s="188"/>
      <c r="ATY74" s="188"/>
      <c r="ATZ74" s="188"/>
      <c r="AUA74" s="188"/>
      <c r="AUB74" s="188"/>
      <c r="AUC74" s="188"/>
      <c r="AUD74" s="188"/>
      <c r="AUE74" s="188"/>
      <c r="AUF74" s="188"/>
      <c r="AUG74" s="188"/>
      <c r="AUH74" s="188"/>
      <c r="AUI74" s="188"/>
      <c r="AUJ74" s="188"/>
      <c r="AUK74" s="188"/>
      <c r="AUL74" s="188"/>
      <c r="AUM74" s="188"/>
      <c r="AUN74" s="188"/>
      <c r="AUO74" s="188"/>
      <c r="AUP74" s="188"/>
      <c r="AUQ74" s="188"/>
      <c r="AUR74" s="188"/>
      <c r="AUS74" s="188"/>
      <c r="AUT74" s="188"/>
      <c r="AUU74" s="188"/>
      <c r="AUV74" s="188"/>
      <c r="AUW74" s="188"/>
      <c r="AUX74" s="188"/>
      <c r="AUY74" s="188"/>
      <c r="AUZ74" s="188"/>
      <c r="AVA74" s="188"/>
      <c r="AVB74" s="188"/>
      <c r="AVC74" s="188"/>
      <c r="AVD74" s="188"/>
      <c r="AVE74" s="188"/>
      <c r="AVF74" s="188"/>
      <c r="AVG74" s="188"/>
      <c r="AVH74" s="188"/>
      <c r="AVI74" s="188"/>
      <c r="AVJ74" s="188"/>
      <c r="AVK74" s="188"/>
      <c r="AVL74" s="188"/>
      <c r="AVM74" s="188"/>
      <c r="AVN74" s="188"/>
      <c r="AVO74" s="188"/>
      <c r="AVP74" s="188"/>
      <c r="AVQ74" s="188"/>
      <c r="AVR74" s="188"/>
      <c r="AVS74" s="188"/>
      <c r="AVT74" s="188"/>
      <c r="AVU74" s="188"/>
      <c r="AVV74" s="188"/>
      <c r="AVW74" s="188"/>
      <c r="AVX74" s="188"/>
      <c r="AVY74" s="188"/>
      <c r="AVZ74" s="188"/>
      <c r="AWA74" s="188"/>
      <c r="AWB74" s="188"/>
      <c r="AWC74" s="188"/>
      <c r="AWD74" s="188"/>
      <c r="AWE74" s="188"/>
      <c r="AWF74" s="188"/>
      <c r="AWG74" s="188"/>
      <c r="AWH74" s="188"/>
      <c r="AWI74" s="188"/>
      <c r="AWJ74" s="188"/>
      <c r="AWK74" s="188"/>
      <c r="AWL74" s="188"/>
      <c r="AWM74" s="188"/>
      <c r="AWN74" s="188"/>
      <c r="AWO74" s="188"/>
      <c r="AWP74" s="188"/>
      <c r="AWQ74" s="188"/>
      <c r="AWR74" s="188"/>
      <c r="AWS74" s="188"/>
      <c r="AWT74" s="188"/>
      <c r="AWU74" s="188"/>
      <c r="AWV74" s="188"/>
      <c r="AWW74" s="188"/>
      <c r="AWX74" s="188"/>
      <c r="AWY74" s="188"/>
      <c r="AWZ74" s="188"/>
      <c r="AXA74" s="188"/>
      <c r="AXB74" s="188"/>
      <c r="AXC74" s="188"/>
      <c r="AXD74" s="188"/>
      <c r="AXE74" s="188"/>
      <c r="AXF74" s="188"/>
      <c r="AXG74" s="188"/>
      <c r="AXH74" s="188"/>
      <c r="AXI74" s="188"/>
      <c r="AXJ74" s="188"/>
      <c r="AXK74" s="188"/>
      <c r="AXL74" s="188"/>
      <c r="AXM74" s="188"/>
      <c r="AXN74" s="188"/>
      <c r="AXO74" s="188"/>
      <c r="AXP74" s="188"/>
      <c r="AXQ74" s="188"/>
      <c r="AXR74" s="188"/>
      <c r="AXS74" s="188"/>
      <c r="AXT74" s="188"/>
      <c r="AXU74" s="188"/>
      <c r="AXV74" s="188"/>
      <c r="AXW74" s="188"/>
      <c r="AXX74" s="188"/>
      <c r="AXY74" s="188"/>
      <c r="AXZ74" s="188"/>
      <c r="AYA74" s="188"/>
      <c r="AYB74" s="188"/>
      <c r="AYC74" s="188"/>
      <c r="AYD74" s="188"/>
      <c r="AYE74" s="188"/>
      <c r="AYF74" s="188"/>
      <c r="AYG74" s="188"/>
      <c r="AYH74" s="188"/>
      <c r="AYI74" s="188"/>
      <c r="AYJ74" s="188"/>
      <c r="AYK74" s="188"/>
      <c r="AYL74" s="188"/>
      <c r="AYM74" s="188"/>
      <c r="AYN74" s="188"/>
      <c r="AYO74" s="188"/>
      <c r="AYP74" s="188"/>
      <c r="AYQ74" s="188"/>
      <c r="AYR74" s="188"/>
      <c r="AYS74" s="188"/>
      <c r="AYT74" s="188"/>
      <c r="AYU74" s="188"/>
      <c r="AYV74" s="188"/>
      <c r="AYW74" s="188"/>
      <c r="AYX74" s="188"/>
      <c r="AYY74" s="188"/>
      <c r="AYZ74" s="188"/>
      <c r="AZA74" s="188"/>
      <c r="AZB74" s="188"/>
      <c r="AZC74" s="188"/>
      <c r="AZD74" s="188"/>
      <c r="AZE74" s="188"/>
      <c r="AZF74" s="188"/>
      <c r="AZG74" s="188"/>
      <c r="AZH74" s="188"/>
      <c r="AZI74" s="188"/>
      <c r="AZJ74" s="188"/>
      <c r="AZK74" s="188"/>
      <c r="AZL74" s="188"/>
      <c r="AZM74" s="188"/>
      <c r="AZN74" s="188"/>
      <c r="AZO74" s="188"/>
      <c r="AZP74" s="188"/>
      <c r="AZQ74" s="188"/>
      <c r="AZR74" s="188"/>
      <c r="AZS74" s="188"/>
      <c r="AZT74" s="188"/>
      <c r="AZU74" s="188"/>
      <c r="AZV74" s="188"/>
      <c r="AZW74" s="188"/>
      <c r="AZX74" s="188"/>
      <c r="AZY74" s="188"/>
      <c r="AZZ74" s="188"/>
      <c r="BAA74" s="188"/>
      <c r="BAB74" s="188"/>
      <c r="BAC74" s="188"/>
      <c r="BAD74" s="188"/>
      <c r="BAE74" s="188"/>
      <c r="BAF74" s="188"/>
      <c r="BAG74" s="188"/>
      <c r="BAH74" s="188"/>
      <c r="BAI74" s="188"/>
      <c r="BAJ74" s="188"/>
      <c r="BAK74" s="188"/>
      <c r="BAL74" s="188"/>
      <c r="BAM74" s="188"/>
      <c r="BAN74" s="188"/>
      <c r="BAO74" s="188"/>
      <c r="BAP74" s="188"/>
      <c r="BAQ74" s="188"/>
      <c r="BAR74" s="188"/>
      <c r="BAS74" s="188"/>
      <c r="BAT74" s="188"/>
      <c r="BAU74" s="188"/>
      <c r="BAV74" s="188"/>
      <c r="BAW74" s="188"/>
      <c r="BAX74" s="188"/>
      <c r="BAY74" s="188"/>
      <c r="BAZ74" s="188"/>
      <c r="BBA74" s="188"/>
      <c r="BBB74" s="188"/>
      <c r="BBC74" s="188"/>
      <c r="BBD74" s="188"/>
      <c r="BBE74" s="188"/>
      <c r="BBF74" s="188"/>
      <c r="BBG74" s="188"/>
      <c r="BBH74" s="188"/>
      <c r="BBI74" s="188"/>
      <c r="BBJ74" s="188"/>
      <c r="BBK74" s="188"/>
      <c r="BBL74" s="188"/>
      <c r="BBM74" s="188"/>
      <c r="BBN74" s="188"/>
      <c r="BBO74" s="188"/>
      <c r="BBP74" s="188"/>
      <c r="BBQ74" s="188"/>
      <c r="BBR74" s="188"/>
      <c r="BBS74" s="188"/>
      <c r="BBT74" s="188"/>
      <c r="BBU74" s="188"/>
      <c r="BBV74" s="188"/>
      <c r="BBW74" s="188"/>
      <c r="BBX74" s="188"/>
      <c r="BBY74" s="188"/>
      <c r="BBZ74" s="188"/>
      <c r="BCA74" s="188"/>
      <c r="BCB74" s="188"/>
      <c r="BCC74" s="188"/>
      <c r="BCD74" s="188"/>
      <c r="BCE74" s="188"/>
      <c r="BCF74" s="188"/>
      <c r="BCG74" s="188"/>
      <c r="BCH74" s="188"/>
      <c r="BCI74" s="188"/>
      <c r="BCJ74" s="188"/>
      <c r="BCK74" s="188"/>
      <c r="BCL74" s="188"/>
      <c r="BCM74" s="188"/>
      <c r="BCN74" s="188"/>
      <c r="BCO74" s="188"/>
      <c r="BCP74" s="188"/>
      <c r="BCQ74" s="188"/>
      <c r="BCR74" s="188"/>
      <c r="BCS74" s="188"/>
      <c r="BCT74" s="188"/>
      <c r="BCU74" s="188"/>
      <c r="BCV74" s="188"/>
      <c r="BCW74" s="188"/>
      <c r="BCX74" s="188"/>
      <c r="BCY74" s="188"/>
      <c r="BCZ74" s="188"/>
      <c r="BDA74" s="188"/>
      <c r="BDB74" s="188"/>
      <c r="BDC74" s="188"/>
      <c r="BDD74" s="188"/>
      <c r="BDE74" s="188"/>
      <c r="BDF74" s="188"/>
      <c r="BDG74" s="188"/>
      <c r="BDH74" s="188"/>
      <c r="BDI74" s="188"/>
      <c r="BDJ74" s="188"/>
      <c r="BDK74" s="188"/>
      <c r="BDL74" s="188"/>
      <c r="BDM74" s="188"/>
      <c r="BDN74" s="188"/>
      <c r="BDO74" s="188"/>
      <c r="BDP74" s="188"/>
      <c r="BDQ74" s="188"/>
      <c r="BDR74" s="188"/>
      <c r="BDS74" s="188"/>
      <c r="BDT74" s="188"/>
      <c r="BDU74" s="188"/>
      <c r="BDV74" s="188"/>
      <c r="BDW74" s="188"/>
      <c r="BDX74" s="188"/>
      <c r="BDY74" s="188"/>
      <c r="BDZ74" s="188"/>
      <c r="BEA74" s="188"/>
      <c r="BEB74" s="188"/>
      <c r="BEC74" s="188"/>
      <c r="BED74" s="188"/>
      <c r="BEE74" s="188"/>
      <c r="BEF74" s="188"/>
      <c r="BEG74" s="188"/>
      <c r="BEH74" s="188"/>
      <c r="BEI74" s="188"/>
      <c r="BEJ74" s="188"/>
      <c r="BEK74" s="188"/>
      <c r="BEL74" s="188"/>
      <c r="BEM74" s="188"/>
      <c r="BEN74" s="188"/>
      <c r="BEO74" s="188"/>
      <c r="BEP74" s="188"/>
      <c r="BEQ74" s="188"/>
      <c r="BER74" s="188"/>
      <c r="BES74" s="188"/>
      <c r="BET74" s="188"/>
      <c r="BEU74" s="188"/>
      <c r="BEV74" s="188"/>
      <c r="BEW74" s="188"/>
      <c r="BEX74" s="188"/>
      <c r="BEY74" s="188"/>
      <c r="BEZ74" s="188"/>
      <c r="BFA74" s="188"/>
      <c r="BFB74" s="188"/>
      <c r="BFC74" s="188"/>
      <c r="BFD74" s="188"/>
      <c r="BFE74" s="188"/>
      <c r="BFF74" s="188"/>
      <c r="BFG74" s="188"/>
      <c r="BFH74" s="188"/>
      <c r="BFI74" s="188"/>
      <c r="BFJ74" s="188"/>
      <c r="BFK74" s="188"/>
      <c r="BFL74" s="188"/>
      <c r="BFM74" s="188"/>
      <c r="BFN74" s="188"/>
      <c r="BFO74" s="188"/>
      <c r="BFP74" s="188"/>
      <c r="BFQ74" s="188"/>
      <c r="BFR74" s="188"/>
      <c r="BFS74" s="188"/>
      <c r="BFT74" s="188"/>
      <c r="BFU74" s="188"/>
      <c r="BFV74" s="188"/>
      <c r="BFW74" s="188"/>
      <c r="BFX74" s="188"/>
      <c r="BFY74" s="188"/>
      <c r="BFZ74" s="188"/>
      <c r="BGA74" s="188"/>
      <c r="BGB74" s="188"/>
      <c r="BGC74" s="188"/>
      <c r="BGD74" s="188"/>
      <c r="BGE74" s="188"/>
      <c r="BGF74" s="188"/>
      <c r="BGG74" s="188"/>
      <c r="BGH74" s="188"/>
      <c r="BGI74" s="188"/>
      <c r="BGJ74" s="188"/>
      <c r="BGK74" s="188"/>
      <c r="BGL74" s="188"/>
      <c r="BGM74" s="188"/>
      <c r="BGN74" s="188"/>
      <c r="BGO74" s="188"/>
      <c r="BGP74" s="188"/>
      <c r="BGQ74" s="188"/>
      <c r="BGR74" s="188"/>
      <c r="BGS74" s="188"/>
      <c r="BGT74" s="188"/>
      <c r="BGU74" s="188"/>
      <c r="BGV74" s="188"/>
      <c r="BGW74" s="188"/>
      <c r="BGX74" s="188"/>
      <c r="BGY74" s="188"/>
      <c r="BGZ74" s="188"/>
      <c r="BHA74" s="188"/>
      <c r="BHB74" s="188"/>
      <c r="BHC74" s="188"/>
      <c r="BHD74" s="188"/>
      <c r="BHE74" s="188"/>
      <c r="BHF74" s="188"/>
      <c r="BHG74" s="188"/>
      <c r="BHH74" s="188"/>
      <c r="BHI74" s="188"/>
      <c r="BHJ74" s="188"/>
      <c r="BHK74" s="188"/>
      <c r="BHL74" s="188"/>
      <c r="BHM74" s="188"/>
      <c r="BHN74" s="188"/>
      <c r="BHO74" s="188"/>
      <c r="BHP74" s="188"/>
      <c r="BHQ74" s="188"/>
      <c r="BHR74" s="188"/>
      <c r="BHS74" s="188"/>
      <c r="BHT74" s="188"/>
      <c r="BHU74" s="188"/>
      <c r="BHV74" s="188"/>
      <c r="BHW74" s="188"/>
      <c r="BHX74" s="188"/>
      <c r="BHY74" s="188"/>
      <c r="BHZ74" s="188"/>
      <c r="BIA74" s="188"/>
      <c r="BIB74" s="188"/>
      <c r="BIC74" s="188"/>
      <c r="BID74" s="188"/>
      <c r="BIE74" s="188"/>
      <c r="BIF74" s="188"/>
      <c r="BIG74" s="188"/>
      <c r="BIH74" s="188"/>
      <c r="BII74" s="188"/>
      <c r="BIJ74" s="188"/>
      <c r="BIK74" s="188"/>
      <c r="BIL74" s="188"/>
      <c r="BIM74" s="188"/>
      <c r="BIN74" s="188"/>
      <c r="BIO74" s="188"/>
      <c r="BIP74" s="188"/>
      <c r="BIQ74" s="188"/>
      <c r="BIR74" s="188"/>
      <c r="BIS74" s="188"/>
      <c r="BIT74" s="188"/>
      <c r="BIU74" s="188"/>
      <c r="BIV74" s="188"/>
      <c r="BIW74" s="188"/>
      <c r="BIX74" s="188"/>
      <c r="BIY74" s="188"/>
      <c r="BIZ74" s="188"/>
      <c r="BJA74" s="188"/>
      <c r="BJB74" s="188"/>
      <c r="BJC74" s="188"/>
      <c r="BJD74" s="188"/>
      <c r="BJE74" s="188"/>
      <c r="BJF74" s="188"/>
      <c r="BJG74" s="188"/>
      <c r="BJH74" s="188"/>
      <c r="BJI74" s="188"/>
      <c r="BJJ74" s="188"/>
      <c r="BJK74" s="188"/>
      <c r="BJL74" s="188"/>
      <c r="BJM74" s="188"/>
      <c r="BJN74" s="188"/>
      <c r="BJO74" s="188"/>
      <c r="BJP74" s="188"/>
      <c r="BJQ74" s="188"/>
      <c r="BJR74" s="188"/>
      <c r="BJS74" s="188"/>
      <c r="BJT74" s="188"/>
      <c r="BJU74" s="188"/>
      <c r="BJV74" s="188"/>
      <c r="BJW74" s="188"/>
      <c r="BJX74" s="188"/>
      <c r="BJY74" s="188"/>
      <c r="BJZ74" s="188"/>
      <c r="BKA74" s="188"/>
      <c r="BKB74" s="188"/>
      <c r="BKC74" s="188"/>
      <c r="BKD74" s="188"/>
      <c r="BKE74" s="188"/>
      <c r="BKF74" s="188"/>
      <c r="BKG74" s="188"/>
      <c r="BKH74" s="188"/>
      <c r="BKI74" s="188"/>
      <c r="BKJ74" s="188"/>
      <c r="BKK74" s="188"/>
      <c r="BKL74" s="188"/>
      <c r="BKM74" s="188"/>
      <c r="BKN74" s="188"/>
    </row>
    <row r="75" spans="1:1652" s="21" customFormat="1" ht="0.9" customHeight="1" x14ac:dyDescent="0.3">
      <c r="A75" s="20"/>
      <c r="B75" s="188"/>
      <c r="C75" s="188"/>
      <c r="D75" s="188"/>
      <c r="E75" s="193"/>
      <c r="F75" s="193"/>
      <c r="G75" s="193"/>
      <c r="I75" s="188"/>
      <c r="J75" s="188"/>
      <c r="K75" s="188"/>
      <c r="L75" s="188"/>
      <c r="M75" s="188"/>
      <c r="N75" s="188"/>
      <c r="O75" s="188"/>
      <c r="P75" s="188"/>
      <c r="Q75" s="188"/>
      <c r="R75" s="188"/>
      <c r="S75" s="188"/>
      <c r="T75" s="188"/>
      <c r="U75" s="188"/>
      <c r="V75" s="188"/>
      <c r="W75" s="188"/>
      <c r="X75" s="188"/>
      <c r="Y75" s="188"/>
      <c r="Z75" s="188"/>
      <c r="AA75" s="188"/>
      <c r="AB75" s="188"/>
      <c r="AC75" s="188"/>
      <c r="AD75" s="188"/>
      <c r="AE75" s="188"/>
      <c r="AF75" s="188"/>
      <c r="AG75" s="188"/>
      <c r="AH75" s="188"/>
      <c r="AI75" s="188"/>
      <c r="AJ75" s="188"/>
      <c r="AK75" s="188"/>
      <c r="AL75" s="188"/>
      <c r="AM75" s="188"/>
      <c r="AN75" s="188"/>
      <c r="AO75" s="188"/>
      <c r="AP75" s="188"/>
      <c r="AQ75" s="188"/>
      <c r="AR75" s="188"/>
      <c r="AS75" s="188"/>
      <c r="AT75" s="189"/>
      <c r="AU75" s="189"/>
      <c r="AV75" s="189"/>
      <c r="AW75" s="189"/>
      <c r="AX75" s="189"/>
      <c r="AY75" s="189"/>
      <c r="AZ75" s="189"/>
      <c r="BA75" s="189"/>
      <c r="BB75" s="189"/>
      <c r="BC75" s="189"/>
      <c r="BD75" s="189"/>
      <c r="BE75" s="188"/>
      <c r="BF75" s="188"/>
      <c r="BG75" s="188"/>
      <c r="BH75" s="188"/>
      <c r="BI75" s="188"/>
      <c r="BJ75" s="188"/>
      <c r="BK75" s="188"/>
      <c r="BL75" s="188"/>
      <c r="BM75" s="188"/>
      <c r="BN75" s="188"/>
      <c r="BO75" s="188"/>
      <c r="BP75" s="188"/>
      <c r="BQ75" s="188"/>
      <c r="BR75" s="188"/>
      <c r="BS75" s="188"/>
      <c r="BT75" s="188"/>
      <c r="BU75" s="188"/>
      <c r="BV75" s="188"/>
      <c r="BW75" s="188"/>
      <c r="BX75" s="188"/>
      <c r="BY75" s="188"/>
      <c r="BZ75" s="188"/>
      <c r="CA75" s="188"/>
      <c r="CB75" s="188"/>
      <c r="CC75" s="188"/>
      <c r="CD75" s="188"/>
      <c r="CE75" s="188"/>
      <c r="CF75" s="188"/>
      <c r="CG75" s="188"/>
      <c r="CH75" s="188"/>
      <c r="CI75" s="188"/>
      <c r="CJ75" s="188"/>
      <c r="CK75" s="188"/>
      <c r="CL75" s="188"/>
      <c r="CM75" s="188"/>
      <c r="CN75" s="188"/>
      <c r="CO75" s="188"/>
      <c r="CP75" s="188"/>
      <c r="CQ75" s="188"/>
      <c r="CR75" s="188"/>
      <c r="CS75" s="188"/>
      <c r="CT75" s="188"/>
      <c r="CU75" s="188"/>
      <c r="CV75" s="188"/>
      <c r="CW75" s="188"/>
      <c r="CX75" s="188"/>
      <c r="CY75" s="188"/>
      <c r="CZ75" s="188"/>
      <c r="DA75" s="188"/>
      <c r="DB75" s="188"/>
      <c r="DC75" s="188"/>
      <c r="DD75" s="188"/>
      <c r="DE75" s="188"/>
      <c r="DF75" s="188"/>
      <c r="DG75" s="188"/>
      <c r="DH75" s="188"/>
      <c r="DI75" s="188"/>
      <c r="DJ75" s="188"/>
      <c r="DK75" s="188"/>
      <c r="DL75" s="188"/>
      <c r="DM75" s="188"/>
      <c r="DN75" s="188"/>
      <c r="DO75" s="188"/>
      <c r="DP75" s="188"/>
      <c r="DQ75" s="188"/>
      <c r="DR75" s="188"/>
      <c r="DS75" s="188"/>
      <c r="DT75" s="188"/>
      <c r="DU75" s="188"/>
      <c r="DV75" s="188"/>
      <c r="DW75" s="188"/>
      <c r="DX75" s="188"/>
      <c r="DY75" s="188"/>
      <c r="DZ75" s="188"/>
      <c r="EA75" s="188"/>
      <c r="EB75" s="188"/>
      <c r="EC75" s="188"/>
      <c r="ED75" s="188"/>
      <c r="EE75" s="188"/>
      <c r="EF75" s="188"/>
      <c r="EG75" s="188"/>
      <c r="EH75" s="188"/>
      <c r="EI75" s="188"/>
      <c r="EJ75" s="188"/>
      <c r="EK75" s="188"/>
      <c r="EL75" s="188"/>
      <c r="EM75" s="188"/>
      <c r="EN75" s="188"/>
      <c r="EO75" s="188"/>
      <c r="EP75" s="188"/>
      <c r="EQ75" s="188"/>
      <c r="ER75" s="188"/>
      <c r="ES75" s="188"/>
      <c r="ET75" s="188"/>
      <c r="EU75" s="188"/>
      <c r="EV75" s="188"/>
      <c r="EW75" s="188"/>
      <c r="EX75" s="188"/>
      <c r="EY75" s="188"/>
      <c r="EZ75" s="188"/>
      <c r="FA75" s="188"/>
      <c r="FB75" s="188"/>
      <c r="FC75" s="188"/>
      <c r="FD75" s="188"/>
      <c r="FE75" s="188"/>
      <c r="FF75" s="188"/>
      <c r="FG75" s="188"/>
      <c r="FH75" s="188"/>
      <c r="FI75" s="188"/>
      <c r="FJ75" s="188"/>
      <c r="FK75" s="188"/>
      <c r="FL75" s="188"/>
      <c r="FM75" s="188"/>
      <c r="FN75" s="188"/>
      <c r="FO75" s="188"/>
      <c r="FP75" s="188"/>
      <c r="FQ75" s="188"/>
      <c r="FR75" s="188"/>
      <c r="FS75" s="188"/>
      <c r="FT75" s="188"/>
      <c r="FU75" s="188"/>
      <c r="FV75" s="188"/>
      <c r="FW75" s="188"/>
      <c r="FX75" s="188"/>
      <c r="FY75" s="188"/>
      <c r="FZ75" s="188"/>
      <c r="GA75" s="188"/>
      <c r="GB75" s="188"/>
      <c r="GC75" s="188"/>
      <c r="GD75" s="188"/>
      <c r="GE75" s="188"/>
      <c r="GF75" s="188"/>
      <c r="GG75" s="188"/>
      <c r="GH75" s="188"/>
      <c r="GI75" s="188"/>
      <c r="GJ75" s="188"/>
      <c r="GK75" s="188"/>
      <c r="GL75" s="188"/>
      <c r="GM75" s="188"/>
      <c r="GN75" s="188"/>
      <c r="GO75" s="188"/>
      <c r="GP75" s="188"/>
      <c r="GQ75" s="188"/>
      <c r="GR75" s="188"/>
      <c r="GS75" s="188"/>
      <c r="GT75" s="188"/>
      <c r="GU75" s="188"/>
      <c r="GV75" s="188"/>
      <c r="GW75" s="188"/>
      <c r="GX75" s="188"/>
      <c r="GY75" s="188"/>
      <c r="GZ75" s="188"/>
      <c r="HA75" s="188"/>
      <c r="HB75" s="188"/>
      <c r="HC75" s="188"/>
      <c r="HD75" s="188"/>
      <c r="HE75" s="188"/>
      <c r="HF75" s="188"/>
      <c r="HG75" s="188"/>
      <c r="HH75" s="188"/>
      <c r="HI75" s="188"/>
      <c r="HJ75" s="188"/>
      <c r="HK75" s="188"/>
      <c r="HL75" s="188"/>
      <c r="HM75" s="188"/>
      <c r="HN75" s="188"/>
      <c r="HO75" s="188"/>
      <c r="HP75" s="188"/>
      <c r="HQ75" s="188"/>
      <c r="HR75" s="188"/>
      <c r="HS75" s="188"/>
      <c r="HT75" s="188"/>
      <c r="HU75" s="188"/>
      <c r="HV75" s="188"/>
      <c r="HW75" s="188"/>
      <c r="HX75" s="188"/>
      <c r="HY75" s="188"/>
      <c r="HZ75" s="188"/>
      <c r="IA75" s="188"/>
      <c r="IB75" s="188"/>
      <c r="IC75" s="188"/>
      <c r="ID75" s="188"/>
      <c r="IE75" s="188"/>
      <c r="IF75" s="188"/>
      <c r="IG75" s="188"/>
      <c r="IH75" s="188"/>
      <c r="II75" s="188"/>
      <c r="IJ75" s="188"/>
      <c r="IK75" s="188"/>
      <c r="IL75" s="188"/>
      <c r="IM75" s="188"/>
      <c r="IN75" s="188"/>
      <c r="IO75" s="188"/>
      <c r="IP75" s="188"/>
      <c r="IQ75" s="188"/>
      <c r="IR75" s="188"/>
      <c r="IS75" s="188"/>
      <c r="IT75" s="188"/>
      <c r="IU75" s="188"/>
      <c r="IV75" s="188"/>
      <c r="IW75" s="188"/>
      <c r="IX75" s="188"/>
      <c r="IY75" s="188"/>
      <c r="IZ75" s="188"/>
      <c r="JA75" s="188"/>
      <c r="JB75" s="188"/>
      <c r="JC75" s="188"/>
      <c r="JD75" s="188"/>
      <c r="JE75" s="188"/>
      <c r="JF75" s="188"/>
      <c r="JG75" s="188"/>
      <c r="JH75" s="188"/>
      <c r="JI75" s="188"/>
      <c r="JJ75" s="188"/>
      <c r="JK75" s="188"/>
      <c r="JL75" s="188"/>
      <c r="JM75" s="188"/>
      <c r="JN75" s="188"/>
      <c r="JO75" s="188"/>
      <c r="JP75" s="188"/>
      <c r="JQ75" s="188"/>
      <c r="JR75" s="188"/>
      <c r="JS75" s="188"/>
      <c r="JT75" s="188"/>
      <c r="JU75" s="188"/>
      <c r="JV75" s="188"/>
      <c r="JW75" s="188"/>
      <c r="JX75" s="188"/>
      <c r="JY75" s="188"/>
      <c r="JZ75" s="188"/>
      <c r="KA75" s="188"/>
      <c r="KB75" s="188"/>
      <c r="KC75" s="188"/>
      <c r="KD75" s="188"/>
      <c r="KE75" s="188"/>
      <c r="KF75" s="188"/>
      <c r="KG75" s="188"/>
      <c r="KH75" s="188"/>
      <c r="KI75" s="188"/>
      <c r="KJ75" s="188"/>
      <c r="KK75" s="188"/>
      <c r="KL75" s="188"/>
      <c r="KM75" s="188"/>
      <c r="KN75" s="188"/>
      <c r="KO75" s="188"/>
      <c r="KP75" s="188"/>
      <c r="KQ75" s="188"/>
      <c r="KR75" s="188"/>
      <c r="KS75" s="188"/>
      <c r="KT75" s="188"/>
      <c r="KU75" s="188"/>
      <c r="KV75" s="188"/>
      <c r="KW75" s="188"/>
      <c r="KX75" s="188"/>
      <c r="KY75" s="188"/>
      <c r="KZ75" s="188"/>
      <c r="LA75" s="188"/>
      <c r="LB75" s="188"/>
      <c r="LC75" s="188"/>
      <c r="LD75" s="188"/>
      <c r="LE75" s="188"/>
      <c r="LF75" s="188"/>
      <c r="LG75" s="188"/>
      <c r="LH75" s="188"/>
      <c r="LI75" s="188"/>
      <c r="LJ75" s="188"/>
      <c r="LK75" s="188"/>
      <c r="LL75" s="188"/>
      <c r="LM75" s="188"/>
      <c r="LN75" s="188"/>
      <c r="LO75" s="188"/>
      <c r="LP75" s="188"/>
      <c r="LQ75" s="188"/>
      <c r="LR75" s="188"/>
      <c r="LS75" s="188"/>
      <c r="LT75" s="188"/>
      <c r="LU75" s="188"/>
      <c r="LV75" s="188"/>
      <c r="LW75" s="188"/>
      <c r="LX75" s="188"/>
      <c r="LY75" s="188"/>
      <c r="LZ75" s="188"/>
      <c r="MA75" s="188"/>
      <c r="MB75" s="188"/>
      <c r="MC75" s="188"/>
      <c r="MD75" s="188"/>
      <c r="ME75" s="188"/>
      <c r="MF75" s="188"/>
      <c r="MG75" s="188"/>
      <c r="MH75" s="188"/>
      <c r="MI75" s="188"/>
      <c r="MJ75" s="188"/>
      <c r="MK75" s="188"/>
      <c r="ML75" s="188"/>
      <c r="MM75" s="188"/>
      <c r="MN75" s="188"/>
      <c r="MO75" s="188"/>
      <c r="MP75" s="188"/>
      <c r="MQ75" s="188"/>
      <c r="MR75" s="188"/>
      <c r="MS75" s="188"/>
      <c r="MT75" s="188"/>
      <c r="MU75" s="188"/>
      <c r="MV75" s="188"/>
      <c r="MW75" s="188"/>
      <c r="MX75" s="188"/>
      <c r="MY75" s="188"/>
      <c r="MZ75" s="188"/>
      <c r="NA75" s="188"/>
      <c r="NB75" s="188"/>
      <c r="NC75" s="188"/>
      <c r="ND75" s="188"/>
      <c r="NE75" s="188"/>
      <c r="NF75" s="188"/>
      <c r="NG75" s="188"/>
      <c r="NH75" s="188"/>
      <c r="NI75" s="188"/>
      <c r="NJ75" s="188"/>
      <c r="NK75" s="188"/>
      <c r="NL75" s="188"/>
      <c r="NM75" s="188"/>
      <c r="NN75" s="188"/>
      <c r="NO75" s="188"/>
      <c r="NP75" s="188"/>
      <c r="NQ75" s="188"/>
      <c r="NR75" s="188"/>
      <c r="NS75" s="188"/>
      <c r="NT75" s="188"/>
      <c r="NU75" s="188"/>
      <c r="NV75" s="188"/>
      <c r="NW75" s="188"/>
      <c r="NX75" s="188"/>
      <c r="NY75" s="188"/>
      <c r="NZ75" s="188"/>
      <c r="OA75" s="188"/>
      <c r="OB75" s="188"/>
      <c r="OC75" s="188"/>
      <c r="OD75" s="188"/>
      <c r="OE75" s="188"/>
      <c r="OF75" s="188"/>
      <c r="OG75" s="188"/>
      <c r="OH75" s="188"/>
      <c r="OI75" s="188"/>
      <c r="OJ75" s="188"/>
      <c r="OK75" s="188"/>
      <c r="OL75" s="188"/>
      <c r="OM75" s="188"/>
      <c r="ON75" s="188"/>
      <c r="OO75" s="188"/>
      <c r="OP75" s="188"/>
      <c r="OQ75" s="188"/>
      <c r="OR75" s="188"/>
      <c r="OS75" s="188"/>
      <c r="OT75" s="188"/>
      <c r="OU75" s="188"/>
      <c r="OV75" s="188"/>
      <c r="OW75" s="188"/>
      <c r="OX75" s="188"/>
      <c r="OY75" s="188"/>
      <c r="OZ75" s="188"/>
      <c r="PA75" s="188"/>
      <c r="PB75" s="188"/>
      <c r="PC75" s="188"/>
      <c r="PD75" s="188"/>
      <c r="PE75" s="188"/>
      <c r="PF75" s="188"/>
      <c r="PG75" s="188"/>
      <c r="PH75" s="188"/>
      <c r="PI75" s="188"/>
      <c r="PJ75" s="188"/>
      <c r="PK75" s="188"/>
      <c r="PL75" s="188"/>
      <c r="PM75" s="188"/>
      <c r="PN75" s="188"/>
      <c r="PO75" s="188"/>
      <c r="PP75" s="188"/>
      <c r="PQ75" s="188"/>
      <c r="PR75" s="188"/>
      <c r="PS75" s="188"/>
      <c r="PT75" s="188"/>
      <c r="PU75" s="188"/>
      <c r="PV75" s="188"/>
      <c r="PW75" s="188"/>
      <c r="PX75" s="188"/>
      <c r="PY75" s="188"/>
      <c r="PZ75" s="188"/>
      <c r="QA75" s="188"/>
      <c r="QB75" s="188"/>
      <c r="QC75" s="188"/>
      <c r="QD75" s="188"/>
      <c r="QE75" s="188"/>
      <c r="QF75" s="188"/>
      <c r="QG75" s="188"/>
      <c r="QH75" s="188"/>
      <c r="QI75" s="188"/>
      <c r="QJ75" s="188"/>
      <c r="QK75" s="188"/>
      <c r="QL75" s="188"/>
      <c r="QM75" s="188"/>
      <c r="QN75" s="188"/>
      <c r="QO75" s="188"/>
      <c r="QP75" s="188"/>
      <c r="QQ75" s="188"/>
      <c r="QR75" s="188"/>
      <c r="QS75" s="188"/>
      <c r="QT75" s="188"/>
      <c r="QU75" s="188"/>
      <c r="QV75" s="188"/>
      <c r="QW75" s="188"/>
      <c r="QX75" s="188"/>
      <c r="QY75" s="188"/>
      <c r="QZ75" s="188"/>
      <c r="RA75" s="188"/>
      <c r="RB75" s="188"/>
      <c r="RC75" s="188"/>
      <c r="RD75" s="188"/>
      <c r="RE75" s="188"/>
      <c r="RF75" s="188"/>
      <c r="RG75" s="188"/>
      <c r="RH75" s="188"/>
      <c r="RI75" s="188"/>
      <c r="RJ75" s="188"/>
      <c r="RK75" s="188"/>
      <c r="RL75" s="188"/>
      <c r="RM75" s="188"/>
      <c r="RN75" s="188"/>
      <c r="RO75" s="188"/>
      <c r="RP75" s="188"/>
      <c r="RQ75" s="188"/>
      <c r="RR75" s="188"/>
      <c r="RS75" s="188"/>
      <c r="RT75" s="188"/>
      <c r="RU75" s="188"/>
      <c r="RV75" s="188"/>
      <c r="RW75" s="188"/>
      <c r="RX75" s="188"/>
      <c r="RY75" s="188"/>
      <c r="RZ75" s="188"/>
      <c r="SA75" s="188"/>
      <c r="SB75" s="188"/>
      <c r="SC75" s="188"/>
      <c r="SD75" s="188"/>
      <c r="SE75" s="188"/>
      <c r="SF75" s="188"/>
      <c r="SG75" s="188"/>
      <c r="SH75" s="188"/>
      <c r="SI75" s="188"/>
      <c r="SJ75" s="188"/>
      <c r="SK75" s="188"/>
      <c r="SL75" s="188"/>
      <c r="SM75" s="188"/>
      <c r="SN75" s="188"/>
      <c r="SO75" s="188"/>
      <c r="SP75" s="188"/>
      <c r="SQ75" s="188"/>
      <c r="SR75" s="188"/>
      <c r="SS75" s="188"/>
      <c r="ST75" s="188"/>
      <c r="SU75" s="188"/>
      <c r="SV75" s="188"/>
      <c r="SW75" s="188"/>
      <c r="SX75" s="188"/>
      <c r="SY75" s="188"/>
      <c r="SZ75" s="188"/>
      <c r="TA75" s="188"/>
      <c r="TB75" s="188"/>
      <c r="TC75" s="188"/>
      <c r="TD75" s="188"/>
      <c r="TE75" s="188"/>
      <c r="TF75" s="188"/>
      <c r="TG75" s="188"/>
      <c r="TH75" s="188"/>
      <c r="TI75" s="188"/>
      <c r="TJ75" s="188"/>
      <c r="TK75" s="188"/>
      <c r="TL75" s="188"/>
      <c r="TM75" s="188"/>
      <c r="TN75" s="188"/>
      <c r="TO75" s="188"/>
      <c r="TP75" s="188"/>
      <c r="TQ75" s="188"/>
      <c r="TR75" s="188"/>
      <c r="TS75" s="188"/>
      <c r="TT75" s="188"/>
      <c r="TU75" s="188"/>
      <c r="TV75" s="188"/>
      <c r="TW75" s="188"/>
      <c r="TX75" s="188"/>
      <c r="TY75" s="188"/>
      <c r="TZ75" s="188"/>
      <c r="UA75" s="188"/>
      <c r="UB75" s="188"/>
      <c r="UC75" s="188"/>
      <c r="UD75" s="188"/>
      <c r="UE75" s="188"/>
      <c r="UF75" s="188"/>
      <c r="UG75" s="188"/>
      <c r="UH75" s="188"/>
      <c r="UI75" s="188"/>
      <c r="UJ75" s="188"/>
      <c r="UK75" s="188"/>
      <c r="UL75" s="188"/>
      <c r="UM75" s="188"/>
      <c r="UN75" s="188"/>
      <c r="UO75" s="188"/>
      <c r="UP75" s="188"/>
      <c r="UQ75" s="188"/>
      <c r="UR75" s="188"/>
      <c r="US75" s="188"/>
      <c r="UT75" s="188"/>
      <c r="UU75" s="188"/>
      <c r="UV75" s="188"/>
      <c r="UW75" s="188"/>
      <c r="UX75" s="188"/>
      <c r="UY75" s="188"/>
      <c r="UZ75" s="188"/>
      <c r="VA75" s="188"/>
      <c r="VB75" s="188"/>
      <c r="VC75" s="188"/>
      <c r="VD75" s="188"/>
      <c r="VE75" s="188"/>
      <c r="VF75" s="188"/>
      <c r="VG75" s="188"/>
      <c r="VH75" s="188"/>
      <c r="VI75" s="188"/>
      <c r="VJ75" s="188"/>
      <c r="VK75" s="188"/>
      <c r="VL75" s="188"/>
      <c r="VM75" s="188"/>
      <c r="VN75" s="188"/>
      <c r="VO75" s="188"/>
      <c r="VP75" s="188"/>
      <c r="VQ75" s="188"/>
      <c r="VR75" s="188"/>
      <c r="VS75" s="188"/>
      <c r="VT75" s="188"/>
      <c r="VU75" s="188"/>
      <c r="VV75" s="188"/>
      <c r="VW75" s="188"/>
      <c r="VX75" s="188"/>
      <c r="VY75" s="188"/>
      <c r="VZ75" s="188"/>
      <c r="WA75" s="188"/>
      <c r="WB75" s="188"/>
      <c r="WC75" s="188"/>
      <c r="WD75" s="188"/>
      <c r="WE75" s="188"/>
      <c r="WF75" s="188"/>
      <c r="WG75" s="188"/>
      <c r="WH75" s="188"/>
      <c r="WI75" s="188"/>
      <c r="WJ75" s="188"/>
      <c r="WK75" s="188"/>
      <c r="WL75" s="188"/>
      <c r="WM75" s="188"/>
      <c r="WN75" s="188"/>
      <c r="WO75" s="188"/>
      <c r="WP75" s="188"/>
      <c r="WQ75" s="188"/>
      <c r="WR75" s="188"/>
      <c r="WS75" s="188"/>
      <c r="WT75" s="188"/>
      <c r="WU75" s="188"/>
      <c r="WV75" s="188"/>
      <c r="WW75" s="188"/>
      <c r="WX75" s="188"/>
      <c r="WY75" s="188"/>
      <c r="WZ75" s="188"/>
      <c r="XA75" s="188"/>
      <c r="XB75" s="188"/>
      <c r="XC75" s="188"/>
      <c r="XD75" s="188"/>
      <c r="XE75" s="188"/>
      <c r="XF75" s="188"/>
      <c r="XG75" s="188"/>
      <c r="XH75" s="188"/>
      <c r="XI75" s="188"/>
      <c r="XJ75" s="188"/>
      <c r="XK75" s="188"/>
      <c r="XL75" s="188"/>
      <c r="XM75" s="188"/>
      <c r="XN75" s="188"/>
      <c r="XO75" s="188"/>
      <c r="XP75" s="188"/>
      <c r="XQ75" s="188"/>
      <c r="XR75" s="188"/>
      <c r="XS75" s="188"/>
      <c r="XT75" s="188"/>
      <c r="XU75" s="188"/>
      <c r="XV75" s="188"/>
      <c r="XW75" s="188"/>
      <c r="XX75" s="188"/>
      <c r="XY75" s="188"/>
      <c r="XZ75" s="188"/>
      <c r="YA75" s="188"/>
      <c r="YB75" s="188"/>
      <c r="YC75" s="188"/>
      <c r="YD75" s="188"/>
      <c r="YE75" s="188"/>
      <c r="YF75" s="188"/>
      <c r="YG75" s="188"/>
      <c r="YH75" s="188"/>
      <c r="YI75" s="188"/>
      <c r="YJ75" s="188"/>
      <c r="YK75" s="188"/>
      <c r="YL75" s="188"/>
      <c r="YM75" s="188"/>
      <c r="YN75" s="188"/>
      <c r="YO75" s="188"/>
      <c r="YP75" s="188"/>
      <c r="YQ75" s="188"/>
      <c r="YR75" s="188"/>
      <c r="YS75" s="188"/>
      <c r="YT75" s="188"/>
      <c r="YU75" s="188"/>
      <c r="YV75" s="188"/>
      <c r="YW75" s="188"/>
      <c r="YX75" s="188"/>
      <c r="YY75" s="188"/>
      <c r="YZ75" s="188"/>
      <c r="ZA75" s="188"/>
      <c r="ZB75" s="188"/>
      <c r="ZC75" s="188"/>
      <c r="ZD75" s="188"/>
      <c r="ZE75" s="188"/>
      <c r="ZF75" s="188"/>
      <c r="ZG75" s="188"/>
      <c r="ZH75" s="188"/>
      <c r="ZI75" s="188"/>
      <c r="ZJ75" s="188"/>
      <c r="ZK75" s="188"/>
      <c r="ZL75" s="188"/>
      <c r="ZM75" s="188"/>
      <c r="ZN75" s="188"/>
      <c r="ZO75" s="188"/>
      <c r="ZP75" s="188"/>
      <c r="ZQ75" s="188"/>
      <c r="ZR75" s="188"/>
      <c r="ZS75" s="188"/>
      <c r="ZT75" s="188"/>
      <c r="ZU75" s="188"/>
      <c r="ZV75" s="188"/>
      <c r="ZW75" s="188"/>
      <c r="ZX75" s="188"/>
      <c r="ZY75" s="188"/>
      <c r="ZZ75" s="188"/>
      <c r="AAA75" s="188"/>
      <c r="AAB75" s="188"/>
      <c r="AAC75" s="188"/>
      <c r="AAD75" s="188"/>
      <c r="AAE75" s="188"/>
      <c r="AAF75" s="188"/>
      <c r="AAG75" s="188"/>
      <c r="AAH75" s="188"/>
      <c r="AAI75" s="188"/>
      <c r="AAJ75" s="188"/>
      <c r="AAK75" s="188"/>
      <c r="AAL75" s="188"/>
      <c r="AAM75" s="188"/>
      <c r="AAN75" s="188"/>
      <c r="AAO75" s="188"/>
      <c r="AAP75" s="188"/>
      <c r="AAQ75" s="188"/>
      <c r="AAR75" s="188"/>
      <c r="AAS75" s="188"/>
      <c r="AAT75" s="188"/>
      <c r="AAU75" s="188"/>
      <c r="AAV75" s="188"/>
      <c r="AAW75" s="188"/>
      <c r="AAX75" s="188"/>
      <c r="AAY75" s="188"/>
      <c r="AAZ75" s="188"/>
      <c r="ABA75" s="188"/>
      <c r="ABB75" s="188"/>
      <c r="ABC75" s="188"/>
      <c r="ABD75" s="188"/>
      <c r="ABE75" s="188"/>
      <c r="ABF75" s="188"/>
      <c r="ABG75" s="188"/>
      <c r="ABH75" s="188"/>
      <c r="ABI75" s="188"/>
      <c r="ABJ75" s="188"/>
      <c r="ABK75" s="188"/>
      <c r="ABL75" s="188"/>
      <c r="ABM75" s="188"/>
      <c r="ABN75" s="188"/>
      <c r="ABO75" s="188"/>
      <c r="ABP75" s="188"/>
      <c r="ABQ75" s="188"/>
      <c r="ABR75" s="188"/>
      <c r="ABS75" s="188"/>
      <c r="ABT75" s="188"/>
      <c r="ABU75" s="188"/>
      <c r="ABV75" s="188"/>
      <c r="ABW75" s="188"/>
      <c r="ABX75" s="188"/>
      <c r="ABY75" s="188"/>
      <c r="ABZ75" s="188"/>
      <c r="ACA75" s="188"/>
      <c r="ACB75" s="188"/>
      <c r="ACC75" s="188"/>
      <c r="ACD75" s="188"/>
      <c r="ACE75" s="188"/>
      <c r="ACF75" s="188"/>
      <c r="ACG75" s="188"/>
      <c r="ACH75" s="188"/>
      <c r="ACI75" s="188"/>
      <c r="ACJ75" s="188"/>
      <c r="ACK75" s="188"/>
      <c r="ACL75" s="188"/>
      <c r="ACM75" s="188"/>
      <c r="ACN75" s="188"/>
      <c r="ACO75" s="188"/>
      <c r="ACP75" s="188"/>
      <c r="ACQ75" s="188"/>
      <c r="ACR75" s="188"/>
      <c r="ACS75" s="188"/>
      <c r="ACT75" s="188"/>
      <c r="ACU75" s="188"/>
      <c r="ACV75" s="188"/>
      <c r="ACW75" s="188"/>
      <c r="ACX75" s="188"/>
      <c r="ACY75" s="188"/>
      <c r="ACZ75" s="188"/>
      <c r="ADA75" s="188"/>
      <c r="ADB75" s="188"/>
      <c r="ADC75" s="188"/>
      <c r="ADD75" s="188"/>
      <c r="ADE75" s="188"/>
      <c r="ADF75" s="188"/>
      <c r="ADG75" s="188"/>
      <c r="ADH75" s="188"/>
      <c r="ADI75" s="188"/>
      <c r="ADJ75" s="188"/>
      <c r="ADK75" s="188"/>
      <c r="ADL75" s="188"/>
      <c r="ADM75" s="188"/>
      <c r="ADN75" s="188"/>
      <c r="ADO75" s="188"/>
      <c r="ADP75" s="188"/>
      <c r="ADQ75" s="188"/>
      <c r="ADR75" s="188"/>
      <c r="ADS75" s="188"/>
      <c r="ADT75" s="188"/>
      <c r="ADU75" s="188"/>
      <c r="ADV75" s="188"/>
      <c r="ADW75" s="188"/>
      <c r="ADX75" s="188"/>
      <c r="ADY75" s="188"/>
      <c r="ADZ75" s="188"/>
      <c r="AEA75" s="188"/>
      <c r="AEB75" s="188"/>
      <c r="AEC75" s="188"/>
      <c r="AED75" s="188"/>
      <c r="AEE75" s="188"/>
      <c r="AEF75" s="188"/>
      <c r="AEG75" s="188"/>
      <c r="AEH75" s="188"/>
      <c r="AEI75" s="188"/>
      <c r="AEJ75" s="188"/>
      <c r="AEK75" s="188"/>
      <c r="AEL75" s="188"/>
      <c r="AEM75" s="188"/>
      <c r="AEN75" s="188"/>
      <c r="AEO75" s="188"/>
      <c r="AEP75" s="188"/>
      <c r="AEQ75" s="188"/>
      <c r="AER75" s="188"/>
      <c r="AES75" s="188"/>
      <c r="AET75" s="188"/>
      <c r="AEU75" s="188"/>
      <c r="AEV75" s="188"/>
      <c r="AEW75" s="188"/>
      <c r="AEX75" s="188"/>
      <c r="AEY75" s="188"/>
      <c r="AEZ75" s="188"/>
      <c r="AFA75" s="188"/>
      <c r="AFB75" s="188"/>
      <c r="AFC75" s="188"/>
      <c r="AFD75" s="188"/>
      <c r="AFE75" s="188"/>
      <c r="AFF75" s="188"/>
      <c r="AFG75" s="188"/>
      <c r="AFH75" s="188"/>
      <c r="AFI75" s="188"/>
      <c r="AFJ75" s="188"/>
      <c r="AFK75" s="188"/>
      <c r="AFL75" s="188"/>
      <c r="AFM75" s="188"/>
      <c r="AFN75" s="188"/>
      <c r="AFO75" s="188"/>
      <c r="AFP75" s="188"/>
      <c r="AFQ75" s="188"/>
      <c r="AFR75" s="188"/>
      <c r="AFS75" s="188"/>
      <c r="AFT75" s="188"/>
      <c r="AFU75" s="188"/>
      <c r="AFV75" s="188"/>
      <c r="AFW75" s="188"/>
      <c r="AFX75" s="188"/>
      <c r="AFY75" s="188"/>
      <c r="AFZ75" s="188"/>
      <c r="AGA75" s="188"/>
      <c r="AGB75" s="188"/>
      <c r="AGC75" s="188"/>
      <c r="AGD75" s="188"/>
      <c r="AGE75" s="188"/>
      <c r="AGF75" s="188"/>
      <c r="AGG75" s="188"/>
      <c r="AGH75" s="188"/>
      <c r="AGI75" s="188"/>
      <c r="AGJ75" s="188"/>
      <c r="AGK75" s="188"/>
      <c r="AGL75" s="188"/>
      <c r="AGM75" s="188"/>
      <c r="AGN75" s="188"/>
      <c r="AGO75" s="188"/>
      <c r="AGP75" s="188"/>
      <c r="AGQ75" s="188"/>
      <c r="AGR75" s="188"/>
      <c r="AGS75" s="188"/>
      <c r="AGT75" s="188"/>
      <c r="AGU75" s="188"/>
      <c r="AGV75" s="188"/>
      <c r="AGW75" s="188"/>
      <c r="AGX75" s="188"/>
      <c r="AGY75" s="188"/>
      <c r="AGZ75" s="188"/>
      <c r="AHA75" s="188"/>
      <c r="AHB75" s="188"/>
      <c r="AHC75" s="188"/>
      <c r="AHD75" s="188"/>
      <c r="AHE75" s="188"/>
      <c r="AHF75" s="188"/>
      <c r="AHG75" s="188"/>
      <c r="AHH75" s="188"/>
      <c r="AHI75" s="188"/>
      <c r="AHJ75" s="188"/>
      <c r="AHK75" s="188"/>
      <c r="AHL75" s="188"/>
      <c r="AHM75" s="188"/>
      <c r="AHN75" s="188"/>
      <c r="AHO75" s="188"/>
      <c r="AHP75" s="188"/>
      <c r="AHQ75" s="188"/>
      <c r="AHR75" s="188"/>
      <c r="AHS75" s="188"/>
      <c r="AHT75" s="188"/>
      <c r="AHU75" s="188"/>
      <c r="AHV75" s="188"/>
      <c r="AHW75" s="188"/>
      <c r="AHX75" s="188"/>
      <c r="AHY75" s="188"/>
      <c r="AHZ75" s="188"/>
      <c r="AIA75" s="188"/>
      <c r="AIB75" s="188"/>
      <c r="AIC75" s="188"/>
      <c r="AID75" s="188"/>
      <c r="AIE75" s="188"/>
      <c r="AIF75" s="188"/>
      <c r="AIG75" s="188"/>
      <c r="AIH75" s="188"/>
      <c r="AII75" s="188"/>
      <c r="AIJ75" s="188"/>
      <c r="AIK75" s="188"/>
      <c r="AIL75" s="188"/>
      <c r="AIM75" s="188"/>
      <c r="AIN75" s="188"/>
      <c r="AIO75" s="188"/>
      <c r="AIP75" s="188"/>
      <c r="AIQ75" s="188"/>
      <c r="AIR75" s="188"/>
      <c r="AIS75" s="188"/>
      <c r="AIT75" s="188"/>
      <c r="AIU75" s="188"/>
      <c r="AIV75" s="188"/>
      <c r="AIW75" s="188"/>
      <c r="AIX75" s="188"/>
      <c r="AIY75" s="188"/>
      <c r="AIZ75" s="188"/>
      <c r="AJA75" s="188"/>
      <c r="AJB75" s="188"/>
      <c r="AJC75" s="188"/>
      <c r="AJD75" s="188"/>
      <c r="AJE75" s="188"/>
      <c r="AJF75" s="188"/>
      <c r="AJG75" s="188"/>
      <c r="AJH75" s="188"/>
      <c r="AJI75" s="188"/>
      <c r="AJJ75" s="188"/>
      <c r="AJK75" s="188"/>
      <c r="AJL75" s="188"/>
      <c r="AJM75" s="188"/>
      <c r="AJN75" s="188"/>
      <c r="AJO75" s="188"/>
      <c r="AJP75" s="188"/>
      <c r="AJQ75" s="188"/>
      <c r="AJR75" s="188"/>
      <c r="AJS75" s="188"/>
      <c r="AJT75" s="188"/>
      <c r="AJU75" s="188"/>
      <c r="AJV75" s="188"/>
      <c r="AJW75" s="188"/>
      <c r="AJX75" s="188"/>
      <c r="AJY75" s="188"/>
      <c r="AJZ75" s="188"/>
      <c r="AKA75" s="188"/>
      <c r="AKB75" s="188"/>
      <c r="AKC75" s="188"/>
      <c r="AKD75" s="188"/>
      <c r="AKE75" s="188"/>
      <c r="AKF75" s="188"/>
      <c r="AKG75" s="188"/>
      <c r="AKH75" s="188"/>
      <c r="AKI75" s="188"/>
      <c r="AKJ75" s="188"/>
      <c r="AKK75" s="188"/>
      <c r="AKL75" s="188"/>
      <c r="AKM75" s="188"/>
      <c r="AKN75" s="188"/>
      <c r="AKO75" s="188"/>
      <c r="AKP75" s="188"/>
      <c r="AKQ75" s="188"/>
      <c r="AKR75" s="188"/>
      <c r="AKS75" s="188"/>
      <c r="AKT75" s="188"/>
      <c r="AKU75" s="188"/>
      <c r="AKV75" s="188"/>
      <c r="AKW75" s="188"/>
      <c r="AKX75" s="188"/>
      <c r="AKY75" s="188"/>
      <c r="AKZ75" s="188"/>
      <c r="ALA75" s="188"/>
      <c r="ALB75" s="188"/>
      <c r="ALC75" s="188"/>
      <c r="ALD75" s="188"/>
      <c r="ALE75" s="188"/>
      <c r="ALF75" s="188"/>
      <c r="ALG75" s="188"/>
      <c r="ALH75" s="188"/>
      <c r="ALI75" s="188"/>
      <c r="ALJ75" s="188"/>
      <c r="ALK75" s="188"/>
      <c r="ALL75" s="188"/>
      <c r="ALM75" s="188"/>
      <c r="ALN75" s="188"/>
      <c r="ALO75" s="188"/>
      <c r="ALP75" s="188"/>
      <c r="ALQ75" s="188"/>
      <c r="ALR75" s="188"/>
      <c r="ALS75" s="188"/>
      <c r="ALT75" s="188"/>
      <c r="ALU75" s="188"/>
      <c r="ALV75" s="188"/>
      <c r="ALW75" s="188"/>
      <c r="ALX75" s="188"/>
      <c r="ALY75" s="188"/>
      <c r="ALZ75" s="188"/>
      <c r="AMA75" s="188"/>
      <c r="AMB75" s="188"/>
      <c r="AMC75" s="188"/>
      <c r="AMD75" s="188"/>
      <c r="AME75" s="188"/>
      <c r="AMF75" s="188"/>
      <c r="AMG75" s="188"/>
      <c r="AMH75" s="188"/>
      <c r="AMI75" s="188"/>
      <c r="AMJ75" s="188"/>
      <c r="AMK75" s="188"/>
      <c r="AML75" s="188"/>
      <c r="AMM75" s="188"/>
      <c r="AMN75" s="188"/>
      <c r="AMO75" s="188"/>
      <c r="AMP75" s="188"/>
      <c r="AMQ75" s="188"/>
      <c r="AMR75" s="188"/>
      <c r="AMS75" s="188"/>
      <c r="AMT75" s="188"/>
      <c r="AMU75" s="188"/>
      <c r="AMV75" s="188"/>
      <c r="AMW75" s="188"/>
      <c r="AMX75" s="188"/>
      <c r="AMY75" s="188"/>
      <c r="AMZ75" s="188"/>
      <c r="ANA75" s="188"/>
      <c r="ANB75" s="188"/>
      <c r="ANC75" s="188"/>
      <c r="AND75" s="188"/>
      <c r="ANE75" s="188"/>
      <c r="ANF75" s="188"/>
      <c r="ANG75" s="188"/>
      <c r="ANH75" s="188"/>
      <c r="ANI75" s="188"/>
      <c r="ANJ75" s="188"/>
      <c r="ANK75" s="188"/>
      <c r="ANL75" s="188"/>
      <c r="ANM75" s="188"/>
      <c r="ANN75" s="188"/>
      <c r="ANO75" s="188"/>
      <c r="ANP75" s="188"/>
      <c r="ANQ75" s="188"/>
      <c r="ANR75" s="188"/>
      <c r="ANS75" s="188"/>
      <c r="ANT75" s="188"/>
      <c r="ANU75" s="188"/>
      <c r="ANV75" s="188"/>
      <c r="ANW75" s="188"/>
      <c r="ANX75" s="188"/>
      <c r="ANY75" s="188"/>
      <c r="ANZ75" s="188"/>
      <c r="AOA75" s="188"/>
      <c r="AOB75" s="188"/>
      <c r="AOC75" s="188"/>
      <c r="AOD75" s="188"/>
      <c r="AOE75" s="188"/>
      <c r="AOF75" s="188"/>
      <c r="AOG75" s="188"/>
      <c r="AOH75" s="188"/>
      <c r="AOI75" s="188"/>
      <c r="AOJ75" s="188"/>
      <c r="AOK75" s="188"/>
      <c r="AOL75" s="188"/>
      <c r="AOM75" s="188"/>
      <c r="AON75" s="188"/>
      <c r="AOO75" s="188"/>
      <c r="AOP75" s="188"/>
      <c r="AOQ75" s="188"/>
      <c r="AOR75" s="188"/>
      <c r="AOS75" s="188"/>
      <c r="AOT75" s="188"/>
      <c r="AOU75" s="188"/>
      <c r="AOV75" s="188"/>
      <c r="AOW75" s="188"/>
      <c r="AOX75" s="188"/>
      <c r="AOY75" s="188"/>
      <c r="AOZ75" s="188"/>
      <c r="APA75" s="188"/>
      <c r="APB75" s="188"/>
      <c r="APC75" s="188"/>
      <c r="APD75" s="188"/>
      <c r="APE75" s="188"/>
      <c r="APF75" s="188"/>
      <c r="APG75" s="188"/>
      <c r="APH75" s="188"/>
      <c r="API75" s="188"/>
      <c r="APJ75" s="188"/>
      <c r="APK75" s="188"/>
      <c r="APL75" s="188"/>
      <c r="APM75" s="188"/>
      <c r="APN75" s="188"/>
      <c r="APO75" s="188"/>
      <c r="APP75" s="188"/>
      <c r="APQ75" s="188"/>
      <c r="APR75" s="188"/>
      <c r="APS75" s="188"/>
      <c r="APT75" s="188"/>
      <c r="APU75" s="188"/>
      <c r="APV75" s="188"/>
      <c r="APW75" s="188"/>
      <c r="APX75" s="188"/>
      <c r="APY75" s="188"/>
      <c r="APZ75" s="188"/>
      <c r="AQA75" s="188"/>
      <c r="AQB75" s="188"/>
      <c r="AQC75" s="188"/>
      <c r="AQD75" s="188"/>
      <c r="AQE75" s="188"/>
      <c r="AQF75" s="188"/>
      <c r="AQG75" s="188"/>
      <c r="AQH75" s="188"/>
      <c r="AQI75" s="188"/>
      <c r="AQJ75" s="188"/>
      <c r="AQK75" s="188"/>
      <c r="AQL75" s="188"/>
      <c r="AQM75" s="188"/>
      <c r="AQN75" s="188"/>
      <c r="AQO75" s="188"/>
      <c r="AQP75" s="188"/>
      <c r="AQQ75" s="188"/>
      <c r="AQR75" s="188"/>
      <c r="AQS75" s="188"/>
      <c r="AQT75" s="188"/>
      <c r="AQU75" s="188"/>
      <c r="AQV75" s="188"/>
      <c r="AQW75" s="188"/>
      <c r="AQX75" s="188"/>
      <c r="AQY75" s="188"/>
      <c r="AQZ75" s="188"/>
      <c r="ARA75" s="188"/>
      <c r="ARB75" s="188"/>
      <c r="ARC75" s="188"/>
      <c r="ARD75" s="188"/>
      <c r="ARE75" s="188"/>
      <c r="ARF75" s="188"/>
      <c r="ARG75" s="188"/>
      <c r="ARH75" s="188"/>
      <c r="ARI75" s="188"/>
      <c r="ARJ75" s="188"/>
      <c r="ARK75" s="188"/>
      <c r="ARL75" s="188"/>
      <c r="ARM75" s="188"/>
      <c r="ARN75" s="188"/>
      <c r="ARO75" s="188"/>
      <c r="ARP75" s="188"/>
      <c r="ARQ75" s="188"/>
      <c r="ARR75" s="188"/>
      <c r="ARS75" s="188"/>
      <c r="ART75" s="188"/>
      <c r="ARU75" s="188"/>
      <c r="ARV75" s="188"/>
      <c r="ARW75" s="188"/>
      <c r="ARX75" s="188"/>
      <c r="ARY75" s="188"/>
      <c r="ARZ75" s="188"/>
      <c r="ASA75" s="188"/>
      <c r="ASB75" s="188"/>
      <c r="ASC75" s="188"/>
      <c r="ASD75" s="188"/>
      <c r="ASE75" s="188"/>
      <c r="ASF75" s="188"/>
      <c r="ASG75" s="188"/>
      <c r="ASH75" s="188"/>
      <c r="ASI75" s="188"/>
      <c r="ASJ75" s="188"/>
      <c r="ASK75" s="188"/>
      <c r="ASL75" s="188"/>
      <c r="ASM75" s="188"/>
      <c r="ASN75" s="188"/>
      <c r="ASO75" s="188"/>
      <c r="ASP75" s="188"/>
      <c r="ASQ75" s="188"/>
      <c r="ASR75" s="188"/>
      <c r="ASS75" s="188"/>
      <c r="AST75" s="188"/>
      <c r="ASU75" s="188"/>
      <c r="ASV75" s="188"/>
      <c r="ASW75" s="188"/>
      <c r="ASX75" s="188"/>
      <c r="ASY75" s="188"/>
      <c r="ASZ75" s="188"/>
      <c r="ATA75" s="188"/>
      <c r="ATB75" s="188"/>
      <c r="ATC75" s="188"/>
      <c r="ATD75" s="188"/>
      <c r="ATE75" s="188"/>
      <c r="ATF75" s="188"/>
      <c r="ATG75" s="188"/>
      <c r="ATH75" s="188"/>
      <c r="ATI75" s="188"/>
      <c r="ATJ75" s="188"/>
      <c r="ATK75" s="188"/>
      <c r="ATL75" s="188"/>
      <c r="ATM75" s="188"/>
      <c r="ATN75" s="188"/>
      <c r="ATO75" s="188"/>
      <c r="ATP75" s="188"/>
      <c r="ATQ75" s="188"/>
      <c r="ATR75" s="188"/>
      <c r="ATS75" s="188"/>
      <c r="ATT75" s="188"/>
      <c r="ATU75" s="188"/>
      <c r="ATV75" s="188"/>
      <c r="ATW75" s="188"/>
      <c r="ATX75" s="188"/>
      <c r="ATY75" s="188"/>
      <c r="ATZ75" s="188"/>
      <c r="AUA75" s="188"/>
      <c r="AUB75" s="188"/>
      <c r="AUC75" s="188"/>
      <c r="AUD75" s="188"/>
      <c r="AUE75" s="188"/>
      <c r="AUF75" s="188"/>
      <c r="AUG75" s="188"/>
      <c r="AUH75" s="188"/>
      <c r="AUI75" s="188"/>
      <c r="AUJ75" s="188"/>
      <c r="AUK75" s="188"/>
      <c r="AUL75" s="188"/>
      <c r="AUM75" s="188"/>
      <c r="AUN75" s="188"/>
      <c r="AUO75" s="188"/>
      <c r="AUP75" s="188"/>
      <c r="AUQ75" s="188"/>
      <c r="AUR75" s="188"/>
      <c r="AUS75" s="188"/>
      <c r="AUT75" s="188"/>
      <c r="AUU75" s="188"/>
      <c r="AUV75" s="188"/>
      <c r="AUW75" s="188"/>
      <c r="AUX75" s="188"/>
      <c r="AUY75" s="188"/>
      <c r="AUZ75" s="188"/>
      <c r="AVA75" s="188"/>
      <c r="AVB75" s="188"/>
      <c r="AVC75" s="188"/>
      <c r="AVD75" s="188"/>
      <c r="AVE75" s="188"/>
      <c r="AVF75" s="188"/>
      <c r="AVG75" s="188"/>
      <c r="AVH75" s="188"/>
      <c r="AVI75" s="188"/>
      <c r="AVJ75" s="188"/>
      <c r="AVK75" s="188"/>
      <c r="AVL75" s="188"/>
      <c r="AVM75" s="188"/>
      <c r="AVN75" s="188"/>
      <c r="AVO75" s="188"/>
      <c r="AVP75" s="188"/>
      <c r="AVQ75" s="188"/>
      <c r="AVR75" s="188"/>
      <c r="AVS75" s="188"/>
      <c r="AVT75" s="188"/>
      <c r="AVU75" s="188"/>
      <c r="AVV75" s="188"/>
      <c r="AVW75" s="188"/>
      <c r="AVX75" s="188"/>
      <c r="AVY75" s="188"/>
      <c r="AVZ75" s="188"/>
      <c r="AWA75" s="188"/>
      <c r="AWB75" s="188"/>
      <c r="AWC75" s="188"/>
      <c r="AWD75" s="188"/>
      <c r="AWE75" s="188"/>
      <c r="AWF75" s="188"/>
      <c r="AWG75" s="188"/>
      <c r="AWH75" s="188"/>
      <c r="AWI75" s="188"/>
      <c r="AWJ75" s="188"/>
      <c r="AWK75" s="188"/>
      <c r="AWL75" s="188"/>
      <c r="AWM75" s="188"/>
      <c r="AWN75" s="188"/>
      <c r="AWO75" s="188"/>
      <c r="AWP75" s="188"/>
      <c r="AWQ75" s="188"/>
      <c r="AWR75" s="188"/>
      <c r="AWS75" s="188"/>
      <c r="AWT75" s="188"/>
      <c r="AWU75" s="188"/>
      <c r="AWV75" s="188"/>
      <c r="AWW75" s="188"/>
      <c r="AWX75" s="188"/>
      <c r="AWY75" s="188"/>
      <c r="AWZ75" s="188"/>
      <c r="AXA75" s="188"/>
      <c r="AXB75" s="188"/>
      <c r="AXC75" s="188"/>
      <c r="AXD75" s="188"/>
      <c r="AXE75" s="188"/>
      <c r="AXF75" s="188"/>
      <c r="AXG75" s="188"/>
      <c r="AXH75" s="188"/>
      <c r="AXI75" s="188"/>
      <c r="AXJ75" s="188"/>
      <c r="AXK75" s="188"/>
      <c r="AXL75" s="188"/>
      <c r="AXM75" s="188"/>
      <c r="AXN75" s="188"/>
      <c r="AXO75" s="188"/>
      <c r="AXP75" s="188"/>
      <c r="AXQ75" s="188"/>
      <c r="AXR75" s="188"/>
      <c r="AXS75" s="188"/>
      <c r="AXT75" s="188"/>
      <c r="AXU75" s="188"/>
      <c r="AXV75" s="188"/>
      <c r="AXW75" s="188"/>
      <c r="AXX75" s="188"/>
      <c r="AXY75" s="188"/>
      <c r="AXZ75" s="188"/>
      <c r="AYA75" s="188"/>
      <c r="AYB75" s="188"/>
      <c r="AYC75" s="188"/>
      <c r="AYD75" s="188"/>
      <c r="AYE75" s="188"/>
      <c r="AYF75" s="188"/>
      <c r="AYG75" s="188"/>
      <c r="AYH75" s="188"/>
      <c r="AYI75" s="188"/>
      <c r="AYJ75" s="188"/>
      <c r="AYK75" s="188"/>
      <c r="AYL75" s="188"/>
      <c r="AYM75" s="188"/>
      <c r="AYN75" s="188"/>
      <c r="AYO75" s="188"/>
      <c r="AYP75" s="188"/>
      <c r="AYQ75" s="188"/>
      <c r="AYR75" s="188"/>
      <c r="AYS75" s="188"/>
      <c r="AYT75" s="188"/>
      <c r="AYU75" s="188"/>
      <c r="AYV75" s="188"/>
      <c r="AYW75" s="188"/>
      <c r="AYX75" s="188"/>
      <c r="AYY75" s="188"/>
      <c r="AYZ75" s="188"/>
      <c r="AZA75" s="188"/>
      <c r="AZB75" s="188"/>
      <c r="AZC75" s="188"/>
      <c r="AZD75" s="188"/>
      <c r="AZE75" s="188"/>
      <c r="AZF75" s="188"/>
      <c r="AZG75" s="188"/>
      <c r="AZH75" s="188"/>
      <c r="AZI75" s="188"/>
      <c r="AZJ75" s="188"/>
      <c r="AZK75" s="188"/>
      <c r="AZL75" s="188"/>
      <c r="AZM75" s="188"/>
      <c r="AZN75" s="188"/>
      <c r="AZO75" s="188"/>
      <c r="AZP75" s="188"/>
      <c r="AZQ75" s="188"/>
      <c r="AZR75" s="188"/>
      <c r="AZS75" s="188"/>
      <c r="AZT75" s="188"/>
      <c r="AZU75" s="188"/>
      <c r="AZV75" s="188"/>
      <c r="AZW75" s="188"/>
      <c r="AZX75" s="188"/>
      <c r="AZY75" s="188"/>
      <c r="AZZ75" s="188"/>
      <c r="BAA75" s="188"/>
      <c r="BAB75" s="188"/>
      <c r="BAC75" s="188"/>
      <c r="BAD75" s="188"/>
      <c r="BAE75" s="188"/>
      <c r="BAF75" s="188"/>
      <c r="BAG75" s="188"/>
      <c r="BAH75" s="188"/>
      <c r="BAI75" s="188"/>
      <c r="BAJ75" s="188"/>
      <c r="BAK75" s="188"/>
      <c r="BAL75" s="188"/>
      <c r="BAM75" s="188"/>
      <c r="BAN75" s="188"/>
      <c r="BAO75" s="188"/>
      <c r="BAP75" s="188"/>
      <c r="BAQ75" s="188"/>
      <c r="BAR75" s="188"/>
      <c r="BAS75" s="188"/>
      <c r="BAT75" s="188"/>
      <c r="BAU75" s="188"/>
      <c r="BAV75" s="188"/>
      <c r="BAW75" s="188"/>
      <c r="BAX75" s="188"/>
      <c r="BAY75" s="188"/>
      <c r="BAZ75" s="188"/>
      <c r="BBA75" s="188"/>
      <c r="BBB75" s="188"/>
      <c r="BBC75" s="188"/>
      <c r="BBD75" s="188"/>
      <c r="BBE75" s="188"/>
      <c r="BBF75" s="188"/>
      <c r="BBG75" s="188"/>
      <c r="BBH75" s="188"/>
      <c r="BBI75" s="188"/>
      <c r="BBJ75" s="188"/>
      <c r="BBK75" s="188"/>
      <c r="BBL75" s="188"/>
      <c r="BBM75" s="188"/>
      <c r="BBN75" s="188"/>
      <c r="BBO75" s="188"/>
      <c r="BBP75" s="188"/>
      <c r="BBQ75" s="188"/>
      <c r="BBR75" s="188"/>
      <c r="BBS75" s="188"/>
      <c r="BBT75" s="188"/>
      <c r="BBU75" s="188"/>
      <c r="BBV75" s="188"/>
      <c r="BBW75" s="188"/>
      <c r="BBX75" s="188"/>
      <c r="BBY75" s="188"/>
      <c r="BBZ75" s="188"/>
      <c r="BCA75" s="188"/>
      <c r="BCB75" s="188"/>
      <c r="BCC75" s="188"/>
      <c r="BCD75" s="188"/>
      <c r="BCE75" s="188"/>
      <c r="BCF75" s="188"/>
      <c r="BCG75" s="188"/>
      <c r="BCH75" s="188"/>
      <c r="BCI75" s="188"/>
      <c r="BCJ75" s="188"/>
      <c r="BCK75" s="188"/>
      <c r="BCL75" s="188"/>
      <c r="BCM75" s="188"/>
      <c r="BCN75" s="188"/>
      <c r="BCO75" s="188"/>
      <c r="BCP75" s="188"/>
      <c r="BCQ75" s="188"/>
      <c r="BCR75" s="188"/>
      <c r="BCS75" s="188"/>
      <c r="BCT75" s="188"/>
      <c r="BCU75" s="188"/>
      <c r="BCV75" s="188"/>
      <c r="BCW75" s="188"/>
      <c r="BCX75" s="188"/>
      <c r="BCY75" s="188"/>
      <c r="BCZ75" s="188"/>
      <c r="BDA75" s="188"/>
      <c r="BDB75" s="188"/>
      <c r="BDC75" s="188"/>
      <c r="BDD75" s="188"/>
      <c r="BDE75" s="188"/>
      <c r="BDF75" s="188"/>
      <c r="BDG75" s="188"/>
      <c r="BDH75" s="188"/>
      <c r="BDI75" s="188"/>
      <c r="BDJ75" s="188"/>
      <c r="BDK75" s="188"/>
      <c r="BDL75" s="188"/>
      <c r="BDM75" s="188"/>
      <c r="BDN75" s="188"/>
      <c r="BDO75" s="188"/>
      <c r="BDP75" s="188"/>
      <c r="BDQ75" s="188"/>
      <c r="BDR75" s="188"/>
      <c r="BDS75" s="188"/>
      <c r="BDT75" s="188"/>
      <c r="BDU75" s="188"/>
      <c r="BDV75" s="188"/>
      <c r="BDW75" s="188"/>
      <c r="BDX75" s="188"/>
      <c r="BDY75" s="188"/>
      <c r="BDZ75" s="188"/>
      <c r="BEA75" s="188"/>
      <c r="BEB75" s="188"/>
      <c r="BEC75" s="188"/>
      <c r="BED75" s="188"/>
      <c r="BEE75" s="188"/>
      <c r="BEF75" s="188"/>
      <c r="BEG75" s="188"/>
      <c r="BEH75" s="188"/>
      <c r="BEI75" s="188"/>
      <c r="BEJ75" s="188"/>
      <c r="BEK75" s="188"/>
      <c r="BEL75" s="188"/>
      <c r="BEM75" s="188"/>
      <c r="BEN75" s="188"/>
      <c r="BEO75" s="188"/>
      <c r="BEP75" s="188"/>
      <c r="BEQ75" s="188"/>
      <c r="BER75" s="188"/>
      <c r="BES75" s="188"/>
      <c r="BET75" s="188"/>
      <c r="BEU75" s="188"/>
      <c r="BEV75" s="188"/>
      <c r="BEW75" s="188"/>
      <c r="BEX75" s="188"/>
      <c r="BEY75" s="188"/>
      <c r="BEZ75" s="188"/>
      <c r="BFA75" s="188"/>
      <c r="BFB75" s="188"/>
      <c r="BFC75" s="188"/>
      <c r="BFD75" s="188"/>
      <c r="BFE75" s="188"/>
      <c r="BFF75" s="188"/>
      <c r="BFG75" s="188"/>
      <c r="BFH75" s="188"/>
      <c r="BFI75" s="188"/>
      <c r="BFJ75" s="188"/>
      <c r="BFK75" s="188"/>
      <c r="BFL75" s="188"/>
      <c r="BFM75" s="188"/>
      <c r="BFN75" s="188"/>
      <c r="BFO75" s="188"/>
      <c r="BFP75" s="188"/>
      <c r="BFQ75" s="188"/>
      <c r="BFR75" s="188"/>
      <c r="BFS75" s="188"/>
      <c r="BFT75" s="188"/>
      <c r="BFU75" s="188"/>
      <c r="BFV75" s="188"/>
      <c r="BFW75" s="188"/>
      <c r="BFX75" s="188"/>
      <c r="BFY75" s="188"/>
      <c r="BFZ75" s="188"/>
      <c r="BGA75" s="188"/>
      <c r="BGB75" s="188"/>
      <c r="BGC75" s="188"/>
      <c r="BGD75" s="188"/>
      <c r="BGE75" s="188"/>
      <c r="BGF75" s="188"/>
      <c r="BGG75" s="188"/>
      <c r="BGH75" s="188"/>
      <c r="BGI75" s="188"/>
      <c r="BGJ75" s="188"/>
      <c r="BGK75" s="188"/>
      <c r="BGL75" s="188"/>
      <c r="BGM75" s="188"/>
      <c r="BGN75" s="188"/>
      <c r="BGO75" s="188"/>
      <c r="BGP75" s="188"/>
      <c r="BGQ75" s="188"/>
      <c r="BGR75" s="188"/>
      <c r="BGS75" s="188"/>
      <c r="BGT75" s="188"/>
      <c r="BGU75" s="188"/>
      <c r="BGV75" s="188"/>
      <c r="BGW75" s="188"/>
      <c r="BGX75" s="188"/>
      <c r="BGY75" s="188"/>
      <c r="BGZ75" s="188"/>
      <c r="BHA75" s="188"/>
      <c r="BHB75" s="188"/>
      <c r="BHC75" s="188"/>
      <c r="BHD75" s="188"/>
      <c r="BHE75" s="188"/>
      <c r="BHF75" s="188"/>
      <c r="BHG75" s="188"/>
      <c r="BHH75" s="188"/>
      <c r="BHI75" s="188"/>
      <c r="BHJ75" s="188"/>
      <c r="BHK75" s="188"/>
      <c r="BHL75" s="188"/>
      <c r="BHM75" s="188"/>
      <c r="BHN75" s="188"/>
      <c r="BHO75" s="188"/>
      <c r="BHP75" s="188"/>
      <c r="BHQ75" s="188"/>
      <c r="BHR75" s="188"/>
      <c r="BHS75" s="188"/>
      <c r="BHT75" s="188"/>
      <c r="BHU75" s="188"/>
      <c r="BHV75" s="188"/>
      <c r="BHW75" s="188"/>
      <c r="BHX75" s="188"/>
      <c r="BHY75" s="188"/>
      <c r="BHZ75" s="188"/>
      <c r="BIA75" s="188"/>
      <c r="BIB75" s="188"/>
      <c r="BIC75" s="188"/>
      <c r="BID75" s="188"/>
      <c r="BIE75" s="188"/>
      <c r="BIF75" s="188"/>
      <c r="BIG75" s="188"/>
      <c r="BIH75" s="188"/>
      <c r="BII75" s="188"/>
      <c r="BIJ75" s="188"/>
      <c r="BIK75" s="188"/>
      <c r="BIL75" s="188"/>
      <c r="BIM75" s="188"/>
      <c r="BIN75" s="188"/>
      <c r="BIO75" s="188"/>
      <c r="BIP75" s="188"/>
      <c r="BIQ75" s="188"/>
      <c r="BIR75" s="188"/>
      <c r="BIS75" s="188"/>
      <c r="BIT75" s="188"/>
      <c r="BIU75" s="188"/>
      <c r="BIV75" s="188"/>
      <c r="BIW75" s="188"/>
      <c r="BIX75" s="188"/>
      <c r="BIY75" s="188"/>
      <c r="BIZ75" s="188"/>
      <c r="BJA75" s="188"/>
      <c r="BJB75" s="188"/>
      <c r="BJC75" s="188"/>
      <c r="BJD75" s="188"/>
      <c r="BJE75" s="188"/>
      <c r="BJF75" s="188"/>
      <c r="BJG75" s="188"/>
      <c r="BJH75" s="188"/>
      <c r="BJI75" s="188"/>
      <c r="BJJ75" s="188"/>
      <c r="BJK75" s="188"/>
      <c r="BJL75" s="188"/>
      <c r="BJM75" s="188"/>
      <c r="BJN75" s="188"/>
      <c r="BJO75" s="188"/>
      <c r="BJP75" s="188"/>
      <c r="BJQ75" s="188"/>
      <c r="BJR75" s="188"/>
      <c r="BJS75" s="188"/>
      <c r="BJT75" s="188"/>
      <c r="BJU75" s="188"/>
      <c r="BJV75" s="188"/>
      <c r="BJW75" s="188"/>
      <c r="BJX75" s="188"/>
      <c r="BJY75" s="188"/>
      <c r="BJZ75" s="188"/>
      <c r="BKA75" s="188"/>
      <c r="BKB75" s="188"/>
      <c r="BKC75" s="188"/>
      <c r="BKD75" s="188"/>
      <c r="BKE75" s="188"/>
      <c r="BKF75" s="188"/>
      <c r="BKG75" s="188"/>
      <c r="BKH75" s="188"/>
      <c r="BKI75" s="188"/>
      <c r="BKJ75" s="188"/>
      <c r="BKK75" s="188"/>
      <c r="BKL75" s="188"/>
      <c r="BKM75" s="188"/>
      <c r="BKN75" s="188"/>
    </row>
  </sheetData>
  <sheetProtection sheet="1" objects="1" scenarios="1" formatCells="0" formatColumns="0" formatRows="0" insertHyperlinks="0" selectLockedCells="1" sort="0" autoFilter="0"/>
  <conditionalFormatting sqref="B5:H24">
    <cfRule type="expression" dxfId="68" priority="8">
      <formula>MOD(ROW(A1),2)=0</formula>
    </cfRule>
    <cfRule type="expression" dxfId="67" priority="9">
      <formula>MOD(ROW(A2),2)=0</formula>
    </cfRule>
  </conditionalFormatting>
  <conditionalFormatting sqref="D5:D24">
    <cfRule type="iconSet" priority="5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E5:E24">
    <cfRule type="iconSet" priority="3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F5:F24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dataValidations count="2">
    <dataValidation type="list" allowBlank="1" showInputMessage="1" showErrorMessage="1" sqref="H5:H21" xr:uid="{00000000-0002-0000-1700-000000000000}">
      <formula1>"1,2,3"</formula1>
    </dataValidation>
    <dataValidation type="list" allowBlank="1" showInputMessage="1" showErrorMessage="1" sqref="D5:F24" xr:uid="{00000000-0002-0000-1700-000001000000}">
      <formula1>"1,2,3,4,5,6,7,8,9,10"</formula1>
    </dataValidation>
  </dataValidations>
  <printOptions horizontalCentered="1"/>
  <pageMargins left="0.23622047244094491" right="0.23622047244094491" top="0.15748031496062992" bottom="0.15748031496062992" header="0" footer="0.11811023622047245"/>
  <pageSetup paperSize="8" scale="92" orientation="portrait" horizontalDpi="1200" verticalDpi="1200" r:id="rId1"/>
  <headerFooter alignWithMargins="0">
    <oddFooter>&amp;L&amp;8&amp;K00-049(c)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23FDDAB8-F29A-47CE-9001-41267DFA7490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H5:H24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Tabelle34">
    <tabColor theme="6" tint="0.59999389629810485"/>
  </sheetPr>
  <dimension ref="A1:H76"/>
  <sheetViews>
    <sheetView showGridLines="0" zoomScaleNormal="100" workbookViewId="0">
      <pane ySplit="1" topLeftCell="A2" activePane="bottomLeft" state="frozen"/>
      <selection activeCell="K1" sqref="K1"/>
      <selection pane="bottomLeft" activeCell="C26" sqref="C26"/>
    </sheetView>
  </sheetViews>
  <sheetFormatPr baseColWidth="10" defaultColWidth="12.5546875" defaultRowHeight="14.4" x14ac:dyDescent="0.3"/>
  <cols>
    <col min="1" max="1" width="7" style="7" customWidth="1"/>
    <col min="2" max="2" width="4.5546875" style="16" customWidth="1"/>
    <col min="3" max="3" width="29" style="16" customWidth="1"/>
    <col min="4" max="4" width="6.109375" style="16" customWidth="1"/>
    <col min="5" max="5" width="9.88671875" style="16" bestFit="1" customWidth="1"/>
    <col min="6" max="6" width="39.6640625" style="16" customWidth="1"/>
    <col min="7" max="7" width="7" style="16" customWidth="1"/>
    <col min="8" max="16" width="4" style="16" customWidth="1"/>
    <col min="17" max="16384" width="12.5546875" style="16"/>
  </cols>
  <sheetData>
    <row r="1" spans="1:8" s="12" customFormat="1" ht="44.4" customHeight="1" x14ac:dyDescent="0.3">
      <c r="A1" s="11"/>
      <c r="B1" s="978" t="str">
        <f ca="1">' '!A175</f>
        <v>C O Û T S   D E   L ' I N N O V A T I O N</v>
      </c>
      <c r="C1" s="11"/>
      <c r="D1" s="11"/>
      <c r="E1" s="11"/>
      <c r="F1" s="11"/>
      <c r="G1" s="260"/>
      <c r="H1" s="13"/>
    </row>
    <row r="2" spans="1:8" s="12" customFormat="1" ht="18.75" customHeight="1" x14ac:dyDescent="0.3">
      <c r="A2" s="13"/>
      <c r="B2" s="14"/>
      <c r="C2" s="13"/>
      <c r="D2" s="13"/>
      <c r="E2" s="13"/>
      <c r="F2" s="13"/>
      <c r="G2" s="13"/>
      <c r="H2" s="13"/>
    </row>
    <row r="3" spans="1:8" s="8" customFormat="1" ht="22.5" customHeight="1" x14ac:dyDescent="0.3">
      <c r="A3" s="7"/>
      <c r="B3" s="61"/>
    </row>
    <row r="4" spans="1:8" x14ac:dyDescent="0.3">
      <c r="A4" s="60"/>
    </row>
    <row r="24" spans="2:7" ht="12.75" customHeight="1" x14ac:dyDescent="0.3">
      <c r="C24" s="8"/>
    </row>
    <row r="25" spans="2:7" ht="33.75" customHeight="1" x14ac:dyDescent="0.3">
      <c r="B25" s="340" t="str">
        <f ca="1">' '!A179</f>
        <v>No.</v>
      </c>
      <c r="C25" s="341" t="str">
        <f ca="1">' '!A176</f>
        <v>Coûts</v>
      </c>
      <c r="D25" s="341" t="str">
        <f ca="1">' '!A177</f>
        <v>en %</v>
      </c>
      <c r="E25" s="755" t="str">
        <f ca="1">' '!A178</f>
        <v>Influença-bilité?</v>
      </c>
      <c r="F25" s="341" t="str">
        <f ca="1">' '!A181</f>
        <v>Mesures</v>
      </c>
      <c r="G25" s="342" t="str">
        <f ca="1">' '!A180</f>
        <v>Statut</v>
      </c>
    </row>
    <row r="26" spans="2:7" ht="23.4" x14ac:dyDescent="0.3">
      <c r="B26" s="726">
        <v>1</v>
      </c>
      <c r="C26" s="731" t="s">
        <v>537</v>
      </c>
      <c r="D26" s="756">
        <v>0.8</v>
      </c>
      <c r="E26" s="757">
        <v>2</v>
      </c>
      <c r="F26" s="758"/>
      <c r="G26" s="732">
        <v>2</v>
      </c>
    </row>
    <row r="27" spans="2:7" ht="23.4" x14ac:dyDescent="0.3">
      <c r="B27" s="759">
        <v>2</v>
      </c>
      <c r="C27" s="737" t="s">
        <v>538</v>
      </c>
      <c r="D27" s="760">
        <v>0.1</v>
      </c>
      <c r="E27" s="757"/>
      <c r="F27" s="739"/>
      <c r="G27" s="362"/>
    </row>
    <row r="28" spans="2:7" ht="23.4" x14ac:dyDescent="0.3">
      <c r="B28" s="761">
        <v>3</v>
      </c>
      <c r="C28" s="739"/>
      <c r="D28" s="762"/>
      <c r="E28" s="757"/>
      <c r="F28" s="758"/>
      <c r="G28" s="361"/>
    </row>
    <row r="29" spans="2:7" ht="23.4" x14ac:dyDescent="0.3">
      <c r="B29" s="759">
        <v>4</v>
      </c>
      <c r="C29" s="739"/>
      <c r="D29" s="762"/>
      <c r="E29" s="757"/>
      <c r="F29" s="739"/>
      <c r="G29" s="362"/>
    </row>
    <row r="30" spans="2:7" ht="23.4" x14ac:dyDescent="0.3">
      <c r="B30" s="761">
        <v>5</v>
      </c>
      <c r="C30" s="737"/>
      <c r="D30" s="762"/>
      <c r="E30" s="757"/>
      <c r="F30" s="758"/>
      <c r="G30" s="361"/>
    </row>
    <row r="31" spans="2:7" ht="23.4" x14ac:dyDescent="0.3">
      <c r="B31" s="759">
        <v>6</v>
      </c>
      <c r="C31" s="737"/>
      <c r="D31" s="762"/>
      <c r="E31" s="757"/>
      <c r="F31" s="739"/>
      <c r="G31" s="362"/>
    </row>
    <row r="32" spans="2:7" ht="23.4" x14ac:dyDescent="0.3">
      <c r="B32" s="761">
        <v>7</v>
      </c>
      <c r="C32" s="737"/>
      <c r="D32" s="762"/>
      <c r="E32" s="757"/>
      <c r="F32" s="758"/>
      <c r="G32" s="361"/>
    </row>
    <row r="33" spans="2:7" ht="23.4" x14ac:dyDescent="0.3">
      <c r="B33" s="759">
        <v>8</v>
      </c>
      <c r="C33" s="737"/>
      <c r="D33" s="762"/>
      <c r="E33" s="757"/>
      <c r="F33" s="739"/>
      <c r="G33" s="362"/>
    </row>
    <row r="34" spans="2:7" ht="23.4" x14ac:dyDescent="0.3">
      <c r="B34" s="761">
        <v>9</v>
      </c>
      <c r="C34" s="737"/>
      <c r="D34" s="762"/>
      <c r="E34" s="757"/>
      <c r="F34" s="758"/>
      <c r="G34" s="361"/>
    </row>
    <row r="35" spans="2:7" ht="23.4" x14ac:dyDescent="0.3">
      <c r="B35" s="759">
        <v>10</v>
      </c>
      <c r="C35" s="737"/>
      <c r="D35" s="762"/>
      <c r="E35" s="757"/>
      <c r="F35" s="739"/>
      <c r="G35" s="362"/>
    </row>
    <row r="36" spans="2:7" ht="23.4" x14ac:dyDescent="0.3">
      <c r="B36" s="761">
        <v>11</v>
      </c>
      <c r="C36" s="737"/>
      <c r="D36" s="762"/>
      <c r="E36" s="757"/>
      <c r="F36" s="758"/>
      <c r="G36" s="361"/>
    </row>
    <row r="37" spans="2:7" ht="23.4" x14ac:dyDescent="0.3">
      <c r="B37" s="759">
        <v>12</v>
      </c>
      <c r="C37" s="737"/>
      <c r="D37" s="762"/>
      <c r="E37" s="757"/>
      <c r="F37" s="739"/>
      <c r="G37" s="362"/>
    </row>
    <row r="38" spans="2:7" ht="23.4" x14ac:dyDescent="0.3">
      <c r="B38" s="761">
        <v>13</v>
      </c>
      <c r="C38" s="737"/>
      <c r="D38" s="762"/>
      <c r="E38" s="757"/>
      <c r="F38" s="758"/>
      <c r="G38" s="361"/>
    </row>
    <row r="39" spans="2:7" ht="23.4" x14ac:dyDescent="0.3">
      <c r="B39" s="759">
        <v>14</v>
      </c>
      <c r="C39" s="737"/>
      <c r="D39" s="762"/>
      <c r="E39" s="757"/>
      <c r="F39" s="739"/>
      <c r="G39" s="362"/>
    </row>
    <row r="40" spans="2:7" ht="23.4" x14ac:dyDescent="0.3">
      <c r="B40" s="763">
        <v>15</v>
      </c>
      <c r="C40" s="746"/>
      <c r="D40" s="764"/>
      <c r="E40" s="765"/>
      <c r="F40" s="766"/>
      <c r="G40" s="747"/>
    </row>
    <row r="41" spans="2:7" ht="15.6" x14ac:dyDescent="0.3">
      <c r="B41" s="56"/>
      <c r="C41" s="753" t="s">
        <v>466</v>
      </c>
      <c r="D41" s="754">
        <f>SUM(D26:D40)</f>
        <v>0.9</v>
      </c>
      <c r="E41" s="239"/>
      <c r="F41" s="51"/>
      <c r="G41" s="52"/>
    </row>
    <row r="42" spans="2:7" x14ac:dyDescent="0.3">
      <c r="B42" s="335" t="s">
        <v>1776</v>
      </c>
      <c r="C42"/>
    </row>
    <row r="57" spans="4:4" x14ac:dyDescent="0.3">
      <c r="D57" s="22"/>
    </row>
    <row r="58" spans="4:4" x14ac:dyDescent="0.3">
      <c r="D58" s="8"/>
    </row>
    <row r="59" spans="4:4" x14ac:dyDescent="0.3">
      <c r="D59" s="8"/>
    </row>
    <row r="60" spans="4:4" x14ac:dyDescent="0.3">
      <c r="D60" s="8"/>
    </row>
    <row r="61" spans="4:4" x14ac:dyDescent="0.3">
      <c r="D61" s="8"/>
    </row>
    <row r="62" spans="4:4" x14ac:dyDescent="0.3">
      <c r="D62" s="8"/>
    </row>
    <row r="63" spans="4:4" x14ac:dyDescent="0.3">
      <c r="D63" s="8"/>
    </row>
    <row r="64" spans="4:4" x14ac:dyDescent="0.3">
      <c r="D64" s="8"/>
    </row>
    <row r="65" spans="1:4" x14ac:dyDescent="0.3">
      <c r="D65" s="8"/>
    </row>
    <row r="66" spans="1:4" x14ac:dyDescent="0.3">
      <c r="D66" s="8"/>
    </row>
    <row r="67" spans="1:4" x14ac:dyDescent="0.3">
      <c r="D67" s="8"/>
    </row>
    <row r="68" spans="1:4" x14ac:dyDescent="0.3">
      <c r="D68" s="8"/>
    </row>
    <row r="69" spans="1:4" x14ac:dyDescent="0.3">
      <c r="D69" s="8"/>
    </row>
    <row r="70" spans="1:4" x14ac:dyDescent="0.3">
      <c r="D70" s="8"/>
    </row>
    <row r="71" spans="1:4" x14ac:dyDescent="0.3">
      <c r="D71" s="8"/>
    </row>
    <row r="72" spans="1:4" x14ac:dyDescent="0.3">
      <c r="D72" s="8"/>
    </row>
    <row r="73" spans="1:4" x14ac:dyDescent="0.3">
      <c r="A73" s="20"/>
      <c r="D73" s="8"/>
    </row>
    <row r="74" spans="1:4" x14ac:dyDescent="0.3">
      <c r="D74" s="8"/>
    </row>
    <row r="75" spans="1:4" x14ac:dyDescent="0.3">
      <c r="D75" s="8"/>
    </row>
    <row r="76" spans="1:4" x14ac:dyDescent="0.3">
      <c r="D76" s="8"/>
    </row>
  </sheetData>
  <sheetProtection sheet="1" objects="1" scenarios="1" formatCells="0" formatColumns="0" formatRows="0" insertHyperlinks="0" selectLockedCells="1" sort="0" autoFilter="0"/>
  <conditionalFormatting sqref="B26:G40">
    <cfRule type="expression" dxfId="66" priority="1">
      <formula>MOD(ROW(A1),2)=0</formula>
    </cfRule>
    <cfRule type="expression" dxfId="65" priority="2">
      <formula>MOD(ROW(A2),2)=0</formula>
    </cfRule>
  </conditionalFormatting>
  <dataValidations count="2">
    <dataValidation type="list" allowBlank="1" showInputMessage="1" showErrorMessage="1" sqref="E26:E41" xr:uid="{00000000-0002-0000-1800-000000000000}">
      <formula1>"1,2,3,4,5"</formula1>
    </dataValidation>
    <dataValidation type="list" allowBlank="1" showInputMessage="1" showErrorMessage="1" sqref="G26:G41" xr:uid="{00000000-0002-0000-1800-000001000000}">
      <formula1>"1,2,3"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9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DC503569-B153-4D25-A9D0-9ABA638E399C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E26:E40</xm:sqref>
        </x14:conditionalFormatting>
        <x14:conditionalFormatting xmlns:xm="http://schemas.microsoft.com/office/excel/2006/main">
          <x14:cfRule type="iconSet" priority="8" id="{CB315320-BF17-4BDC-9820-AE3DFEAE5930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G26:G40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Tabelle20">
    <tabColor theme="4" tint="0.59999389629810485"/>
    <pageSetUpPr fitToPage="1"/>
  </sheetPr>
  <dimension ref="A1:O93"/>
  <sheetViews>
    <sheetView showGridLines="0" zoomScaleNormal="100" workbookViewId="0">
      <pane ySplit="6" topLeftCell="A7" activePane="bottomLeft" state="frozen"/>
      <selection activeCell="K1" sqref="K1"/>
      <selection pane="bottomLeft" activeCell="A2" sqref="A2"/>
    </sheetView>
  </sheetViews>
  <sheetFormatPr baseColWidth="10" defaultColWidth="11.44140625" defaultRowHeight="18.75" customHeight="1" x14ac:dyDescent="0.3"/>
  <cols>
    <col min="1" max="1" width="6" style="633" customWidth="1"/>
    <col min="2" max="2" width="3.6640625" style="698" bestFit="1" customWidth="1"/>
    <col min="3" max="3" width="27.6640625" style="638" customWidth="1"/>
    <col min="4" max="4" width="3.33203125" style="699" customWidth="1"/>
    <col min="5" max="5" width="28.33203125" style="638" customWidth="1"/>
    <col min="6" max="6" width="7.109375" style="640" bestFit="1" customWidth="1"/>
    <col min="7" max="7" width="4.5546875" style="641" customWidth="1"/>
    <col min="8" max="8" width="3.33203125" style="698" customWidth="1"/>
    <col min="9" max="9" width="41.5546875" style="638" customWidth="1"/>
    <col min="10" max="10" width="3.109375" style="638" bestFit="1" customWidth="1"/>
    <col min="11" max="13" width="10.33203125" style="638" bestFit="1" customWidth="1"/>
    <col min="14" max="14" width="4.5546875" style="641" customWidth="1"/>
    <col min="15" max="15" width="3.88671875" style="642" customWidth="1"/>
    <col min="16" max="35" width="3.88671875" style="371" customWidth="1"/>
    <col min="36" max="16384" width="11.44140625" style="371"/>
  </cols>
  <sheetData>
    <row r="1" spans="1:15" s="316" customFormat="1" ht="44.4" customHeight="1" x14ac:dyDescent="0.3">
      <c r="A1" s="401"/>
      <c r="B1" s="400"/>
      <c r="C1" s="198" t="str">
        <f ca="1">' '!A452</f>
        <v>T A B L E A U   D E   B O R D   I N N O V A T I O N</v>
      </c>
      <c r="D1" s="620"/>
      <c r="E1" s="198"/>
      <c r="F1" s="198"/>
      <c r="G1" s="198"/>
      <c r="H1" s="198"/>
      <c r="I1" s="704"/>
      <c r="J1" s="704"/>
      <c r="K1" s="198"/>
      <c r="L1" s="198"/>
      <c r="M1" s="198"/>
      <c r="N1" s="317"/>
      <c r="O1" s="623"/>
    </row>
    <row r="2" spans="1:15" s="316" customFormat="1" ht="0.9" customHeight="1" x14ac:dyDescent="0.3">
      <c r="A2" s="624"/>
      <c r="B2" s="401"/>
      <c r="C2" s="199"/>
      <c r="D2" s="625"/>
      <c r="E2" s="199"/>
      <c r="F2" s="199"/>
      <c r="G2" s="199"/>
      <c r="H2" s="199"/>
      <c r="I2" s="705"/>
      <c r="J2" s="705"/>
      <c r="K2" s="199"/>
      <c r="L2" s="199"/>
      <c r="M2" s="199"/>
      <c r="N2" s="706"/>
      <c r="O2" s="623"/>
    </row>
    <row r="3" spans="1:15" customFormat="1" ht="20.25" customHeight="1" x14ac:dyDescent="0.3">
      <c r="A3" s="627"/>
      <c r="B3" s="628"/>
      <c r="C3" s="322"/>
      <c r="D3" s="629"/>
      <c r="E3" s="628"/>
      <c r="F3" s="628"/>
      <c r="N3" s="320"/>
      <c r="O3" s="197"/>
    </row>
    <row r="4" spans="1:15" ht="6" customHeight="1" x14ac:dyDescent="0.3">
      <c r="B4" s="634"/>
      <c r="C4" s="634"/>
      <c r="D4" s="635"/>
      <c r="E4" s="634"/>
      <c r="F4" s="634"/>
      <c r="G4" s="636"/>
      <c r="H4" s="637"/>
      <c r="N4" s="707"/>
    </row>
    <row r="5" spans="1:15" s="592" customFormat="1" ht="18.75" customHeight="1" x14ac:dyDescent="0.3">
      <c r="A5" s="643"/>
      <c r="B5" s="644" t="str">
        <f ca="1">' '!A431</f>
        <v>No.</v>
      </c>
      <c r="C5" s="645" t="str">
        <f ca="1">' '!A439</f>
        <v>Objectifs Innovation</v>
      </c>
      <c r="D5" s="646" t="str">
        <f ca="1">B5</f>
        <v>No.</v>
      </c>
      <c r="E5" s="647" t="str">
        <f ca="1">' '!A440</f>
        <v>Indicateurs</v>
      </c>
      <c r="F5" s="651" t="str">
        <f ca="1">' '!A436</f>
        <v>atteint</v>
      </c>
      <c r="G5" s="652"/>
      <c r="H5" s="646" t="str">
        <f ca="1">B5</f>
        <v>No.</v>
      </c>
      <c r="I5" s="708" t="str">
        <f ca="1">' '!A441</f>
        <v>Projets</v>
      </c>
      <c r="J5" s="709" t="s">
        <v>1819</v>
      </c>
      <c r="K5" s="710" t="str">
        <f ca="1">' '!A445</f>
        <v>Qui?</v>
      </c>
      <c r="L5" s="710" t="str">
        <f ca="1">' '!A443</f>
        <v>Début</v>
      </c>
      <c r="M5" s="710" t="str">
        <f ca="1">' '!A444</f>
        <v>Fin</v>
      </c>
      <c r="N5" s="711"/>
      <c r="O5" s="661"/>
    </row>
    <row r="6" spans="1:15" s="666" customFormat="1" ht="9" customHeight="1" x14ac:dyDescent="0.25">
      <c r="A6" s="662"/>
      <c r="B6" s="663"/>
      <c r="C6" s="241"/>
      <c r="D6" s="664"/>
      <c r="E6" s="241"/>
      <c r="F6" s="242"/>
      <c r="G6" s="242"/>
      <c r="H6" s="663"/>
      <c r="I6" s="244"/>
      <c r="J6" s="712"/>
      <c r="K6" s="244"/>
      <c r="L6" s="244"/>
      <c r="M6" s="244"/>
      <c r="N6" s="243"/>
      <c r="O6" s="665"/>
    </row>
    <row r="7" spans="1:15" ht="15.6" x14ac:dyDescent="0.3">
      <c r="B7" s="663">
        <v>1</v>
      </c>
      <c r="C7" s="1133" t="str">
        <f>IF(Massnahmen!C7&lt;&gt;"",Massnahmen!C7,"")</f>
        <v>Ziel 1</v>
      </c>
      <c r="D7" s="1076" t="s">
        <v>992</v>
      </c>
      <c r="E7" s="1134" t="str">
        <f>IF(Massnahmen!E7&lt;&gt;"",Massnahmen!E7,"")</f>
        <v>Indikator 1</v>
      </c>
      <c r="F7" s="1071">
        <f>Massnahmen!I7</f>
        <v>0.5</v>
      </c>
      <c r="G7" s="1132">
        <f>Massnahmen!L7</f>
        <v>3</v>
      </c>
      <c r="H7" s="669" t="s">
        <v>1820</v>
      </c>
      <c r="I7" s="877" t="s">
        <v>856</v>
      </c>
      <c r="J7" s="714">
        <v>1</v>
      </c>
      <c r="K7" s="715"/>
      <c r="L7" s="715"/>
      <c r="M7" s="715"/>
      <c r="N7" s="716">
        <v>3</v>
      </c>
      <c r="O7" s="623"/>
    </row>
    <row r="8" spans="1:15" ht="15.6" x14ac:dyDescent="0.3">
      <c r="B8" s="717">
        <v>1</v>
      </c>
      <c r="C8" s="1133"/>
      <c r="D8" s="1076"/>
      <c r="E8" s="1135"/>
      <c r="F8" s="1071"/>
      <c r="G8" s="1081"/>
      <c r="H8" s="669" t="s">
        <v>1821</v>
      </c>
      <c r="I8" s="713"/>
      <c r="J8" s="714">
        <v>2</v>
      </c>
      <c r="K8" s="715"/>
      <c r="L8" s="715"/>
      <c r="M8" s="715"/>
      <c r="N8" s="716"/>
      <c r="O8" s="623"/>
    </row>
    <row r="9" spans="1:15" ht="15.6" x14ac:dyDescent="0.3">
      <c r="B9" s="717">
        <v>1</v>
      </c>
      <c r="C9" s="1133"/>
      <c r="D9" s="1076" t="s">
        <v>993</v>
      </c>
      <c r="E9" s="1131" t="str">
        <f>IF(Massnahmen!E9&lt;&gt;"",Massnahmen!E9,"")</f>
        <v/>
      </c>
      <c r="F9" s="1071">
        <f>Massnahmen!I9</f>
        <v>0</v>
      </c>
      <c r="G9" s="1132" t="str">
        <f>Massnahmen!L9</f>
        <v/>
      </c>
      <c r="H9" s="669" t="s">
        <v>1822</v>
      </c>
      <c r="I9" s="713"/>
      <c r="J9" s="714">
        <v>3</v>
      </c>
      <c r="K9" s="715"/>
      <c r="L9" s="715"/>
      <c r="M9" s="715"/>
      <c r="N9" s="716"/>
      <c r="O9" s="623"/>
    </row>
    <row r="10" spans="1:15" ht="15.6" x14ac:dyDescent="0.3">
      <c r="B10" s="717">
        <v>1</v>
      </c>
      <c r="C10" s="1133"/>
      <c r="D10" s="1076"/>
      <c r="E10" s="1131"/>
      <c r="F10" s="1071"/>
      <c r="G10" s="1081"/>
      <c r="H10" s="669" t="s">
        <v>1823</v>
      </c>
      <c r="I10" s="713"/>
      <c r="J10" s="714"/>
      <c r="K10" s="715"/>
      <c r="L10" s="715"/>
      <c r="M10" s="715"/>
      <c r="N10" s="716"/>
      <c r="O10" s="623"/>
    </row>
    <row r="11" spans="1:15" ht="15.6" x14ac:dyDescent="0.3">
      <c r="B11" s="717">
        <v>1</v>
      </c>
      <c r="C11" s="1133"/>
      <c r="D11" s="1076" t="s">
        <v>994</v>
      </c>
      <c r="E11" s="1130" t="str">
        <f>IF(Massnahmen!E11&lt;&gt;"",Massnahmen!E11,"")</f>
        <v/>
      </c>
      <c r="F11" s="1071">
        <f>Massnahmen!I11</f>
        <v>0</v>
      </c>
      <c r="G11" s="1132" t="str">
        <f>Massnahmen!L11</f>
        <v/>
      </c>
      <c r="H11" s="669" t="s">
        <v>1824</v>
      </c>
      <c r="I11" s="713"/>
      <c r="J11" s="714"/>
      <c r="K11" s="715"/>
      <c r="L11" s="715"/>
      <c r="M11" s="715"/>
      <c r="N11" s="716"/>
      <c r="O11" s="623"/>
    </row>
    <row r="12" spans="1:15" ht="15.6" x14ac:dyDescent="0.3">
      <c r="B12" s="717">
        <v>1</v>
      </c>
      <c r="C12" s="1133"/>
      <c r="D12" s="1076"/>
      <c r="E12" s="1131"/>
      <c r="F12" s="1071"/>
      <c r="G12" s="1081"/>
      <c r="H12" s="669" t="s">
        <v>1825</v>
      </c>
      <c r="I12" s="713"/>
      <c r="J12" s="714"/>
      <c r="K12" s="715"/>
      <c r="L12" s="715"/>
      <c r="M12" s="715"/>
      <c r="N12" s="716"/>
      <c r="O12" s="623"/>
    </row>
    <row r="13" spans="1:15" ht="15.6" x14ac:dyDescent="0.3">
      <c r="B13" s="717">
        <v>1</v>
      </c>
      <c r="C13" s="1133"/>
      <c r="D13" s="1076" t="s">
        <v>995</v>
      </c>
      <c r="E13" s="1131" t="str">
        <f>IF(Massnahmen!E13&lt;&gt;"",Massnahmen!E13,"")</f>
        <v/>
      </c>
      <c r="F13" s="1071">
        <f>Massnahmen!I13</f>
        <v>0</v>
      </c>
      <c r="G13" s="1132" t="str">
        <f>Massnahmen!L13</f>
        <v/>
      </c>
      <c r="H13" s="669" t="s">
        <v>1826</v>
      </c>
      <c r="I13" s="713"/>
      <c r="J13" s="714"/>
      <c r="K13" s="715"/>
      <c r="L13" s="715"/>
      <c r="M13" s="715"/>
      <c r="N13" s="716"/>
      <c r="O13" s="623"/>
    </row>
    <row r="14" spans="1:15" ht="15.6" x14ac:dyDescent="0.3">
      <c r="B14" s="717">
        <v>1</v>
      </c>
      <c r="C14" s="1133"/>
      <c r="D14" s="1076"/>
      <c r="E14" s="1131"/>
      <c r="F14" s="1082"/>
      <c r="G14" s="1081"/>
      <c r="H14" s="669" t="s">
        <v>1827</v>
      </c>
      <c r="I14" s="713"/>
      <c r="J14" s="714"/>
      <c r="K14" s="715"/>
      <c r="L14" s="715"/>
      <c r="M14" s="715"/>
      <c r="N14" s="716"/>
      <c r="O14" s="623"/>
    </row>
    <row r="15" spans="1:15" ht="15.6" x14ac:dyDescent="0.3">
      <c r="B15" s="663">
        <v>2</v>
      </c>
      <c r="C15" s="1139" t="str">
        <f>IF(Massnahmen!C15&lt;&gt;"",Massnahmen!C15,"")</f>
        <v>Ziel 2</v>
      </c>
      <c r="D15" s="1076" t="s">
        <v>996</v>
      </c>
      <c r="E15" s="1131" t="str">
        <f>IF(Massnahmen!E15&lt;&gt;"",Massnahmen!E15,"")</f>
        <v/>
      </c>
      <c r="F15" s="1088">
        <f>Massnahmen!I15</f>
        <v>0</v>
      </c>
      <c r="G15" s="1138" t="str">
        <f>Massnahmen!L15</f>
        <v/>
      </c>
      <c r="H15" s="669" t="s">
        <v>1828</v>
      </c>
      <c r="I15" s="718"/>
      <c r="J15" s="719"/>
      <c r="K15" s="720"/>
      <c r="L15" s="720"/>
      <c r="M15" s="720"/>
      <c r="N15" s="721"/>
      <c r="O15" s="623"/>
    </row>
    <row r="16" spans="1:15" ht="15.6" x14ac:dyDescent="0.3">
      <c r="B16" s="717">
        <v>2</v>
      </c>
      <c r="C16" s="1139"/>
      <c r="D16" s="1076"/>
      <c r="E16" s="1131"/>
      <c r="F16" s="1088"/>
      <c r="G16" s="1097"/>
      <c r="H16" s="669" t="s">
        <v>1829</v>
      </c>
      <c r="I16" s="718"/>
      <c r="J16" s="719"/>
      <c r="K16" s="720"/>
      <c r="L16" s="720"/>
      <c r="M16" s="720"/>
      <c r="N16" s="721"/>
      <c r="O16" s="623"/>
    </row>
    <row r="17" spans="2:15" ht="24" customHeight="1" x14ac:dyDescent="0.3">
      <c r="B17" s="717">
        <v>2</v>
      </c>
      <c r="C17" s="1139"/>
      <c r="D17" s="1076" t="s">
        <v>997</v>
      </c>
      <c r="E17" s="1137" t="str">
        <f>IF(Massnahmen!E17&lt;&gt;"",Massnahmen!E17,"")</f>
        <v/>
      </c>
      <c r="F17" s="1088">
        <f>Massnahmen!I17</f>
        <v>0</v>
      </c>
      <c r="G17" s="1138" t="str">
        <f>Massnahmen!L17</f>
        <v/>
      </c>
      <c r="H17" s="669" t="s">
        <v>1830</v>
      </c>
      <c r="I17" s="718"/>
      <c r="J17" s="719"/>
      <c r="K17" s="720"/>
      <c r="L17" s="720"/>
      <c r="M17" s="720"/>
      <c r="N17" s="721"/>
      <c r="O17" s="623"/>
    </row>
    <row r="18" spans="2:15" ht="24" customHeight="1" x14ac:dyDescent="0.3">
      <c r="B18" s="717">
        <v>2</v>
      </c>
      <c r="C18" s="1139"/>
      <c r="D18" s="1076"/>
      <c r="E18" s="1137"/>
      <c r="F18" s="1088"/>
      <c r="G18" s="1097"/>
      <c r="H18" s="669" t="s">
        <v>1831</v>
      </c>
      <c r="I18" s="718"/>
      <c r="J18" s="719"/>
      <c r="K18" s="720"/>
      <c r="L18" s="720"/>
      <c r="M18" s="720"/>
      <c r="N18" s="721"/>
      <c r="O18" s="623"/>
    </row>
    <row r="19" spans="2:15" ht="24" customHeight="1" x14ac:dyDescent="0.3">
      <c r="B19" s="717">
        <v>2</v>
      </c>
      <c r="C19" s="1139"/>
      <c r="D19" s="1076" t="s">
        <v>998</v>
      </c>
      <c r="E19" s="1136" t="str">
        <f>IF(Massnahmen!E19&lt;&gt;"",Massnahmen!E19,"")</f>
        <v/>
      </c>
      <c r="F19" s="1088">
        <f>Massnahmen!I19</f>
        <v>0</v>
      </c>
      <c r="G19" s="1138" t="str">
        <f>Massnahmen!L19</f>
        <v/>
      </c>
      <c r="H19" s="669" t="s">
        <v>1832</v>
      </c>
      <c r="I19" s="718"/>
      <c r="J19" s="719"/>
      <c r="K19" s="720"/>
      <c r="L19" s="720"/>
      <c r="M19" s="720"/>
      <c r="N19" s="721"/>
      <c r="O19" s="623"/>
    </row>
    <row r="20" spans="2:15" ht="24" customHeight="1" x14ac:dyDescent="0.3">
      <c r="B20" s="717">
        <v>2</v>
      </c>
      <c r="C20" s="1139"/>
      <c r="D20" s="1076"/>
      <c r="E20" s="1137"/>
      <c r="F20" s="1088"/>
      <c r="G20" s="1097"/>
      <c r="H20" s="669" t="s">
        <v>1833</v>
      </c>
      <c r="I20" s="718"/>
      <c r="J20" s="719"/>
      <c r="K20" s="720"/>
      <c r="L20" s="720"/>
      <c r="M20" s="720"/>
      <c r="N20" s="721"/>
      <c r="O20" s="623"/>
    </row>
    <row r="21" spans="2:15" ht="24" customHeight="1" x14ac:dyDescent="0.3">
      <c r="B21" s="717">
        <v>2</v>
      </c>
      <c r="C21" s="1139"/>
      <c r="D21" s="1076" t="s">
        <v>999</v>
      </c>
      <c r="E21" s="1137" t="str">
        <f>IF(Massnahmen!E21&lt;&gt;"",Massnahmen!E21,"")</f>
        <v/>
      </c>
      <c r="F21" s="1088">
        <f>Massnahmen!I21</f>
        <v>0</v>
      </c>
      <c r="G21" s="1138" t="str">
        <f>Massnahmen!L21</f>
        <v/>
      </c>
      <c r="H21" s="669" t="s">
        <v>1834</v>
      </c>
      <c r="I21" s="718"/>
      <c r="J21" s="719"/>
      <c r="K21" s="720"/>
      <c r="L21" s="720"/>
      <c r="M21" s="720"/>
      <c r="N21" s="721"/>
      <c r="O21" s="623"/>
    </row>
    <row r="22" spans="2:15" ht="24" customHeight="1" x14ac:dyDescent="0.3">
      <c r="B22" s="717">
        <v>2</v>
      </c>
      <c r="C22" s="1139"/>
      <c r="D22" s="1076"/>
      <c r="E22" s="1137"/>
      <c r="F22" s="1099"/>
      <c r="G22" s="1097"/>
      <c r="H22" s="669" t="s">
        <v>1835</v>
      </c>
      <c r="I22" s="718"/>
      <c r="J22" s="719"/>
      <c r="K22" s="720"/>
      <c r="L22" s="720"/>
      <c r="M22" s="720"/>
      <c r="N22" s="721"/>
      <c r="O22" s="623"/>
    </row>
    <row r="23" spans="2:15" ht="24" customHeight="1" x14ac:dyDescent="0.3">
      <c r="B23" s="663">
        <v>3</v>
      </c>
      <c r="C23" s="1133" t="str">
        <f>IF(Massnahmen!C23&lt;&gt;"",Massnahmen!C23,"")</f>
        <v>Ziel 3</v>
      </c>
      <c r="D23" s="1076" t="s">
        <v>1000</v>
      </c>
      <c r="E23" s="1134" t="str">
        <f>IF(Massnahmen!E23&lt;&gt;"",Massnahmen!E23,"")</f>
        <v/>
      </c>
      <c r="F23" s="1071">
        <f>Massnahmen!I23</f>
        <v>0</v>
      </c>
      <c r="G23" s="1132" t="str">
        <f>Massnahmen!L23</f>
        <v/>
      </c>
      <c r="H23" s="669" t="s">
        <v>1836</v>
      </c>
      <c r="I23" s="713"/>
      <c r="J23" s="714"/>
      <c r="K23" s="715"/>
      <c r="L23" s="715"/>
      <c r="M23" s="715"/>
      <c r="N23" s="716"/>
      <c r="O23" s="623"/>
    </row>
    <row r="24" spans="2:15" ht="24" customHeight="1" x14ac:dyDescent="0.3">
      <c r="B24" s="717">
        <v>3</v>
      </c>
      <c r="C24" s="1133"/>
      <c r="D24" s="1076"/>
      <c r="E24" s="1135"/>
      <c r="F24" s="1071"/>
      <c r="G24" s="1081"/>
      <c r="H24" s="669" t="s">
        <v>1837</v>
      </c>
      <c r="I24" s="713"/>
      <c r="J24" s="714"/>
      <c r="K24" s="715"/>
      <c r="L24" s="715"/>
      <c r="M24" s="715"/>
      <c r="N24" s="716"/>
      <c r="O24" s="623"/>
    </row>
    <row r="25" spans="2:15" ht="24" customHeight="1" x14ac:dyDescent="0.3">
      <c r="B25" s="717">
        <v>3</v>
      </c>
      <c r="C25" s="1133"/>
      <c r="D25" s="1076" t="s">
        <v>1001</v>
      </c>
      <c r="E25" s="1131" t="str">
        <f>IF(Massnahmen!E25&lt;&gt;"",Massnahmen!E25,"")</f>
        <v/>
      </c>
      <c r="F25" s="1071">
        <f>Massnahmen!I25</f>
        <v>0</v>
      </c>
      <c r="G25" s="1132" t="str">
        <f>Massnahmen!L25</f>
        <v/>
      </c>
      <c r="H25" s="669" t="s">
        <v>1838</v>
      </c>
      <c r="I25" s="713"/>
      <c r="J25" s="714"/>
      <c r="K25" s="715"/>
      <c r="L25" s="715"/>
      <c r="M25" s="715"/>
      <c r="N25" s="716"/>
      <c r="O25" s="623"/>
    </row>
    <row r="26" spans="2:15" ht="24" customHeight="1" x14ac:dyDescent="0.3">
      <c r="B26" s="717">
        <v>3</v>
      </c>
      <c r="C26" s="1133"/>
      <c r="D26" s="1076"/>
      <c r="E26" s="1131"/>
      <c r="F26" s="1071"/>
      <c r="G26" s="1081"/>
      <c r="H26" s="669" t="s">
        <v>1839</v>
      </c>
      <c r="I26" s="713"/>
      <c r="J26" s="714"/>
      <c r="K26" s="715"/>
      <c r="L26" s="715"/>
      <c r="M26" s="715"/>
      <c r="N26" s="716"/>
      <c r="O26" s="623"/>
    </row>
    <row r="27" spans="2:15" ht="24" customHeight="1" x14ac:dyDescent="0.3">
      <c r="B27" s="717">
        <v>3</v>
      </c>
      <c r="C27" s="1133"/>
      <c r="D27" s="1076" t="s">
        <v>1002</v>
      </c>
      <c r="E27" s="1130" t="str">
        <f>IF(Massnahmen!E27&lt;&gt;"",Massnahmen!E27,"")</f>
        <v/>
      </c>
      <c r="F27" s="1071">
        <f>Massnahmen!I27</f>
        <v>0</v>
      </c>
      <c r="G27" s="1132" t="str">
        <f>Massnahmen!L27</f>
        <v/>
      </c>
      <c r="H27" s="669" t="s">
        <v>1840</v>
      </c>
      <c r="I27" s="713"/>
      <c r="J27" s="714"/>
      <c r="K27" s="715"/>
      <c r="L27" s="715"/>
      <c r="M27" s="715"/>
      <c r="N27" s="716"/>
      <c r="O27" s="623"/>
    </row>
    <row r="28" spans="2:15" ht="24" customHeight="1" x14ac:dyDescent="0.3">
      <c r="B28" s="717">
        <v>3</v>
      </c>
      <c r="C28" s="1133"/>
      <c r="D28" s="1076"/>
      <c r="E28" s="1131"/>
      <c r="F28" s="1071"/>
      <c r="G28" s="1081"/>
      <c r="H28" s="669" t="s">
        <v>1841</v>
      </c>
      <c r="I28" s="713"/>
      <c r="J28" s="714"/>
      <c r="K28" s="715"/>
      <c r="L28" s="715"/>
      <c r="M28" s="715"/>
      <c r="N28" s="716"/>
      <c r="O28" s="623"/>
    </row>
    <row r="29" spans="2:15" ht="24" customHeight="1" x14ac:dyDescent="0.3">
      <c r="B29" s="717">
        <v>3</v>
      </c>
      <c r="C29" s="1133"/>
      <c r="D29" s="1076" t="s">
        <v>1003</v>
      </c>
      <c r="E29" s="1131" t="str">
        <f>IF(Massnahmen!E29&lt;&gt;"",Massnahmen!E29,"")</f>
        <v/>
      </c>
      <c r="F29" s="1071">
        <f>Massnahmen!I29</f>
        <v>0</v>
      </c>
      <c r="G29" s="1132" t="str">
        <f>Massnahmen!L29</f>
        <v/>
      </c>
      <c r="H29" s="669" t="s">
        <v>1842</v>
      </c>
      <c r="I29" s="713"/>
      <c r="J29" s="714"/>
      <c r="K29" s="715"/>
      <c r="L29" s="715"/>
      <c r="M29" s="715"/>
      <c r="N29" s="716"/>
      <c r="O29" s="623"/>
    </row>
    <row r="30" spans="2:15" ht="24" customHeight="1" x14ac:dyDescent="0.3">
      <c r="B30" s="717">
        <v>3</v>
      </c>
      <c r="C30" s="1133"/>
      <c r="D30" s="1076"/>
      <c r="E30" s="1131"/>
      <c r="F30" s="1082"/>
      <c r="G30" s="1081"/>
      <c r="H30" s="669" t="s">
        <v>1843</v>
      </c>
      <c r="I30" s="713"/>
      <c r="J30" s="714"/>
      <c r="K30" s="715"/>
      <c r="L30" s="715"/>
      <c r="M30" s="715"/>
      <c r="N30" s="716"/>
      <c r="O30" s="623"/>
    </row>
    <row r="31" spans="2:15" ht="24" customHeight="1" x14ac:dyDescent="0.3">
      <c r="B31" s="663">
        <v>4</v>
      </c>
      <c r="C31" s="1139">
        <f>IF(Massnahmen!C31&lt;&gt;"",Massnahmen!C31,"")</f>
        <v>4</v>
      </c>
      <c r="D31" s="1076" t="s">
        <v>1004</v>
      </c>
      <c r="E31" s="1140" t="str">
        <f>IF(Massnahmen!E31&lt;&gt;"",Massnahmen!E31,"")</f>
        <v/>
      </c>
      <c r="F31" s="1088">
        <f>Massnahmen!I31</f>
        <v>0</v>
      </c>
      <c r="G31" s="1138" t="str">
        <f>Massnahmen!L31</f>
        <v/>
      </c>
      <c r="H31" s="669" t="s">
        <v>1844</v>
      </c>
      <c r="I31" s="718"/>
      <c r="J31" s="719"/>
      <c r="K31" s="720"/>
      <c r="L31" s="720"/>
      <c r="M31" s="720"/>
      <c r="N31" s="721"/>
      <c r="O31" s="623"/>
    </row>
    <row r="32" spans="2:15" ht="24" customHeight="1" x14ac:dyDescent="0.3">
      <c r="B32" s="717">
        <v>4</v>
      </c>
      <c r="C32" s="1139"/>
      <c r="D32" s="1076"/>
      <c r="E32" s="1141"/>
      <c r="F32" s="1088"/>
      <c r="G32" s="1097"/>
      <c r="H32" s="669" t="s">
        <v>1845</v>
      </c>
      <c r="I32" s="718"/>
      <c r="J32" s="719"/>
      <c r="K32" s="720"/>
      <c r="L32" s="720"/>
      <c r="M32" s="720"/>
      <c r="N32" s="721"/>
      <c r="O32" s="623"/>
    </row>
    <row r="33" spans="2:15" ht="24" customHeight="1" x14ac:dyDescent="0.3">
      <c r="B33" s="717">
        <v>4</v>
      </c>
      <c r="C33" s="1139"/>
      <c r="D33" s="1076" t="s">
        <v>1005</v>
      </c>
      <c r="E33" s="1137" t="str">
        <f>IF(Massnahmen!E33&lt;&gt;"",Massnahmen!E33,"")</f>
        <v/>
      </c>
      <c r="F33" s="1088">
        <f>Massnahmen!I33</f>
        <v>0</v>
      </c>
      <c r="G33" s="1138" t="str">
        <f>Massnahmen!L33</f>
        <v/>
      </c>
      <c r="H33" s="669" t="s">
        <v>1846</v>
      </c>
      <c r="I33" s="718"/>
      <c r="J33" s="719"/>
      <c r="K33" s="720"/>
      <c r="L33" s="720"/>
      <c r="M33" s="720"/>
      <c r="N33" s="721"/>
      <c r="O33" s="623"/>
    </row>
    <row r="34" spans="2:15" ht="24" customHeight="1" x14ac:dyDescent="0.3">
      <c r="B34" s="717">
        <v>4</v>
      </c>
      <c r="C34" s="1139"/>
      <c r="D34" s="1076"/>
      <c r="E34" s="1137"/>
      <c r="F34" s="1088"/>
      <c r="G34" s="1097"/>
      <c r="H34" s="669" t="s">
        <v>1847</v>
      </c>
      <c r="I34" s="718"/>
      <c r="J34" s="719"/>
      <c r="K34" s="720"/>
      <c r="L34" s="720"/>
      <c r="M34" s="720"/>
      <c r="N34" s="721"/>
      <c r="O34" s="623"/>
    </row>
    <row r="35" spans="2:15" ht="24" customHeight="1" x14ac:dyDescent="0.3">
      <c r="B35" s="717">
        <v>4</v>
      </c>
      <c r="C35" s="1139"/>
      <c r="D35" s="1076" t="s">
        <v>1006</v>
      </c>
      <c r="E35" s="1136" t="str">
        <f>IF(Massnahmen!E35&lt;&gt;"",Massnahmen!E35,"")</f>
        <v/>
      </c>
      <c r="F35" s="1088">
        <f>Massnahmen!I35</f>
        <v>0</v>
      </c>
      <c r="G35" s="1138" t="str">
        <f>Massnahmen!L35</f>
        <v/>
      </c>
      <c r="H35" s="669" t="s">
        <v>1848</v>
      </c>
      <c r="I35" s="718"/>
      <c r="J35" s="719"/>
      <c r="K35" s="720"/>
      <c r="L35" s="720"/>
      <c r="M35" s="720"/>
      <c r="N35" s="721"/>
      <c r="O35" s="623"/>
    </row>
    <row r="36" spans="2:15" ht="24" customHeight="1" x14ac:dyDescent="0.3">
      <c r="B36" s="717">
        <v>4</v>
      </c>
      <c r="C36" s="1139"/>
      <c r="D36" s="1076"/>
      <c r="E36" s="1137"/>
      <c r="F36" s="1088"/>
      <c r="G36" s="1097"/>
      <c r="H36" s="669" t="s">
        <v>1849</v>
      </c>
      <c r="I36" s="718"/>
      <c r="J36" s="719"/>
      <c r="K36" s="720"/>
      <c r="L36" s="720"/>
      <c r="M36" s="720"/>
      <c r="N36" s="721"/>
      <c r="O36" s="623"/>
    </row>
    <row r="37" spans="2:15" ht="24" customHeight="1" x14ac:dyDescent="0.3">
      <c r="B37" s="717">
        <v>4</v>
      </c>
      <c r="C37" s="1139"/>
      <c r="D37" s="1076" t="s">
        <v>1900</v>
      </c>
      <c r="E37" s="1137" t="str">
        <f>IF(Massnahmen!E37&lt;&gt;"",Massnahmen!E37,"")</f>
        <v/>
      </c>
      <c r="F37" s="1088">
        <f>Massnahmen!I37</f>
        <v>0</v>
      </c>
      <c r="G37" s="1138" t="str">
        <f>Massnahmen!L37</f>
        <v/>
      </c>
      <c r="H37" s="669" t="s">
        <v>1850</v>
      </c>
      <c r="I37" s="718"/>
      <c r="J37" s="719"/>
      <c r="K37" s="720"/>
      <c r="L37" s="720"/>
      <c r="M37" s="720"/>
      <c r="N37" s="721"/>
      <c r="O37" s="623"/>
    </row>
    <row r="38" spans="2:15" ht="24" customHeight="1" x14ac:dyDescent="0.3">
      <c r="B38" s="717">
        <v>4</v>
      </c>
      <c r="C38" s="1139"/>
      <c r="D38" s="1076"/>
      <c r="E38" s="1137"/>
      <c r="F38" s="1099"/>
      <c r="G38" s="1097"/>
      <c r="H38" s="669" t="s">
        <v>1851</v>
      </c>
      <c r="I38" s="718"/>
      <c r="J38" s="719"/>
      <c r="K38" s="720"/>
      <c r="L38" s="720"/>
      <c r="M38" s="720"/>
      <c r="N38" s="721"/>
      <c r="O38" s="623"/>
    </row>
    <row r="39" spans="2:15" ht="24" customHeight="1" x14ac:dyDescent="0.3">
      <c r="B39" s="663">
        <v>5</v>
      </c>
      <c r="C39" s="1133">
        <f>IF(Massnahmen!C39&lt;&gt;"",Massnahmen!C39,"")</f>
        <v>5</v>
      </c>
      <c r="D39" s="1076" t="s">
        <v>1901</v>
      </c>
      <c r="E39" s="1134" t="str">
        <f>IF(Massnahmen!E39&lt;&gt;"",Massnahmen!E39,"")</f>
        <v/>
      </c>
      <c r="F39" s="1071">
        <f>Massnahmen!I39</f>
        <v>0</v>
      </c>
      <c r="G39" s="1132" t="str">
        <f>Massnahmen!L39</f>
        <v/>
      </c>
      <c r="H39" s="669" t="s">
        <v>1852</v>
      </c>
      <c r="I39" s="713"/>
      <c r="J39" s="714"/>
      <c r="K39" s="715"/>
      <c r="L39" s="715"/>
      <c r="M39" s="715"/>
      <c r="N39" s="716"/>
      <c r="O39" s="623"/>
    </row>
    <row r="40" spans="2:15" ht="24" customHeight="1" x14ac:dyDescent="0.3">
      <c r="B40" s="717">
        <v>5</v>
      </c>
      <c r="C40" s="1133"/>
      <c r="D40" s="1076"/>
      <c r="E40" s="1135"/>
      <c r="F40" s="1071"/>
      <c r="G40" s="1081"/>
      <c r="H40" s="669" t="s">
        <v>1853</v>
      </c>
      <c r="I40" s="713"/>
      <c r="J40" s="714"/>
      <c r="K40" s="715"/>
      <c r="L40" s="715"/>
      <c r="M40" s="715"/>
      <c r="N40" s="716"/>
      <c r="O40" s="623"/>
    </row>
    <row r="41" spans="2:15" ht="24" customHeight="1" x14ac:dyDescent="0.3">
      <c r="B41" s="717">
        <v>5</v>
      </c>
      <c r="C41" s="1133"/>
      <c r="D41" s="1076" t="s">
        <v>1902</v>
      </c>
      <c r="E41" s="1131" t="str">
        <f>IF(Massnahmen!E41&lt;&gt;"",Massnahmen!E41,"")</f>
        <v/>
      </c>
      <c r="F41" s="1071">
        <f>Massnahmen!I41</f>
        <v>0</v>
      </c>
      <c r="G41" s="1132" t="str">
        <f>Massnahmen!L41</f>
        <v/>
      </c>
      <c r="H41" s="669" t="s">
        <v>1854</v>
      </c>
      <c r="I41" s="713"/>
      <c r="J41" s="714"/>
      <c r="K41" s="715"/>
      <c r="L41" s="715"/>
      <c r="M41" s="715"/>
      <c r="N41" s="716"/>
      <c r="O41" s="623"/>
    </row>
    <row r="42" spans="2:15" ht="24" customHeight="1" x14ac:dyDescent="0.3">
      <c r="B42" s="717">
        <v>5</v>
      </c>
      <c r="C42" s="1133"/>
      <c r="D42" s="1076"/>
      <c r="E42" s="1131"/>
      <c r="F42" s="1071"/>
      <c r="G42" s="1081"/>
      <c r="H42" s="669" t="s">
        <v>1855</v>
      </c>
      <c r="I42" s="713"/>
      <c r="J42" s="714"/>
      <c r="K42" s="715"/>
      <c r="L42" s="715"/>
      <c r="M42" s="715"/>
      <c r="N42" s="716"/>
      <c r="O42" s="623"/>
    </row>
    <row r="43" spans="2:15" ht="24" customHeight="1" x14ac:dyDescent="0.3">
      <c r="B43" s="717">
        <v>5</v>
      </c>
      <c r="C43" s="1133"/>
      <c r="D43" s="1076" t="s">
        <v>1903</v>
      </c>
      <c r="E43" s="1130" t="str">
        <f>IF(Massnahmen!E43&lt;&gt;"",Massnahmen!E43,"")</f>
        <v/>
      </c>
      <c r="F43" s="1071">
        <f>Massnahmen!I43</f>
        <v>0</v>
      </c>
      <c r="G43" s="1132" t="str">
        <f>Massnahmen!L43</f>
        <v/>
      </c>
      <c r="H43" s="669" t="s">
        <v>1856</v>
      </c>
      <c r="I43" s="713"/>
      <c r="J43" s="714"/>
      <c r="K43" s="715"/>
      <c r="L43" s="715"/>
      <c r="M43" s="715"/>
      <c r="N43" s="716"/>
      <c r="O43" s="623"/>
    </row>
    <row r="44" spans="2:15" ht="24" customHeight="1" x14ac:dyDescent="0.3">
      <c r="B44" s="717">
        <v>5</v>
      </c>
      <c r="C44" s="1133"/>
      <c r="D44" s="1076"/>
      <c r="E44" s="1131"/>
      <c r="F44" s="1071"/>
      <c r="G44" s="1081"/>
      <c r="H44" s="669" t="s">
        <v>1857</v>
      </c>
      <c r="I44" s="713"/>
      <c r="J44" s="714"/>
      <c r="K44" s="715"/>
      <c r="L44" s="715"/>
      <c r="M44" s="715"/>
      <c r="N44" s="716"/>
      <c r="O44" s="623"/>
    </row>
    <row r="45" spans="2:15" ht="24" customHeight="1" x14ac:dyDescent="0.3">
      <c r="B45" s="717">
        <v>5</v>
      </c>
      <c r="C45" s="1133"/>
      <c r="D45" s="1076" t="s">
        <v>1904</v>
      </c>
      <c r="E45" s="1131" t="str">
        <f>IF(Massnahmen!E45&lt;&gt;"",Massnahmen!E45,"")</f>
        <v/>
      </c>
      <c r="F45" s="1071">
        <f>Massnahmen!I45</f>
        <v>0</v>
      </c>
      <c r="G45" s="1132" t="str">
        <f>Massnahmen!L45</f>
        <v/>
      </c>
      <c r="H45" s="669" t="s">
        <v>1858</v>
      </c>
      <c r="I45" s="713"/>
      <c r="J45" s="714"/>
      <c r="K45" s="715"/>
      <c r="L45" s="715"/>
      <c r="M45" s="715"/>
      <c r="N45" s="716"/>
      <c r="O45" s="623"/>
    </row>
    <row r="46" spans="2:15" ht="24" customHeight="1" x14ac:dyDescent="0.3">
      <c r="B46" s="717">
        <v>5</v>
      </c>
      <c r="C46" s="1133"/>
      <c r="D46" s="1076"/>
      <c r="E46" s="1131"/>
      <c r="F46" s="1082"/>
      <c r="G46" s="1081"/>
      <c r="H46" s="669" t="s">
        <v>1859</v>
      </c>
      <c r="I46" s="713"/>
      <c r="J46" s="714"/>
      <c r="K46" s="715"/>
      <c r="L46" s="715"/>
      <c r="M46" s="715"/>
      <c r="N46" s="716"/>
      <c r="O46" s="623"/>
    </row>
    <row r="47" spans="2:15" ht="24" customHeight="1" x14ac:dyDescent="0.3">
      <c r="B47" s="663">
        <v>6</v>
      </c>
      <c r="C47" s="1139">
        <f>IF(Massnahmen!C47&lt;&gt;"",Massnahmen!C47,"")</f>
        <v>6</v>
      </c>
      <c r="D47" s="1076" t="s">
        <v>1905</v>
      </c>
      <c r="E47" s="1140" t="str">
        <f>IF(Massnahmen!E47&lt;&gt;"",Massnahmen!E47,"")</f>
        <v/>
      </c>
      <c r="F47" s="1088">
        <f>Massnahmen!I47</f>
        <v>0</v>
      </c>
      <c r="G47" s="1138" t="str">
        <f>Massnahmen!L47</f>
        <v/>
      </c>
      <c r="H47" s="669" t="s">
        <v>1860</v>
      </c>
      <c r="I47" s="718"/>
      <c r="J47" s="719"/>
      <c r="K47" s="720"/>
      <c r="L47" s="720"/>
      <c r="M47" s="720"/>
      <c r="N47" s="721"/>
      <c r="O47" s="623"/>
    </row>
    <row r="48" spans="2:15" ht="24" customHeight="1" x14ac:dyDescent="0.3">
      <c r="B48" s="717">
        <v>6</v>
      </c>
      <c r="C48" s="1139"/>
      <c r="D48" s="1076"/>
      <c r="E48" s="1141"/>
      <c r="F48" s="1088"/>
      <c r="G48" s="1097"/>
      <c r="H48" s="669" t="s">
        <v>1861</v>
      </c>
      <c r="I48" s="718"/>
      <c r="J48" s="719"/>
      <c r="K48" s="720"/>
      <c r="L48" s="720"/>
      <c r="M48" s="720"/>
      <c r="N48" s="721"/>
      <c r="O48" s="623"/>
    </row>
    <row r="49" spans="2:15" ht="24" customHeight="1" x14ac:dyDescent="0.3">
      <c r="B49" s="717">
        <v>6</v>
      </c>
      <c r="C49" s="1139"/>
      <c r="D49" s="1076" t="s">
        <v>1906</v>
      </c>
      <c r="E49" s="1137" t="str">
        <f>IF(Massnahmen!E49&lt;&gt;"",Massnahmen!E49,"")</f>
        <v/>
      </c>
      <c r="F49" s="1088">
        <f>Massnahmen!I49</f>
        <v>0</v>
      </c>
      <c r="G49" s="1138" t="str">
        <f>Massnahmen!L49</f>
        <v/>
      </c>
      <c r="H49" s="669" t="s">
        <v>1862</v>
      </c>
      <c r="I49" s="718"/>
      <c r="J49" s="719"/>
      <c r="K49" s="720"/>
      <c r="L49" s="720"/>
      <c r="M49" s="720"/>
      <c r="N49" s="721"/>
      <c r="O49" s="623"/>
    </row>
    <row r="50" spans="2:15" ht="24" customHeight="1" x14ac:dyDescent="0.3">
      <c r="B50" s="717">
        <v>6</v>
      </c>
      <c r="C50" s="1139"/>
      <c r="D50" s="1076"/>
      <c r="E50" s="1137"/>
      <c r="F50" s="1088"/>
      <c r="G50" s="1097"/>
      <c r="H50" s="669" t="s">
        <v>1863</v>
      </c>
      <c r="I50" s="718"/>
      <c r="J50" s="719"/>
      <c r="K50" s="720"/>
      <c r="L50" s="720"/>
      <c r="M50" s="720"/>
      <c r="N50" s="721"/>
      <c r="O50" s="623"/>
    </row>
    <row r="51" spans="2:15" ht="24" customHeight="1" x14ac:dyDescent="0.3">
      <c r="B51" s="717">
        <v>6</v>
      </c>
      <c r="C51" s="1139"/>
      <c r="D51" s="1076" t="s">
        <v>1907</v>
      </c>
      <c r="E51" s="1136" t="str">
        <f>IF(Massnahmen!E51&lt;&gt;"",Massnahmen!E51,"")</f>
        <v/>
      </c>
      <c r="F51" s="1088">
        <f>Massnahmen!I51</f>
        <v>0</v>
      </c>
      <c r="G51" s="1138" t="str">
        <f>Massnahmen!L51</f>
        <v/>
      </c>
      <c r="H51" s="669" t="s">
        <v>1864</v>
      </c>
      <c r="I51" s="718"/>
      <c r="J51" s="719"/>
      <c r="K51" s="720"/>
      <c r="L51" s="720"/>
      <c r="M51" s="720"/>
      <c r="N51" s="721"/>
      <c r="O51" s="623"/>
    </row>
    <row r="52" spans="2:15" ht="24" customHeight="1" x14ac:dyDescent="0.3">
      <c r="B52" s="717">
        <v>6</v>
      </c>
      <c r="C52" s="1139"/>
      <c r="D52" s="1076"/>
      <c r="E52" s="1137"/>
      <c r="F52" s="1088"/>
      <c r="G52" s="1097"/>
      <c r="H52" s="669" t="s">
        <v>1865</v>
      </c>
      <c r="I52" s="718"/>
      <c r="J52" s="719"/>
      <c r="K52" s="720"/>
      <c r="L52" s="720"/>
      <c r="M52" s="720"/>
      <c r="N52" s="721"/>
      <c r="O52" s="623"/>
    </row>
    <row r="53" spans="2:15" ht="24" customHeight="1" x14ac:dyDescent="0.3">
      <c r="B53" s="717">
        <v>6</v>
      </c>
      <c r="C53" s="1139"/>
      <c r="D53" s="1076" t="s">
        <v>1908</v>
      </c>
      <c r="E53" s="1137" t="str">
        <f>IF(Massnahmen!E53&lt;&gt;"",Massnahmen!E53,"")</f>
        <v/>
      </c>
      <c r="F53" s="1088">
        <f>Massnahmen!I53</f>
        <v>0</v>
      </c>
      <c r="G53" s="1138" t="str">
        <f>Massnahmen!L53</f>
        <v/>
      </c>
      <c r="H53" s="669" t="s">
        <v>1866</v>
      </c>
      <c r="I53" s="718"/>
      <c r="J53" s="719"/>
      <c r="K53" s="720"/>
      <c r="L53" s="720"/>
      <c r="M53" s="720"/>
      <c r="N53" s="721"/>
      <c r="O53" s="623"/>
    </row>
    <row r="54" spans="2:15" ht="24" customHeight="1" x14ac:dyDescent="0.3">
      <c r="B54" s="717">
        <v>6</v>
      </c>
      <c r="C54" s="1139"/>
      <c r="D54" s="1076"/>
      <c r="E54" s="1137"/>
      <c r="F54" s="1099"/>
      <c r="G54" s="1097"/>
      <c r="H54" s="669" t="s">
        <v>1867</v>
      </c>
      <c r="I54" s="718"/>
      <c r="J54" s="719"/>
      <c r="K54" s="720"/>
      <c r="L54" s="720"/>
      <c r="M54" s="720"/>
      <c r="N54" s="721"/>
      <c r="O54" s="623"/>
    </row>
    <row r="55" spans="2:15" ht="24" customHeight="1" x14ac:dyDescent="0.3">
      <c r="B55" s="663">
        <v>7</v>
      </c>
      <c r="C55" s="1133">
        <f>IF(Massnahmen!C55&lt;&gt;"",Massnahmen!C55,"")</f>
        <v>7</v>
      </c>
      <c r="D55" s="1076" t="s">
        <v>1909</v>
      </c>
      <c r="E55" s="1134" t="str">
        <f>IF(Massnahmen!E55&lt;&gt;"",Massnahmen!E55,"")</f>
        <v/>
      </c>
      <c r="F55" s="1071">
        <f>Massnahmen!I55</f>
        <v>0</v>
      </c>
      <c r="G55" s="1132" t="str">
        <f>Massnahmen!L55</f>
        <v/>
      </c>
      <c r="H55" s="669" t="s">
        <v>1868</v>
      </c>
      <c r="I55" s="713"/>
      <c r="J55" s="714"/>
      <c r="K55" s="722"/>
      <c r="L55" s="722"/>
      <c r="M55" s="722"/>
      <c r="N55" s="723"/>
      <c r="O55" s="623"/>
    </row>
    <row r="56" spans="2:15" ht="24" customHeight="1" x14ac:dyDescent="0.3">
      <c r="B56" s="717">
        <v>7</v>
      </c>
      <c r="C56" s="1133"/>
      <c r="D56" s="1076"/>
      <c r="E56" s="1135"/>
      <c r="F56" s="1071"/>
      <c r="G56" s="1081"/>
      <c r="H56" s="669" t="s">
        <v>1869</v>
      </c>
      <c r="I56" s="713"/>
      <c r="J56" s="714"/>
      <c r="K56" s="722"/>
      <c r="L56" s="722"/>
      <c r="M56" s="722"/>
      <c r="N56" s="723"/>
      <c r="O56" s="623"/>
    </row>
    <row r="57" spans="2:15" ht="24" customHeight="1" x14ac:dyDescent="0.3">
      <c r="B57" s="717">
        <v>7</v>
      </c>
      <c r="C57" s="1133"/>
      <c r="D57" s="1076" t="s">
        <v>1910</v>
      </c>
      <c r="E57" s="1131" t="str">
        <f>IF(Massnahmen!E57&lt;&gt;"",Massnahmen!E57,"")</f>
        <v/>
      </c>
      <c r="F57" s="1071">
        <f>Massnahmen!I57</f>
        <v>0</v>
      </c>
      <c r="G57" s="1132" t="str">
        <f>Massnahmen!L57</f>
        <v/>
      </c>
      <c r="H57" s="669" t="s">
        <v>1870</v>
      </c>
      <c r="I57" s="713"/>
      <c r="J57" s="714"/>
      <c r="K57" s="722"/>
      <c r="L57" s="722"/>
      <c r="M57" s="722"/>
      <c r="N57" s="723"/>
      <c r="O57" s="623"/>
    </row>
    <row r="58" spans="2:15" ht="24" customHeight="1" x14ac:dyDescent="0.3">
      <c r="B58" s="717">
        <v>7</v>
      </c>
      <c r="C58" s="1133"/>
      <c r="D58" s="1076"/>
      <c r="E58" s="1131"/>
      <c r="F58" s="1071"/>
      <c r="G58" s="1081"/>
      <c r="H58" s="669" t="s">
        <v>1871</v>
      </c>
      <c r="I58" s="713"/>
      <c r="J58" s="714"/>
      <c r="K58" s="722"/>
      <c r="L58" s="722"/>
      <c r="M58" s="722"/>
      <c r="N58" s="723"/>
      <c r="O58" s="623"/>
    </row>
    <row r="59" spans="2:15" ht="24" customHeight="1" x14ac:dyDescent="0.3">
      <c r="B59" s="717">
        <v>7</v>
      </c>
      <c r="C59" s="1133"/>
      <c r="D59" s="1076" t="s">
        <v>1911</v>
      </c>
      <c r="E59" s="1130" t="str">
        <f>IF(Massnahmen!E59&lt;&gt;"",Massnahmen!E59,"")</f>
        <v/>
      </c>
      <c r="F59" s="1071">
        <f>Massnahmen!I59</f>
        <v>0</v>
      </c>
      <c r="G59" s="1132" t="str">
        <f>Massnahmen!L59</f>
        <v/>
      </c>
      <c r="H59" s="669" t="s">
        <v>1872</v>
      </c>
      <c r="I59" s="713"/>
      <c r="J59" s="714"/>
      <c r="K59" s="722"/>
      <c r="L59" s="722"/>
      <c r="M59" s="722"/>
      <c r="N59" s="723"/>
      <c r="O59" s="623"/>
    </row>
    <row r="60" spans="2:15" ht="24" customHeight="1" x14ac:dyDescent="0.3">
      <c r="B60" s="717">
        <v>7</v>
      </c>
      <c r="C60" s="1133"/>
      <c r="D60" s="1076"/>
      <c r="E60" s="1131"/>
      <c r="F60" s="1071"/>
      <c r="G60" s="1081"/>
      <c r="H60" s="669" t="s">
        <v>1873</v>
      </c>
      <c r="I60" s="713"/>
      <c r="J60" s="714"/>
      <c r="K60" s="722"/>
      <c r="L60" s="722"/>
      <c r="M60" s="722"/>
      <c r="N60" s="723"/>
      <c r="O60" s="623"/>
    </row>
    <row r="61" spans="2:15" ht="24" customHeight="1" x14ac:dyDescent="0.3">
      <c r="B61" s="717">
        <v>7</v>
      </c>
      <c r="C61" s="1133"/>
      <c r="D61" s="1076" t="s">
        <v>1912</v>
      </c>
      <c r="E61" s="1131" t="str">
        <f>IF(Massnahmen!E61&lt;&gt;"",Massnahmen!E61,"")</f>
        <v/>
      </c>
      <c r="F61" s="1071">
        <f>Massnahmen!I61</f>
        <v>0</v>
      </c>
      <c r="G61" s="1132" t="str">
        <f>Massnahmen!L61</f>
        <v/>
      </c>
      <c r="H61" s="669" t="s">
        <v>1874</v>
      </c>
      <c r="I61" s="713"/>
      <c r="J61" s="714"/>
      <c r="K61" s="722"/>
      <c r="L61" s="722"/>
      <c r="M61" s="722"/>
      <c r="N61" s="723"/>
      <c r="O61" s="623"/>
    </row>
    <row r="62" spans="2:15" ht="24" customHeight="1" x14ac:dyDescent="0.3">
      <c r="B62" s="717">
        <v>7</v>
      </c>
      <c r="C62" s="1133"/>
      <c r="D62" s="1076"/>
      <c r="E62" s="1131"/>
      <c r="F62" s="1082"/>
      <c r="G62" s="1081"/>
      <c r="H62" s="669" t="s">
        <v>1875</v>
      </c>
      <c r="I62" s="713"/>
      <c r="J62" s="714"/>
      <c r="K62" s="722"/>
      <c r="L62" s="722"/>
      <c r="M62" s="722"/>
      <c r="N62" s="723"/>
      <c r="O62" s="623"/>
    </row>
    <row r="63" spans="2:15" ht="24" customHeight="1" x14ac:dyDescent="0.3">
      <c r="B63" s="663">
        <v>8</v>
      </c>
      <c r="C63" s="1139">
        <f>IF(Massnahmen!C63&lt;&gt;"",Massnahmen!C63,"")</f>
        <v>8</v>
      </c>
      <c r="D63" s="1076" t="s">
        <v>1913</v>
      </c>
      <c r="E63" s="1140" t="str">
        <f>IF(Massnahmen!E63&lt;&gt;"",Massnahmen!E63,"")</f>
        <v/>
      </c>
      <c r="F63" s="1088">
        <f>Massnahmen!I63</f>
        <v>0</v>
      </c>
      <c r="G63" s="1138" t="str">
        <f>Massnahmen!L63</f>
        <v/>
      </c>
      <c r="H63" s="669" t="s">
        <v>1876</v>
      </c>
      <c r="I63" s="718"/>
      <c r="J63" s="719"/>
      <c r="K63" s="724"/>
      <c r="L63" s="724"/>
      <c r="M63" s="724"/>
      <c r="N63" s="725"/>
      <c r="O63" s="623"/>
    </row>
    <row r="64" spans="2:15" ht="24" customHeight="1" x14ac:dyDescent="0.3">
      <c r="B64" s="717">
        <v>8</v>
      </c>
      <c r="C64" s="1139"/>
      <c r="D64" s="1076"/>
      <c r="E64" s="1141"/>
      <c r="F64" s="1088"/>
      <c r="G64" s="1097"/>
      <c r="H64" s="669" t="s">
        <v>1877</v>
      </c>
      <c r="I64" s="718"/>
      <c r="J64" s="719"/>
      <c r="K64" s="724"/>
      <c r="L64" s="724"/>
      <c r="M64" s="724"/>
      <c r="N64" s="725"/>
      <c r="O64" s="623"/>
    </row>
    <row r="65" spans="2:15" ht="24" customHeight="1" x14ac:dyDescent="0.3">
      <c r="B65" s="717">
        <v>8</v>
      </c>
      <c r="C65" s="1139"/>
      <c r="D65" s="1076" t="s">
        <v>1914</v>
      </c>
      <c r="E65" s="1137" t="str">
        <f>IF(Massnahmen!E65&lt;&gt;"",Massnahmen!E65,"")</f>
        <v/>
      </c>
      <c r="F65" s="1088">
        <f>Massnahmen!I65</f>
        <v>0</v>
      </c>
      <c r="G65" s="1138" t="str">
        <f>Massnahmen!L65</f>
        <v/>
      </c>
      <c r="H65" s="669" t="s">
        <v>1878</v>
      </c>
      <c r="I65" s="718"/>
      <c r="J65" s="719"/>
      <c r="K65" s="724"/>
      <c r="L65" s="724"/>
      <c r="M65" s="724"/>
      <c r="N65" s="725"/>
      <c r="O65" s="623"/>
    </row>
    <row r="66" spans="2:15" ht="24" customHeight="1" x14ac:dyDescent="0.3">
      <c r="B66" s="717">
        <v>8</v>
      </c>
      <c r="C66" s="1139"/>
      <c r="D66" s="1076"/>
      <c r="E66" s="1137"/>
      <c r="F66" s="1088"/>
      <c r="G66" s="1097"/>
      <c r="H66" s="669" t="s">
        <v>1879</v>
      </c>
      <c r="I66" s="718"/>
      <c r="J66" s="719"/>
      <c r="K66" s="724"/>
      <c r="L66" s="724"/>
      <c r="M66" s="724"/>
      <c r="N66" s="725"/>
      <c r="O66" s="623"/>
    </row>
    <row r="67" spans="2:15" ht="24" customHeight="1" x14ac:dyDescent="0.3">
      <c r="B67" s="717">
        <v>8</v>
      </c>
      <c r="C67" s="1139"/>
      <c r="D67" s="1076" t="s">
        <v>1915</v>
      </c>
      <c r="E67" s="1136" t="str">
        <f>IF(Massnahmen!E67&lt;&gt;"",Massnahmen!E67,"")</f>
        <v/>
      </c>
      <c r="F67" s="1088">
        <f>Massnahmen!I67</f>
        <v>0</v>
      </c>
      <c r="G67" s="1138" t="str">
        <f>Massnahmen!L67</f>
        <v/>
      </c>
      <c r="H67" s="669" t="s">
        <v>1880</v>
      </c>
      <c r="I67" s="718"/>
      <c r="J67" s="719"/>
      <c r="K67" s="724"/>
      <c r="L67" s="724"/>
      <c r="M67" s="724"/>
      <c r="N67" s="725"/>
      <c r="O67" s="623"/>
    </row>
    <row r="68" spans="2:15" ht="24" customHeight="1" x14ac:dyDescent="0.3">
      <c r="B68" s="717">
        <v>8</v>
      </c>
      <c r="C68" s="1139"/>
      <c r="D68" s="1076"/>
      <c r="E68" s="1137"/>
      <c r="F68" s="1088"/>
      <c r="G68" s="1097"/>
      <c r="H68" s="669" t="s">
        <v>1881</v>
      </c>
      <c r="I68" s="718"/>
      <c r="J68" s="719"/>
      <c r="K68" s="724"/>
      <c r="L68" s="724"/>
      <c r="M68" s="724"/>
      <c r="N68" s="725"/>
      <c r="O68" s="623"/>
    </row>
    <row r="69" spans="2:15" ht="24" customHeight="1" x14ac:dyDescent="0.3">
      <c r="B69" s="717">
        <v>8</v>
      </c>
      <c r="C69" s="1139"/>
      <c r="D69" s="1076" t="s">
        <v>1916</v>
      </c>
      <c r="E69" s="1137" t="str">
        <f>IF(Massnahmen!E69&lt;&gt;"",Massnahmen!E69,"")</f>
        <v/>
      </c>
      <c r="F69" s="1088">
        <f>Massnahmen!I69</f>
        <v>0</v>
      </c>
      <c r="G69" s="1138" t="str">
        <f>Massnahmen!L69</f>
        <v/>
      </c>
      <c r="H69" s="669" t="s">
        <v>1882</v>
      </c>
      <c r="I69" s="718"/>
      <c r="J69" s="719"/>
      <c r="K69" s="724"/>
      <c r="L69" s="724"/>
      <c r="M69" s="724"/>
      <c r="N69" s="725"/>
      <c r="O69" s="623"/>
    </row>
    <row r="70" spans="2:15" ht="24" customHeight="1" x14ac:dyDescent="0.3">
      <c r="B70" s="717">
        <v>8</v>
      </c>
      <c r="C70" s="1139"/>
      <c r="D70" s="1076"/>
      <c r="E70" s="1137"/>
      <c r="F70" s="1099"/>
      <c r="G70" s="1097"/>
      <c r="H70" s="669" t="s">
        <v>1883</v>
      </c>
      <c r="I70" s="718"/>
      <c r="J70" s="719"/>
      <c r="K70" s="724"/>
      <c r="L70" s="724"/>
      <c r="M70" s="724"/>
      <c r="N70" s="725"/>
      <c r="O70" s="623"/>
    </row>
    <row r="71" spans="2:15" ht="24" customHeight="1" x14ac:dyDescent="0.3">
      <c r="B71" s="663">
        <v>9</v>
      </c>
      <c r="C71" s="1133">
        <f>IF(Massnahmen!C71&lt;&gt;"",Massnahmen!C71,"")</f>
        <v>9</v>
      </c>
      <c r="D71" s="1076" t="s">
        <v>1917</v>
      </c>
      <c r="E71" s="1134" t="str">
        <f>IF(Massnahmen!E71&lt;&gt;"",Massnahmen!E71,"")</f>
        <v/>
      </c>
      <c r="F71" s="1071">
        <f>Massnahmen!I71</f>
        <v>0</v>
      </c>
      <c r="G71" s="1132" t="str">
        <f>Massnahmen!L71</f>
        <v/>
      </c>
      <c r="H71" s="669" t="s">
        <v>1884</v>
      </c>
      <c r="I71" s="713"/>
      <c r="J71" s="714"/>
      <c r="K71" s="722"/>
      <c r="L71" s="722"/>
      <c r="M71" s="722"/>
      <c r="N71" s="723"/>
      <c r="O71" s="623"/>
    </row>
    <row r="72" spans="2:15" ht="24" customHeight="1" x14ac:dyDescent="0.3">
      <c r="B72" s="717">
        <v>9</v>
      </c>
      <c r="C72" s="1133"/>
      <c r="D72" s="1076"/>
      <c r="E72" s="1135"/>
      <c r="F72" s="1071"/>
      <c r="G72" s="1081"/>
      <c r="H72" s="669" t="s">
        <v>1885</v>
      </c>
      <c r="I72" s="713"/>
      <c r="J72" s="714"/>
      <c r="K72" s="722"/>
      <c r="L72" s="722"/>
      <c r="M72" s="722"/>
      <c r="N72" s="723"/>
      <c r="O72" s="623"/>
    </row>
    <row r="73" spans="2:15" ht="24" customHeight="1" x14ac:dyDescent="0.3">
      <c r="B73" s="717">
        <v>9</v>
      </c>
      <c r="C73" s="1133"/>
      <c r="D73" s="1076" t="s">
        <v>1918</v>
      </c>
      <c r="E73" s="1131" t="str">
        <f>IF(Massnahmen!E73&lt;&gt;"",Massnahmen!E73,"")</f>
        <v/>
      </c>
      <c r="F73" s="1071">
        <f>Massnahmen!I73</f>
        <v>0</v>
      </c>
      <c r="G73" s="1132" t="str">
        <f>Massnahmen!L73</f>
        <v/>
      </c>
      <c r="H73" s="669" t="s">
        <v>1886</v>
      </c>
      <c r="I73" s="713"/>
      <c r="J73" s="714"/>
      <c r="K73" s="722"/>
      <c r="L73" s="722"/>
      <c r="M73" s="722"/>
      <c r="N73" s="723"/>
      <c r="O73" s="623"/>
    </row>
    <row r="74" spans="2:15" ht="24" customHeight="1" x14ac:dyDescent="0.3">
      <c r="B74" s="717">
        <v>9</v>
      </c>
      <c r="C74" s="1133"/>
      <c r="D74" s="1076"/>
      <c r="E74" s="1131"/>
      <c r="F74" s="1071"/>
      <c r="G74" s="1081"/>
      <c r="H74" s="669" t="s">
        <v>1887</v>
      </c>
      <c r="I74" s="713"/>
      <c r="J74" s="714"/>
      <c r="K74" s="722"/>
      <c r="L74" s="722"/>
      <c r="M74" s="722"/>
      <c r="N74" s="723"/>
      <c r="O74" s="623"/>
    </row>
    <row r="75" spans="2:15" ht="24" customHeight="1" x14ac:dyDescent="0.3">
      <c r="B75" s="717">
        <v>9</v>
      </c>
      <c r="C75" s="1133"/>
      <c r="D75" s="1076" t="s">
        <v>1919</v>
      </c>
      <c r="E75" s="1130" t="str">
        <f>IF(Massnahmen!E75&lt;&gt;"",Massnahmen!E75,"")</f>
        <v/>
      </c>
      <c r="F75" s="1071">
        <f>Massnahmen!I75</f>
        <v>0</v>
      </c>
      <c r="G75" s="1132" t="str">
        <f>Massnahmen!L75</f>
        <v/>
      </c>
      <c r="H75" s="669" t="s">
        <v>1888</v>
      </c>
      <c r="I75" s="713"/>
      <c r="J75" s="714"/>
      <c r="K75" s="722"/>
      <c r="L75" s="722"/>
      <c r="M75" s="722"/>
      <c r="N75" s="723"/>
      <c r="O75" s="623"/>
    </row>
    <row r="76" spans="2:15" ht="24" customHeight="1" x14ac:dyDescent="0.3">
      <c r="B76" s="717">
        <v>9</v>
      </c>
      <c r="C76" s="1133"/>
      <c r="D76" s="1076"/>
      <c r="E76" s="1131"/>
      <c r="F76" s="1071"/>
      <c r="G76" s="1081"/>
      <c r="H76" s="669" t="s">
        <v>1889</v>
      </c>
      <c r="I76" s="713"/>
      <c r="J76" s="714"/>
      <c r="K76" s="722"/>
      <c r="L76" s="722"/>
      <c r="M76" s="722"/>
      <c r="N76" s="723"/>
      <c r="O76" s="623"/>
    </row>
    <row r="77" spans="2:15" ht="24" customHeight="1" x14ac:dyDescent="0.3">
      <c r="B77" s="717">
        <v>9</v>
      </c>
      <c r="C77" s="1133"/>
      <c r="D77" s="1076" t="s">
        <v>1920</v>
      </c>
      <c r="E77" s="1131" t="str">
        <f>IF(Massnahmen!E77&lt;&gt;"",Massnahmen!E77,"")</f>
        <v/>
      </c>
      <c r="F77" s="1071">
        <f>Massnahmen!I77</f>
        <v>0</v>
      </c>
      <c r="G77" s="1132" t="str">
        <f>Massnahmen!L77</f>
        <v/>
      </c>
      <c r="H77" s="669" t="s">
        <v>1890</v>
      </c>
      <c r="I77" s="713"/>
      <c r="J77" s="714"/>
      <c r="K77" s="722"/>
      <c r="L77" s="722"/>
      <c r="M77" s="722"/>
      <c r="N77" s="723"/>
      <c r="O77" s="623"/>
    </row>
    <row r="78" spans="2:15" ht="24" customHeight="1" x14ac:dyDescent="0.3">
      <c r="B78" s="717">
        <v>9</v>
      </c>
      <c r="C78" s="1133"/>
      <c r="D78" s="1076"/>
      <c r="E78" s="1131"/>
      <c r="F78" s="1082"/>
      <c r="G78" s="1081"/>
      <c r="H78" s="669" t="s">
        <v>1891</v>
      </c>
      <c r="I78" s="713"/>
      <c r="J78" s="714"/>
      <c r="K78" s="722"/>
      <c r="L78" s="722"/>
      <c r="M78" s="722"/>
      <c r="N78" s="723"/>
      <c r="O78" s="623"/>
    </row>
    <row r="79" spans="2:15" ht="24" customHeight="1" x14ac:dyDescent="0.3">
      <c r="B79" s="663">
        <v>10</v>
      </c>
      <c r="C79" s="1139">
        <f>IF(Massnahmen!C80&lt;&gt;"",Massnahmen!C80,"")</f>
        <v>10</v>
      </c>
      <c r="D79" s="1076" t="s">
        <v>1921</v>
      </c>
      <c r="E79" s="1140" t="str">
        <f>IF(Massnahmen!E80&lt;&gt;"",Massnahmen!E80,"")</f>
        <v/>
      </c>
      <c r="F79" s="1088">
        <f>Massnahmen!I80</f>
        <v>0</v>
      </c>
      <c r="G79" s="1138" t="str">
        <f>Massnahmen!L80</f>
        <v/>
      </c>
      <c r="H79" s="669" t="s">
        <v>1892</v>
      </c>
      <c r="I79" s="718"/>
      <c r="J79" s="719"/>
      <c r="K79" s="724"/>
      <c r="L79" s="724"/>
      <c r="M79" s="724"/>
      <c r="N79" s="725"/>
      <c r="O79" s="623"/>
    </row>
    <row r="80" spans="2:15" ht="24" customHeight="1" x14ac:dyDescent="0.3">
      <c r="B80" s="717">
        <v>10</v>
      </c>
      <c r="C80" s="1139"/>
      <c r="D80" s="1076"/>
      <c r="E80" s="1141"/>
      <c r="F80" s="1088"/>
      <c r="G80" s="1097"/>
      <c r="H80" s="669" t="s">
        <v>1893</v>
      </c>
      <c r="I80" s="718"/>
      <c r="J80" s="719"/>
      <c r="K80" s="724"/>
      <c r="L80" s="724"/>
      <c r="M80" s="724"/>
      <c r="N80" s="725"/>
      <c r="O80" s="623"/>
    </row>
    <row r="81" spans="1:15" ht="24" customHeight="1" x14ac:dyDescent="0.3">
      <c r="B81" s="717">
        <v>10</v>
      </c>
      <c r="C81" s="1139"/>
      <c r="D81" s="1076" t="s">
        <v>1922</v>
      </c>
      <c r="E81" s="1137" t="str">
        <f>IF(Massnahmen!E82&lt;&gt;"",Massnahmen!E82,"")</f>
        <v/>
      </c>
      <c r="F81" s="1088">
        <f>Massnahmen!I82</f>
        <v>0</v>
      </c>
      <c r="G81" s="1138" t="str">
        <f>Massnahmen!L82</f>
        <v/>
      </c>
      <c r="H81" s="669" t="s">
        <v>1894</v>
      </c>
      <c r="I81" s="718"/>
      <c r="J81" s="719"/>
      <c r="K81" s="724"/>
      <c r="L81" s="724"/>
      <c r="M81" s="724"/>
      <c r="N81" s="725"/>
      <c r="O81" s="623"/>
    </row>
    <row r="82" spans="1:15" ht="24" customHeight="1" x14ac:dyDescent="0.3">
      <c r="B82" s="717">
        <v>10</v>
      </c>
      <c r="C82" s="1139"/>
      <c r="D82" s="1076"/>
      <c r="E82" s="1137"/>
      <c r="F82" s="1088"/>
      <c r="G82" s="1097"/>
      <c r="H82" s="669" t="s">
        <v>1895</v>
      </c>
      <c r="I82" s="718"/>
      <c r="J82" s="719"/>
      <c r="K82" s="724"/>
      <c r="L82" s="724"/>
      <c r="M82" s="724"/>
      <c r="N82" s="725"/>
      <c r="O82" s="623"/>
    </row>
    <row r="83" spans="1:15" ht="24" customHeight="1" x14ac:dyDescent="0.3">
      <c r="B83" s="717">
        <v>10</v>
      </c>
      <c r="C83" s="1139"/>
      <c r="D83" s="1076" t="s">
        <v>1923</v>
      </c>
      <c r="E83" s="1136" t="str">
        <f>IF(Massnahmen!E84&lt;&gt;"",Massnahmen!E84,"")</f>
        <v/>
      </c>
      <c r="F83" s="1088">
        <f>Massnahmen!I84</f>
        <v>0</v>
      </c>
      <c r="G83" s="1138" t="str">
        <f>Massnahmen!L84</f>
        <v/>
      </c>
      <c r="H83" s="669" t="s">
        <v>1896</v>
      </c>
      <c r="I83" s="718"/>
      <c r="J83" s="719"/>
      <c r="K83" s="724"/>
      <c r="L83" s="724"/>
      <c r="M83" s="724"/>
      <c r="N83" s="725"/>
      <c r="O83" s="623"/>
    </row>
    <row r="84" spans="1:15" ht="24" customHeight="1" x14ac:dyDescent="0.3">
      <c r="B84" s="717">
        <v>10</v>
      </c>
      <c r="C84" s="1139"/>
      <c r="D84" s="1076"/>
      <c r="E84" s="1137"/>
      <c r="F84" s="1088"/>
      <c r="G84" s="1097"/>
      <c r="H84" s="669" t="s">
        <v>1897</v>
      </c>
      <c r="I84" s="718"/>
      <c r="J84" s="719"/>
      <c r="K84" s="724"/>
      <c r="L84" s="724"/>
      <c r="M84" s="724"/>
      <c r="N84" s="725"/>
      <c r="O84" s="623"/>
    </row>
    <row r="85" spans="1:15" ht="24" customHeight="1" x14ac:dyDescent="0.3">
      <c r="B85" s="717">
        <v>10</v>
      </c>
      <c r="C85" s="1139"/>
      <c r="D85" s="1076" t="s">
        <v>1924</v>
      </c>
      <c r="E85" s="1137" t="str">
        <f>IF(Massnahmen!E86&lt;&gt;"",Massnahmen!E86,"")</f>
        <v/>
      </c>
      <c r="F85" s="1088">
        <f>Massnahmen!I86</f>
        <v>0</v>
      </c>
      <c r="G85" s="1138" t="str">
        <f>Massnahmen!L86</f>
        <v/>
      </c>
      <c r="H85" s="669" t="s">
        <v>1898</v>
      </c>
      <c r="I85" s="718"/>
      <c r="J85" s="719"/>
      <c r="K85" s="724"/>
      <c r="L85" s="724"/>
      <c r="M85" s="724"/>
      <c r="N85" s="725"/>
      <c r="O85" s="623"/>
    </row>
    <row r="86" spans="1:15" ht="24" customHeight="1" x14ac:dyDescent="0.3">
      <c r="B86" s="717">
        <v>10</v>
      </c>
      <c r="C86" s="1139"/>
      <c r="D86" s="1076"/>
      <c r="E86" s="1137"/>
      <c r="F86" s="1099"/>
      <c r="G86" s="1097"/>
      <c r="H86" s="669" t="s">
        <v>1899</v>
      </c>
      <c r="I86" s="718"/>
      <c r="J86" s="719"/>
      <c r="K86" s="724"/>
      <c r="L86" s="724"/>
      <c r="M86" s="724"/>
      <c r="N86" s="725"/>
      <c r="O86" s="623"/>
    </row>
    <row r="87" spans="1:15" s="696" customFormat="1" ht="15.6" x14ac:dyDescent="0.3">
      <c r="A87" s="633" t="str">
        <f>IF($C$87="","","ok")</f>
        <v>ok</v>
      </c>
      <c r="C87" s="335" t="s">
        <v>1776</v>
      </c>
      <c r="D87"/>
      <c r="E87" s="241"/>
      <c r="F87" s="245"/>
      <c r="G87" s="246"/>
      <c r="H87" s="697"/>
      <c r="I87" s="247"/>
      <c r="J87" s="247"/>
      <c r="K87" s="247"/>
      <c r="L87" s="247"/>
      <c r="M87" s="247"/>
      <c r="N87" s="246"/>
      <c r="O87" s="623"/>
    </row>
    <row r="88" spans="1:15" ht="15.6" x14ac:dyDescent="0.3">
      <c r="F88" s="700"/>
      <c r="G88" s="701"/>
      <c r="H88" s="697"/>
      <c r="I88" s="702"/>
      <c r="J88" s="702"/>
      <c r="K88" s="702"/>
      <c r="L88" s="702"/>
      <c r="M88" s="702"/>
      <c r="N88" s="701"/>
    </row>
    <row r="89" spans="1:15" ht="18.75" customHeight="1" x14ac:dyDescent="0.3">
      <c r="F89" s="700"/>
      <c r="G89" s="701"/>
      <c r="H89" s="697"/>
      <c r="I89" s="702"/>
      <c r="J89" s="702"/>
      <c r="K89" s="702"/>
      <c r="L89" s="702"/>
      <c r="M89" s="702"/>
      <c r="N89" s="701"/>
    </row>
    <row r="90" spans="1:15" ht="18.75" customHeight="1" x14ac:dyDescent="0.3">
      <c r="F90" s="700"/>
      <c r="G90" s="701"/>
      <c r="H90" s="697"/>
      <c r="I90" s="702"/>
      <c r="J90" s="702"/>
      <c r="K90" s="702"/>
      <c r="L90" s="702"/>
      <c r="M90" s="702"/>
      <c r="N90" s="701"/>
    </row>
    <row r="91" spans="1:15" ht="18.75" customHeight="1" x14ac:dyDescent="0.3">
      <c r="F91" s="700"/>
      <c r="G91" s="701"/>
      <c r="H91" s="697"/>
      <c r="I91" s="702"/>
      <c r="J91" s="702"/>
      <c r="K91" s="702"/>
      <c r="L91" s="702"/>
      <c r="M91" s="702"/>
      <c r="N91" s="701"/>
    </row>
    <row r="92" spans="1:15" ht="18.75" customHeight="1" x14ac:dyDescent="0.3">
      <c r="F92" s="700"/>
      <c r="G92" s="701"/>
      <c r="H92" s="697"/>
      <c r="I92" s="702"/>
      <c r="J92" s="702"/>
      <c r="K92" s="702"/>
      <c r="L92" s="702"/>
      <c r="M92" s="702"/>
      <c r="N92" s="701"/>
    </row>
    <row r="93" spans="1:15" ht="18.75" customHeight="1" x14ac:dyDescent="0.3">
      <c r="F93" s="700"/>
      <c r="G93" s="701"/>
      <c r="H93" s="697"/>
      <c r="I93" s="702"/>
      <c r="J93" s="702"/>
      <c r="K93" s="702"/>
      <c r="L93" s="702"/>
      <c r="M93" s="702"/>
      <c r="N93" s="701"/>
    </row>
  </sheetData>
  <sheetProtection sheet="1" objects="1" scenarios="1" formatCells="0" formatColumns="0" formatRows="0" insertHyperlinks="0" selectLockedCells="1" sort="0" autoFilter="0"/>
  <autoFilter ref="A6:N87" xr:uid="{00000000-0009-0000-0000-000019000000}"/>
  <mergeCells count="170">
    <mergeCell ref="E83:E84"/>
    <mergeCell ref="F83:F84"/>
    <mergeCell ref="G83:G84"/>
    <mergeCell ref="D85:D86"/>
    <mergeCell ref="E85:E86"/>
    <mergeCell ref="F85:F86"/>
    <mergeCell ref="G85:G86"/>
    <mergeCell ref="C79:C86"/>
    <mergeCell ref="D79:D80"/>
    <mergeCell ref="E79:E80"/>
    <mergeCell ref="F79:F80"/>
    <mergeCell ref="G79:G80"/>
    <mergeCell ref="D81:D82"/>
    <mergeCell ref="E81:E82"/>
    <mergeCell ref="F81:F82"/>
    <mergeCell ref="G81:G82"/>
    <mergeCell ref="D83:D84"/>
    <mergeCell ref="E75:E76"/>
    <mergeCell ref="F75:F76"/>
    <mergeCell ref="G75:G76"/>
    <mergeCell ref="D77:D78"/>
    <mergeCell ref="E77:E78"/>
    <mergeCell ref="F77:F78"/>
    <mergeCell ref="G77:G78"/>
    <mergeCell ref="C71:C78"/>
    <mergeCell ref="D71:D72"/>
    <mergeCell ref="E71:E72"/>
    <mergeCell ref="F71:F72"/>
    <mergeCell ref="G71:G72"/>
    <mergeCell ref="D73:D74"/>
    <mergeCell ref="E73:E74"/>
    <mergeCell ref="F73:F74"/>
    <mergeCell ref="G73:G74"/>
    <mergeCell ref="D75:D76"/>
    <mergeCell ref="E67:E68"/>
    <mergeCell ref="F67:F68"/>
    <mergeCell ref="G67:G68"/>
    <mergeCell ref="D69:D70"/>
    <mergeCell ref="E69:E70"/>
    <mergeCell ref="F69:F70"/>
    <mergeCell ref="G69:G70"/>
    <mergeCell ref="C63:C70"/>
    <mergeCell ref="D63:D64"/>
    <mergeCell ref="E63:E64"/>
    <mergeCell ref="F63:F64"/>
    <mergeCell ref="G63:G64"/>
    <mergeCell ref="D65:D66"/>
    <mergeCell ref="E65:E66"/>
    <mergeCell ref="F65:F66"/>
    <mergeCell ref="G65:G66"/>
    <mergeCell ref="D67:D68"/>
    <mergeCell ref="E59:E60"/>
    <mergeCell ref="F59:F60"/>
    <mergeCell ref="G59:G60"/>
    <mergeCell ref="D61:D62"/>
    <mergeCell ref="E61:E62"/>
    <mergeCell ref="F61:F62"/>
    <mergeCell ref="G61:G62"/>
    <mergeCell ref="C55:C62"/>
    <mergeCell ref="D55:D56"/>
    <mergeCell ref="E55:E56"/>
    <mergeCell ref="F55:F56"/>
    <mergeCell ref="G55:G56"/>
    <mergeCell ref="D57:D58"/>
    <mergeCell ref="E57:E58"/>
    <mergeCell ref="F57:F58"/>
    <mergeCell ref="G57:G58"/>
    <mergeCell ref="D59:D60"/>
    <mergeCell ref="E51:E52"/>
    <mergeCell ref="F51:F52"/>
    <mergeCell ref="G51:G52"/>
    <mergeCell ref="D53:D54"/>
    <mergeCell ref="E53:E54"/>
    <mergeCell ref="F53:F54"/>
    <mergeCell ref="G53:G54"/>
    <mergeCell ref="C47:C54"/>
    <mergeCell ref="D47:D48"/>
    <mergeCell ref="E47:E48"/>
    <mergeCell ref="F47:F48"/>
    <mergeCell ref="G47:G48"/>
    <mergeCell ref="D49:D50"/>
    <mergeCell ref="E49:E50"/>
    <mergeCell ref="F49:F50"/>
    <mergeCell ref="G49:G50"/>
    <mergeCell ref="D51:D52"/>
    <mergeCell ref="E43:E44"/>
    <mergeCell ref="F43:F44"/>
    <mergeCell ref="G43:G44"/>
    <mergeCell ref="D45:D46"/>
    <mergeCell ref="E45:E46"/>
    <mergeCell ref="F45:F46"/>
    <mergeCell ref="G45:G46"/>
    <mergeCell ref="C39:C46"/>
    <mergeCell ref="D39:D40"/>
    <mergeCell ref="E39:E40"/>
    <mergeCell ref="F39:F40"/>
    <mergeCell ref="G39:G40"/>
    <mergeCell ref="D41:D42"/>
    <mergeCell ref="E41:E42"/>
    <mergeCell ref="F41:F42"/>
    <mergeCell ref="G41:G42"/>
    <mergeCell ref="D43:D44"/>
    <mergeCell ref="E35:E36"/>
    <mergeCell ref="F35:F36"/>
    <mergeCell ref="G35:G36"/>
    <mergeCell ref="D37:D38"/>
    <mergeCell ref="E37:E38"/>
    <mergeCell ref="F37:F38"/>
    <mergeCell ref="G37:G38"/>
    <mergeCell ref="C31:C38"/>
    <mergeCell ref="D31:D32"/>
    <mergeCell ref="E31:E32"/>
    <mergeCell ref="F31:F32"/>
    <mergeCell ref="G31:G32"/>
    <mergeCell ref="D33:D34"/>
    <mergeCell ref="E33:E34"/>
    <mergeCell ref="F33:F34"/>
    <mergeCell ref="G33:G34"/>
    <mergeCell ref="D35:D36"/>
    <mergeCell ref="E27:E28"/>
    <mergeCell ref="F27:F28"/>
    <mergeCell ref="G27:G28"/>
    <mergeCell ref="D29:D30"/>
    <mergeCell ref="E29:E30"/>
    <mergeCell ref="F29:F30"/>
    <mergeCell ref="G29:G30"/>
    <mergeCell ref="C23:C30"/>
    <mergeCell ref="D23:D24"/>
    <mergeCell ref="E23:E24"/>
    <mergeCell ref="F23:F24"/>
    <mergeCell ref="G23:G24"/>
    <mergeCell ref="D25:D26"/>
    <mergeCell ref="E25:E26"/>
    <mergeCell ref="F25:F26"/>
    <mergeCell ref="G25:G26"/>
    <mergeCell ref="D27:D28"/>
    <mergeCell ref="E19:E20"/>
    <mergeCell ref="F19:F20"/>
    <mergeCell ref="G19:G20"/>
    <mergeCell ref="D21:D22"/>
    <mergeCell ref="E21:E22"/>
    <mergeCell ref="F21:F22"/>
    <mergeCell ref="G21:G22"/>
    <mergeCell ref="C15:C22"/>
    <mergeCell ref="D15:D16"/>
    <mergeCell ref="E15:E16"/>
    <mergeCell ref="F15:F16"/>
    <mergeCell ref="G15:G16"/>
    <mergeCell ref="D17:D18"/>
    <mergeCell ref="E17:E18"/>
    <mergeCell ref="F17:F18"/>
    <mergeCell ref="G17:G18"/>
    <mergeCell ref="D19:D20"/>
    <mergeCell ref="E11:E12"/>
    <mergeCell ref="F11:F12"/>
    <mergeCell ref="G11:G12"/>
    <mergeCell ref="D13:D14"/>
    <mergeCell ref="E13:E14"/>
    <mergeCell ref="F13:F14"/>
    <mergeCell ref="G13:G14"/>
    <mergeCell ref="C7:C14"/>
    <mergeCell ref="D7:D8"/>
    <mergeCell ref="E7:E8"/>
    <mergeCell ref="F7:F8"/>
    <mergeCell ref="G7:G8"/>
    <mergeCell ref="D9:D10"/>
    <mergeCell ref="E9:E10"/>
    <mergeCell ref="F9:F10"/>
    <mergeCell ref="G9:G10"/>
    <mergeCell ref="D11:D12"/>
  </mergeCells>
  <conditionalFormatting sqref="C7:C86">
    <cfRule type="expression" dxfId="64" priority="30">
      <formula>$B7=1</formula>
    </cfRule>
    <cfRule type="expression" dxfId="63" priority="31">
      <formula>$B7=2</formula>
    </cfRule>
    <cfRule type="expression" dxfId="62" priority="32">
      <formula>$B7=3</formula>
    </cfRule>
    <cfRule type="expression" dxfId="61" priority="33">
      <formula>$B7=4</formula>
    </cfRule>
    <cfRule type="expression" dxfId="60" priority="34">
      <formula>$B7=5</formula>
    </cfRule>
    <cfRule type="expression" dxfId="59" priority="35">
      <formula>$B7=6</formula>
    </cfRule>
    <cfRule type="expression" dxfId="58" priority="36">
      <formula>$B7=7</formula>
    </cfRule>
    <cfRule type="expression" dxfId="57" priority="37">
      <formula>$B7=8</formula>
    </cfRule>
    <cfRule type="expression" dxfId="56" priority="38">
      <formula>$B7=9</formula>
    </cfRule>
    <cfRule type="expression" dxfId="55" priority="39">
      <formula>$B7=10</formula>
    </cfRule>
  </conditionalFormatting>
  <conditionalFormatting sqref="E7:F86">
    <cfRule type="expression" dxfId="54" priority="23">
      <formula>$B7=4</formula>
    </cfRule>
    <cfRule type="expression" dxfId="53" priority="21">
      <formula>$B7=2</formula>
    </cfRule>
    <cfRule type="expression" dxfId="52" priority="22">
      <formula>$B7=3</formula>
    </cfRule>
    <cfRule type="expression" dxfId="51" priority="25">
      <formula>$B7=6</formula>
    </cfRule>
    <cfRule type="expression" dxfId="50" priority="24">
      <formula>$B7=5</formula>
    </cfRule>
    <cfRule type="expression" dxfId="49" priority="20">
      <formula>$B7=1</formula>
    </cfRule>
    <cfRule type="expression" dxfId="48" priority="26">
      <formula>$B7=7</formula>
    </cfRule>
    <cfRule type="expression" dxfId="47" priority="27">
      <formula>$B7=8</formula>
    </cfRule>
    <cfRule type="expression" dxfId="46" priority="28">
      <formula>$B7=9</formula>
    </cfRule>
    <cfRule type="expression" dxfId="45" priority="29">
      <formula>$B7=10</formula>
    </cfRule>
  </conditionalFormatting>
  <conditionalFormatting sqref="G7:G86">
    <cfRule type="iconSet" priority="19">
      <iconSet iconSet="3Symbols2" showValue="0" reverse="1">
        <cfvo type="percent" val="0"/>
        <cfvo type="percent" val="33"/>
        <cfvo type="percent" val="67"/>
      </iconSet>
    </cfRule>
  </conditionalFormatting>
  <conditionalFormatting sqref="G87">
    <cfRule type="iconSet" priority="40">
      <iconSet iconSet="3Symbols2" showValue="0" reverse="1">
        <cfvo type="percent" val="0"/>
        <cfvo type="num" val="1.25"/>
        <cfvo type="num" val="2.25"/>
      </iconSet>
    </cfRule>
  </conditionalFormatting>
  <conditionalFormatting sqref="I7:I86 K7:N86">
    <cfRule type="expression" dxfId="44" priority="7">
      <formula>$B7=1</formula>
    </cfRule>
    <cfRule type="expression" dxfId="43" priority="8">
      <formula>$B7=2</formula>
    </cfRule>
    <cfRule type="expression" dxfId="42" priority="9">
      <formula>$B7=3</formula>
    </cfRule>
    <cfRule type="expression" dxfId="41" priority="10">
      <formula>$B7=4</formula>
    </cfRule>
    <cfRule type="expression" dxfId="40" priority="11">
      <formula>$B7=5</formula>
    </cfRule>
    <cfRule type="expression" dxfId="39" priority="12">
      <formula>$B7=6</formula>
    </cfRule>
    <cfRule type="expression" dxfId="38" priority="13">
      <formula>$B7=7</formula>
    </cfRule>
    <cfRule type="expression" dxfId="37" priority="14">
      <formula>$B7=8</formula>
    </cfRule>
    <cfRule type="expression" dxfId="36" priority="15">
      <formula>$B7=9</formula>
    </cfRule>
    <cfRule type="expression" dxfId="35" priority="16">
      <formula>$B7=10</formula>
    </cfRule>
  </conditionalFormatting>
  <conditionalFormatting sqref="J7:J86">
    <cfRule type="expression" dxfId="34" priority="2">
      <formula>J7=2</formula>
    </cfRule>
    <cfRule type="expression" dxfId="33" priority="3">
      <formula>J7=1</formula>
    </cfRule>
    <cfRule type="expression" dxfId="32" priority="1">
      <formula>J7=3</formula>
    </cfRule>
  </conditionalFormatting>
  <conditionalFormatting sqref="N6">
    <cfRule type="iconSet" priority="18">
      <iconSet iconSet="3Symbols2" showValue="0" reverse="1">
        <cfvo type="percent" val="0"/>
        <cfvo type="num" val="1.25"/>
        <cfvo type="num" val="2.25"/>
      </iconSet>
    </cfRule>
  </conditionalFormatting>
  <conditionalFormatting sqref="N7:N86">
    <cfRule type="iconSet" priority="17">
      <iconSet iconSet="3Symbols2" showValue="0" reverse="1">
        <cfvo type="percent" val="0"/>
        <cfvo type="num" val="1.25"/>
        <cfvo type="num" val="2.25"/>
      </iconSet>
    </cfRule>
  </conditionalFormatting>
  <conditionalFormatting sqref="N87">
    <cfRule type="iconSet" priority="41">
      <iconSet iconSet="3Symbols2" showValue="0" reverse="1">
        <cfvo type="percent" val="0"/>
        <cfvo type="num" val="1.25"/>
        <cfvo type="num" val="2.25"/>
      </iconSet>
    </cfRule>
    <cfRule type="iconSet" priority="42">
      <iconSet iconSet="3Symbols2" showValue="0" reverse="1">
        <cfvo type="percent" val="0"/>
        <cfvo type="num" val="1.25"/>
        <cfvo type="num" val="2.25"/>
      </iconSet>
    </cfRule>
  </conditionalFormatting>
  <dataValidations count="2">
    <dataValidation type="list" showInputMessage="1" showErrorMessage="1" sqref="N7:N86" xr:uid="{00000000-0002-0000-1900-000000000000}">
      <formula1>"1,2,3"</formula1>
    </dataValidation>
    <dataValidation type="list" allowBlank="1" showInputMessage="1" showErrorMessage="1" sqref="J7:J86" xr:uid="{00000000-0002-0000-1900-000001000000}">
      <formula1>"1,2,3"</formula1>
    </dataValidation>
  </dataValidations>
  <pageMargins left="0.19685039370078741" right="0.19685039370078741" top="0.31496062992125984" bottom="0.43307086614173229" header="0" footer="0.19685039370078741"/>
  <pageSetup paperSize="8" scale="91" fitToHeight="2" orientation="portrait" r:id="rId1"/>
  <headerFooter>
    <oddFooter>&amp;L&amp;8(c) S. Imboden&amp;C&amp;8gedruckt am &amp;D&amp;R&amp;8&amp;P/&amp;N</oddFooter>
  </headerFooter>
  <drawing r:id="rId2"/>
  <legacyDrawing r:id="rId3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Tabelle23">
    <tabColor theme="4" tint="0.59999389629810485"/>
    <pageSetUpPr fitToPage="1"/>
  </sheetPr>
  <dimension ref="A1:K91"/>
  <sheetViews>
    <sheetView showGridLines="0" zoomScaleNormal="100" workbookViewId="0">
      <pane ySplit="4" topLeftCell="A5" activePane="bottomLeft" state="frozen"/>
      <selection activeCell="K1" sqref="K1"/>
      <selection pane="bottomLeft" activeCell="C5" sqref="C5"/>
    </sheetView>
  </sheetViews>
  <sheetFormatPr baseColWidth="10" defaultColWidth="12.5546875" defaultRowHeight="14.4" x14ac:dyDescent="0.3"/>
  <cols>
    <col min="1" max="1" width="7" style="7" customWidth="1"/>
    <col min="2" max="2" width="4.5546875" style="16" customWidth="1"/>
    <col min="3" max="3" width="29" style="16" customWidth="1"/>
    <col min="4" max="4" width="11.6640625" style="16" customWidth="1"/>
    <col min="5" max="5" width="11.44140625" style="16" bestFit="1" customWidth="1"/>
    <col min="6" max="6" width="31.6640625" style="16" customWidth="1"/>
    <col min="7" max="7" width="12.109375" style="16" customWidth="1"/>
    <col min="8" max="8" width="7" style="16" customWidth="1"/>
    <col min="9" max="9" width="26" style="16" customWidth="1"/>
    <col min="10" max="10" width="7" style="16" customWidth="1"/>
    <col min="11" max="11" width="0.109375" style="16" customWidth="1"/>
    <col min="12" max="19" width="4" style="16" customWidth="1"/>
    <col min="20" max="16384" width="12.5546875" style="16"/>
  </cols>
  <sheetData>
    <row r="1" spans="1:11" s="12" customFormat="1" ht="44.4" customHeight="1" x14ac:dyDescent="0.3">
      <c r="A1" s="2"/>
      <c r="B1" s="11" t="str">
        <f ca="1">' '!A418</f>
        <v>P O R T F E U I L   D E S    I N N O V A T I O N S</v>
      </c>
      <c r="C1" s="11"/>
      <c r="D1" s="11"/>
      <c r="E1" s="11"/>
      <c r="F1" s="11"/>
      <c r="G1" s="11"/>
      <c r="H1" s="11"/>
      <c r="I1" s="11"/>
      <c r="J1" s="260"/>
    </row>
    <row r="2" spans="1:11" s="8" customFormat="1" ht="22.5" customHeight="1" x14ac:dyDescent="0.3">
      <c r="A2" s="7"/>
      <c r="B2" s="14"/>
    </row>
    <row r="3" spans="1:11" ht="7.5" customHeight="1" x14ac:dyDescent="0.3">
      <c r="C3" s="8"/>
    </row>
    <row r="4" spans="1:11" ht="28.8" x14ac:dyDescent="0.3">
      <c r="B4" s="340" t="str">
        <f ca="1">' '!A117</f>
        <v>No.</v>
      </c>
      <c r="C4" s="341" t="str">
        <f ca="1">' '!A421</f>
        <v>Innovations</v>
      </c>
      <c r="D4" s="341" t="str">
        <f ca="1">' '!A419</f>
        <v>Risque</v>
      </c>
      <c r="E4" s="341" t="str">
        <f ca="1">' '!A420</f>
        <v>Rentabilité</v>
      </c>
      <c r="F4" s="341" t="str">
        <f ca="1">' '!A119</f>
        <v>Impact</v>
      </c>
      <c r="G4" s="767" t="str">
        <f ca="1">' '!A125</f>
        <v>Étendue de l'impact</v>
      </c>
      <c r="H4" s="341" t="str">
        <f ca="1">' '!A122</f>
        <v>Ten-
dance</v>
      </c>
      <c r="I4" s="341" t="str">
        <f ca="1">' '!A123</f>
        <v>Mesures possibles</v>
      </c>
      <c r="J4" s="342" t="str">
        <f ca="1">' '!A124</f>
        <v>Statut</v>
      </c>
    </row>
    <row r="5" spans="1:11" ht="23.4" x14ac:dyDescent="0.3">
      <c r="B5" s="768" t="s">
        <v>992</v>
      </c>
      <c r="C5" s="769" t="s">
        <v>948</v>
      </c>
      <c r="D5" s="345">
        <v>8</v>
      </c>
      <c r="E5" s="345">
        <v>9</v>
      </c>
      <c r="F5" s="770"/>
      <c r="G5" s="771">
        <v>1</v>
      </c>
      <c r="H5" s="772">
        <v>3</v>
      </c>
      <c r="I5" s="770"/>
      <c r="J5" s="773">
        <v>1</v>
      </c>
      <c r="K5" s="339">
        <f>IF(G5=3,3,
IF(G5=2,2,1))</f>
        <v>1</v>
      </c>
    </row>
    <row r="6" spans="1:11" ht="23.4" x14ac:dyDescent="0.3">
      <c r="B6" s="774" t="s">
        <v>993</v>
      </c>
      <c r="C6" s="775" t="s">
        <v>949</v>
      </c>
      <c r="D6" s="345">
        <v>3</v>
      </c>
      <c r="E6" s="345">
        <v>6</v>
      </c>
      <c r="F6" s="776"/>
      <c r="G6" s="777">
        <v>2</v>
      </c>
      <c r="H6" s="778">
        <v>2</v>
      </c>
      <c r="I6" s="776"/>
      <c r="J6" s="779">
        <v>3</v>
      </c>
      <c r="K6" s="339">
        <f t="shared" ref="K6:K19" si="0">IF(G6=3,3,
IF(G6=2,2,1))</f>
        <v>2</v>
      </c>
    </row>
    <row r="7" spans="1:11" ht="23.4" x14ac:dyDescent="0.3">
      <c r="B7" s="780" t="s">
        <v>994</v>
      </c>
      <c r="C7" s="781"/>
      <c r="D7" s="345"/>
      <c r="E7" s="345"/>
      <c r="F7" s="782"/>
      <c r="G7" s="783"/>
      <c r="H7" s="784"/>
      <c r="I7" s="782"/>
      <c r="J7" s="785"/>
      <c r="K7" s="339">
        <f t="shared" si="0"/>
        <v>1</v>
      </c>
    </row>
    <row r="8" spans="1:11" ht="23.4" x14ac:dyDescent="0.3">
      <c r="B8" s="786" t="s">
        <v>995</v>
      </c>
      <c r="C8" s="787"/>
      <c r="D8" s="345"/>
      <c r="E8" s="345"/>
      <c r="F8" s="788"/>
      <c r="G8" s="789"/>
      <c r="H8" s="790"/>
      <c r="I8" s="788"/>
      <c r="J8" s="791"/>
      <c r="K8" s="339">
        <f t="shared" si="0"/>
        <v>1</v>
      </c>
    </row>
    <row r="9" spans="1:11" ht="23.4" x14ac:dyDescent="0.3">
      <c r="B9" s="792" t="s">
        <v>996</v>
      </c>
      <c r="C9" s="776"/>
      <c r="D9" s="345"/>
      <c r="E9" s="345"/>
      <c r="F9" s="793"/>
      <c r="G9" s="794"/>
      <c r="H9" s="795"/>
      <c r="I9" s="793"/>
      <c r="J9" s="796"/>
      <c r="K9" s="339">
        <f t="shared" si="0"/>
        <v>1</v>
      </c>
    </row>
    <row r="10" spans="1:11" ht="23.4" x14ac:dyDescent="0.3">
      <c r="B10" s="797" t="s">
        <v>997</v>
      </c>
      <c r="C10" s="798"/>
      <c r="D10" s="345"/>
      <c r="E10" s="345"/>
      <c r="F10" s="799"/>
      <c r="G10" s="800"/>
      <c r="H10" s="801"/>
      <c r="I10" s="799"/>
      <c r="J10" s="802"/>
      <c r="K10" s="339">
        <f t="shared" si="0"/>
        <v>1</v>
      </c>
    </row>
    <row r="11" spans="1:11" ht="23.4" x14ac:dyDescent="0.3">
      <c r="B11" s="803" t="s">
        <v>998</v>
      </c>
      <c r="C11" s="804"/>
      <c r="D11" s="345"/>
      <c r="E11" s="345"/>
      <c r="F11" s="787"/>
      <c r="G11" s="736"/>
      <c r="H11" s="805"/>
      <c r="I11" s="806"/>
      <c r="J11" s="807"/>
      <c r="K11" s="339">
        <f t="shared" si="0"/>
        <v>1</v>
      </c>
    </row>
    <row r="12" spans="1:11" ht="23.4" x14ac:dyDescent="0.3">
      <c r="B12" s="808" t="s">
        <v>999</v>
      </c>
      <c r="C12" s="809"/>
      <c r="D12" s="345"/>
      <c r="E12" s="345"/>
      <c r="F12" s="810"/>
      <c r="G12" s="811"/>
      <c r="H12" s="812"/>
      <c r="I12" s="813"/>
      <c r="J12" s="814"/>
      <c r="K12" s="339">
        <f t="shared" si="0"/>
        <v>1</v>
      </c>
    </row>
    <row r="13" spans="1:11" ht="23.4" x14ac:dyDescent="0.3">
      <c r="B13" s="815" t="s">
        <v>1000</v>
      </c>
      <c r="C13" s="816"/>
      <c r="D13" s="345"/>
      <c r="E13" s="345"/>
      <c r="F13" s="817"/>
      <c r="G13" s="818"/>
      <c r="H13" s="819"/>
      <c r="I13" s="817"/>
      <c r="J13" s="820"/>
      <c r="K13" s="339">
        <f t="shared" si="0"/>
        <v>1</v>
      </c>
    </row>
    <row r="14" spans="1:11" ht="23.4" x14ac:dyDescent="0.3">
      <c r="B14" s="821" t="s">
        <v>1001</v>
      </c>
      <c r="C14" s="793"/>
      <c r="D14" s="345"/>
      <c r="E14" s="345"/>
      <c r="F14" s="817"/>
      <c r="G14" s="818"/>
      <c r="H14" s="819"/>
      <c r="I14" s="817"/>
      <c r="J14" s="820"/>
      <c r="K14" s="339">
        <f t="shared" si="0"/>
        <v>1</v>
      </c>
    </row>
    <row r="15" spans="1:11" ht="23.4" x14ac:dyDescent="0.3">
      <c r="B15" s="822" t="s">
        <v>1002</v>
      </c>
      <c r="C15" s="806"/>
      <c r="D15" s="345"/>
      <c r="E15" s="345"/>
      <c r="F15" s="817"/>
      <c r="G15" s="818"/>
      <c r="H15" s="819"/>
      <c r="I15" s="817"/>
      <c r="J15" s="820"/>
      <c r="K15" s="339">
        <f t="shared" si="0"/>
        <v>1</v>
      </c>
    </row>
    <row r="16" spans="1:11" ht="23.4" x14ac:dyDescent="0.3">
      <c r="B16" s="823" t="s">
        <v>1003</v>
      </c>
      <c r="C16" s="799"/>
      <c r="D16" s="345"/>
      <c r="E16" s="345"/>
      <c r="F16" s="817"/>
      <c r="G16" s="818"/>
      <c r="H16" s="819"/>
      <c r="I16" s="817"/>
      <c r="J16" s="820"/>
      <c r="K16" s="339">
        <f t="shared" si="0"/>
        <v>1</v>
      </c>
    </row>
    <row r="17" spans="2:11" ht="23.4" x14ac:dyDescent="0.3">
      <c r="B17" s="824" t="s">
        <v>1004</v>
      </c>
      <c r="C17" s="825"/>
      <c r="D17" s="345"/>
      <c r="E17" s="345"/>
      <c r="F17" s="817"/>
      <c r="G17" s="818"/>
      <c r="H17" s="819"/>
      <c r="I17" s="817"/>
      <c r="J17" s="820"/>
      <c r="K17" s="339">
        <f t="shared" si="0"/>
        <v>1</v>
      </c>
    </row>
    <row r="18" spans="2:11" ht="23.4" x14ac:dyDescent="0.3">
      <c r="B18" s="826" t="s">
        <v>1005</v>
      </c>
      <c r="C18" s="827"/>
      <c r="D18" s="345"/>
      <c r="E18" s="345"/>
      <c r="F18" s="817"/>
      <c r="G18" s="818"/>
      <c r="H18" s="819"/>
      <c r="I18" s="817"/>
      <c r="J18" s="820"/>
      <c r="K18" s="339">
        <f t="shared" si="0"/>
        <v>1</v>
      </c>
    </row>
    <row r="19" spans="2:11" ht="23.4" x14ac:dyDescent="0.3">
      <c r="B19" s="828" t="s">
        <v>1006</v>
      </c>
      <c r="C19" s="829"/>
      <c r="D19" s="350"/>
      <c r="E19" s="350"/>
      <c r="F19" s="830"/>
      <c r="G19" s="831"/>
      <c r="H19" s="832"/>
      <c r="I19" s="830"/>
      <c r="J19" s="833"/>
      <c r="K19" s="339">
        <f t="shared" si="0"/>
        <v>1</v>
      </c>
    </row>
    <row r="20" spans="2:11" x14ac:dyDescent="0.3">
      <c r="B20" s="335" t="s">
        <v>1776</v>
      </c>
      <c r="C20"/>
    </row>
    <row r="49" spans="1:9" x14ac:dyDescent="0.3">
      <c r="I49" s="62"/>
    </row>
    <row r="56" spans="1:9" ht="0.9" customHeight="1" x14ac:dyDescent="0.3">
      <c r="A56" s="20"/>
    </row>
    <row r="57" spans="1:9" x14ac:dyDescent="0.3">
      <c r="B57"/>
      <c r="C57"/>
    </row>
    <row r="66" spans="1:7" ht="15.6" x14ac:dyDescent="0.3">
      <c r="F66" s="9"/>
      <c r="G66" s="9"/>
    </row>
    <row r="72" spans="1:7" x14ac:dyDescent="0.3">
      <c r="D72" s="22"/>
    </row>
    <row r="73" spans="1:7" x14ac:dyDescent="0.3">
      <c r="D73" s="8"/>
    </row>
    <row r="74" spans="1:7" x14ac:dyDescent="0.3">
      <c r="D74" s="8"/>
    </row>
    <row r="75" spans="1:7" x14ac:dyDescent="0.3">
      <c r="D75" s="8"/>
    </row>
    <row r="76" spans="1:7" x14ac:dyDescent="0.3">
      <c r="D76" s="8"/>
    </row>
    <row r="77" spans="1:7" x14ac:dyDescent="0.3">
      <c r="D77" s="8"/>
    </row>
    <row r="78" spans="1:7" x14ac:dyDescent="0.3">
      <c r="A78" s="20"/>
      <c r="D78" s="8"/>
    </row>
    <row r="79" spans="1:7" x14ac:dyDescent="0.3">
      <c r="D79" s="8"/>
    </row>
    <row r="80" spans="1:7" x14ac:dyDescent="0.3">
      <c r="D80" s="8"/>
    </row>
    <row r="81" spans="4:4" x14ac:dyDescent="0.3">
      <c r="D81" s="8"/>
    </row>
    <row r="82" spans="4:4" x14ac:dyDescent="0.3">
      <c r="D82" s="8"/>
    </row>
    <row r="83" spans="4:4" x14ac:dyDescent="0.3">
      <c r="D83" s="8"/>
    </row>
    <row r="84" spans="4:4" x14ac:dyDescent="0.3">
      <c r="D84" s="8"/>
    </row>
    <row r="85" spans="4:4" x14ac:dyDescent="0.3">
      <c r="D85" s="8"/>
    </row>
    <row r="86" spans="4:4" x14ac:dyDescent="0.3">
      <c r="D86" s="8"/>
    </row>
    <row r="87" spans="4:4" x14ac:dyDescent="0.3">
      <c r="D87" s="8"/>
    </row>
    <row r="88" spans="4:4" x14ac:dyDescent="0.3">
      <c r="D88" s="8"/>
    </row>
    <row r="89" spans="4:4" x14ac:dyDescent="0.3">
      <c r="D89" s="8"/>
    </row>
    <row r="90" spans="4:4" x14ac:dyDescent="0.3">
      <c r="D90" s="8"/>
    </row>
    <row r="91" spans="4:4" x14ac:dyDescent="0.3">
      <c r="D91" s="8"/>
    </row>
  </sheetData>
  <sheetProtection sheet="1" objects="1" scenarios="1" formatCells="0" formatColumns="0" formatRows="0" insertHyperlinks="0" selectLockedCells="1" sort="0" autoFilter="0"/>
  <conditionalFormatting sqref="D5:D19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D14:D18">
    <cfRule type="iconSet" priority="8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D5:J19">
    <cfRule type="expression" dxfId="31" priority="3">
      <formula>MOD(ROW(A1),2)=0</formula>
    </cfRule>
    <cfRule type="expression" dxfId="30" priority="4">
      <formula>MOD(ROW(A2),2)=0</formula>
    </cfRule>
  </conditionalFormatting>
  <conditionalFormatting sqref="E5:E19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G5:G19">
    <cfRule type="iconSet" priority="5">
      <iconSet iconSet="3Signs" reverse="1">
        <cfvo type="percent" val="0"/>
        <cfvo type="num" val="2"/>
        <cfvo type="num" val="3"/>
      </iconSet>
    </cfRule>
  </conditionalFormatting>
  <conditionalFormatting sqref="G14:G18">
    <cfRule type="iconSet" priority="9">
      <iconSet iconSet="3Signs" reverse="1">
        <cfvo type="percent" val="0"/>
        <cfvo type="num" val="2"/>
        <cfvo type="num" val="3"/>
      </iconSet>
    </cfRule>
  </conditionalFormatting>
  <conditionalFormatting sqref="H5:H19">
    <cfRule type="iconSet" priority="7">
      <iconSet iconSet="3ArrowsGray" showValue="0">
        <cfvo type="percent" val="0"/>
        <cfvo type="num" val="2"/>
        <cfvo type="num" val="3"/>
      </iconSet>
    </cfRule>
  </conditionalFormatting>
  <dataValidations count="2">
    <dataValidation type="list" allowBlank="1" showInputMessage="1" showErrorMessage="1" sqref="D5:E56" xr:uid="{00000000-0002-0000-1A00-000000000000}">
      <formula1>"1,2,3,4,5,6,7,8,9,10"</formula1>
    </dataValidation>
    <dataValidation type="list" allowBlank="1" showInputMessage="1" showErrorMessage="1" sqref="G5:H56 J5:J19" xr:uid="{00000000-0002-0000-1A00-000001000000}">
      <formula1>"1,2,3"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9D9B1539-484D-46F3-A89C-3C7B0CD75942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J5:J19</xm:sqref>
        </x14:conditionalFormatting>
        <x14:conditionalFormatting xmlns:xm="http://schemas.microsoft.com/office/excel/2006/main">
          <x14:cfRule type="iconSet" priority="10" id="{8908DEE5-4346-4142-9A60-A9B6D04DC66A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J14:J18</xm:sqref>
        </x14:conditionalFormatting>
      </x14:conditionalFormatting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Tabelle16">
    <tabColor theme="4" tint="0.59999389629810485"/>
    <pageSetUpPr fitToPage="1"/>
  </sheetPr>
  <dimension ref="A1:J91"/>
  <sheetViews>
    <sheetView showGridLines="0" zoomScaleNormal="100" workbookViewId="0">
      <pane ySplit="4" topLeftCell="A5" activePane="bottomLeft" state="frozen"/>
      <selection activeCell="K1" sqref="K1"/>
      <selection pane="bottomLeft" activeCell="C5" sqref="C5"/>
    </sheetView>
  </sheetViews>
  <sheetFormatPr baseColWidth="10" defaultColWidth="12.5546875" defaultRowHeight="14.4" x14ac:dyDescent="0.3"/>
  <cols>
    <col min="1" max="1" width="7" style="7" customWidth="1"/>
    <col min="2" max="2" width="4.5546875" style="16" customWidth="1"/>
    <col min="3" max="3" width="29" style="16" customWidth="1"/>
    <col min="4" max="4" width="11.6640625" style="16" customWidth="1"/>
    <col min="5" max="5" width="12.44140625" style="16" bestFit="1" customWidth="1"/>
    <col min="6" max="6" width="31.6640625" style="16" customWidth="1"/>
    <col min="7" max="7" width="7" style="16" customWidth="1"/>
    <col min="8" max="8" width="26" style="16" customWidth="1"/>
    <col min="9" max="9" width="7" style="16" customWidth="1"/>
    <col min="10" max="10" width="0.109375" style="16" customWidth="1"/>
    <col min="11" max="18" width="4" style="16" customWidth="1"/>
    <col min="19" max="16384" width="12.5546875" style="16"/>
  </cols>
  <sheetData>
    <row r="1" spans="1:10" s="12" customFormat="1" ht="44.4" customHeight="1" x14ac:dyDescent="0.3">
      <c r="A1" s="25"/>
      <c r="B1" s="11" t="str">
        <f ca="1">' '!A108</f>
        <v>G E S T I O N   D U   R I S Q U E</v>
      </c>
      <c r="C1" s="11"/>
      <c r="D1" s="11"/>
      <c r="E1" s="11"/>
      <c r="F1" s="11"/>
      <c r="G1" s="11"/>
      <c r="H1" s="11"/>
      <c r="I1" s="260"/>
    </row>
    <row r="2" spans="1:10" s="8" customFormat="1" ht="22.5" customHeight="1" x14ac:dyDescent="0.3">
      <c r="A2" s="7"/>
      <c r="B2" s="14"/>
    </row>
    <row r="3" spans="1:10" ht="7.5" customHeight="1" x14ac:dyDescent="0.3">
      <c r="C3" s="8"/>
    </row>
    <row r="4" spans="1:10" ht="36" customHeight="1" thickBot="1" x14ac:dyDescent="0.35">
      <c r="B4" s="340" t="str">
        <f ca="1">' '!A117</f>
        <v>No.</v>
      </c>
      <c r="C4" s="341" t="str">
        <f ca="1">' '!A118</f>
        <v>Risque</v>
      </c>
      <c r="D4" s="341" t="str">
        <f ca="1">' '!A121</f>
        <v>Étendue des dommages</v>
      </c>
      <c r="E4" s="837" t="str">
        <f ca="1">' '!A120</f>
        <v>Probabilité d'occurrence</v>
      </c>
      <c r="F4" s="341" t="str">
        <f ca="1">' '!A119</f>
        <v>Impact</v>
      </c>
      <c r="G4" s="341" t="str">
        <f ca="1">' '!A122</f>
        <v>Ten-
dance</v>
      </c>
      <c r="H4" s="341" t="str">
        <f ca="1">' '!A123</f>
        <v>Mesures possibles</v>
      </c>
      <c r="I4" s="342" t="str">
        <f ca="1">' '!A124</f>
        <v>Statut</v>
      </c>
    </row>
    <row r="5" spans="1:10" ht="23.4" x14ac:dyDescent="0.3">
      <c r="B5" s="838" t="s">
        <v>467</v>
      </c>
      <c r="C5" s="839"/>
      <c r="D5" s="345">
        <v>3</v>
      </c>
      <c r="E5" s="345">
        <v>9</v>
      </c>
      <c r="F5" s="770"/>
      <c r="G5" s="772">
        <v>3</v>
      </c>
      <c r="H5" s="770"/>
      <c r="I5" s="773">
        <v>1</v>
      </c>
      <c r="J5" s="834">
        <v>1</v>
      </c>
    </row>
    <row r="6" spans="1:10" ht="23.4" x14ac:dyDescent="0.3">
      <c r="B6" s="840" t="s">
        <v>468</v>
      </c>
      <c r="C6" s="770"/>
      <c r="D6" s="345">
        <v>8</v>
      </c>
      <c r="E6" s="345">
        <v>10</v>
      </c>
      <c r="F6" s="776"/>
      <c r="G6" s="778">
        <v>2</v>
      </c>
      <c r="H6" s="776"/>
      <c r="I6" s="779">
        <v>3</v>
      </c>
      <c r="J6" s="835">
        <v>1</v>
      </c>
    </row>
    <row r="7" spans="1:10" ht="23.4" x14ac:dyDescent="0.3">
      <c r="B7" s="841" t="s">
        <v>469</v>
      </c>
      <c r="C7" s="781"/>
      <c r="D7" s="345"/>
      <c r="E7" s="345"/>
      <c r="F7" s="782"/>
      <c r="G7" s="784"/>
      <c r="H7" s="782"/>
      <c r="I7" s="785"/>
      <c r="J7" s="835">
        <v>1</v>
      </c>
    </row>
    <row r="8" spans="1:10" ht="23.4" x14ac:dyDescent="0.3">
      <c r="B8" s="842" t="s">
        <v>470</v>
      </c>
      <c r="C8" s="787"/>
      <c r="D8" s="345"/>
      <c r="E8" s="345"/>
      <c r="F8" s="788"/>
      <c r="G8" s="790"/>
      <c r="H8" s="788"/>
      <c r="I8" s="791"/>
      <c r="J8" s="835">
        <v>1</v>
      </c>
    </row>
    <row r="9" spans="1:10" ht="23.4" x14ac:dyDescent="0.3">
      <c r="B9" s="843" t="s">
        <v>471</v>
      </c>
      <c r="C9" s="776"/>
      <c r="D9" s="345"/>
      <c r="E9" s="345"/>
      <c r="F9" s="793"/>
      <c r="G9" s="795"/>
      <c r="H9" s="793"/>
      <c r="I9" s="796"/>
      <c r="J9" s="835">
        <v>1</v>
      </c>
    </row>
    <row r="10" spans="1:10" ht="23.4" x14ac:dyDescent="0.3">
      <c r="B10" s="844" t="s">
        <v>472</v>
      </c>
      <c r="C10" s="798"/>
      <c r="D10" s="345"/>
      <c r="E10" s="345"/>
      <c r="F10" s="799"/>
      <c r="G10" s="801"/>
      <c r="H10" s="799"/>
      <c r="I10" s="802"/>
      <c r="J10" s="835">
        <v>1</v>
      </c>
    </row>
    <row r="11" spans="1:10" ht="23.4" x14ac:dyDescent="0.3">
      <c r="B11" s="845" t="s">
        <v>473</v>
      </c>
      <c r="C11" s="804"/>
      <c r="D11" s="345"/>
      <c r="E11" s="345"/>
      <c r="F11" s="787"/>
      <c r="G11" s="805"/>
      <c r="H11" s="806"/>
      <c r="I11" s="807"/>
      <c r="J11" s="835">
        <v>1</v>
      </c>
    </row>
    <row r="12" spans="1:10" ht="23.4" x14ac:dyDescent="0.3">
      <c r="B12" s="808" t="s">
        <v>474</v>
      </c>
      <c r="C12" s="809"/>
      <c r="D12" s="345"/>
      <c r="E12" s="345"/>
      <c r="F12" s="810"/>
      <c r="G12" s="812"/>
      <c r="H12" s="813"/>
      <c r="I12" s="814"/>
      <c r="J12" s="835">
        <v>1</v>
      </c>
    </row>
    <row r="13" spans="1:10" ht="23.4" x14ac:dyDescent="0.3">
      <c r="B13" s="846" t="s">
        <v>475</v>
      </c>
      <c r="C13" s="816"/>
      <c r="D13" s="345"/>
      <c r="E13" s="345"/>
      <c r="F13" s="817"/>
      <c r="G13" s="819"/>
      <c r="H13" s="817"/>
      <c r="I13" s="820"/>
      <c r="J13" s="835">
        <v>1</v>
      </c>
    </row>
    <row r="14" spans="1:10" ht="23.4" x14ac:dyDescent="0.3">
      <c r="B14" s="847" t="s">
        <v>476</v>
      </c>
      <c r="C14" s="793"/>
      <c r="D14" s="345"/>
      <c r="E14" s="345"/>
      <c r="F14" s="817"/>
      <c r="G14" s="819"/>
      <c r="H14" s="817"/>
      <c r="I14" s="820"/>
      <c r="J14" s="835">
        <v>1</v>
      </c>
    </row>
    <row r="15" spans="1:10" ht="23.4" x14ac:dyDescent="0.3">
      <c r="B15" s="848" t="s">
        <v>477</v>
      </c>
      <c r="C15" s="806"/>
      <c r="D15" s="345"/>
      <c r="E15" s="345"/>
      <c r="F15" s="817"/>
      <c r="G15" s="819"/>
      <c r="H15" s="817"/>
      <c r="I15" s="820"/>
      <c r="J15" s="835">
        <v>1</v>
      </c>
    </row>
    <row r="16" spans="1:10" ht="23.4" x14ac:dyDescent="0.3">
      <c r="B16" s="849" t="s">
        <v>478</v>
      </c>
      <c r="C16" s="799"/>
      <c r="D16" s="345"/>
      <c r="E16" s="345"/>
      <c r="F16" s="817"/>
      <c r="G16" s="819"/>
      <c r="H16" s="817"/>
      <c r="I16" s="820"/>
      <c r="J16" s="835">
        <v>1</v>
      </c>
    </row>
    <row r="17" spans="2:10" ht="23.4" x14ac:dyDescent="0.3">
      <c r="B17" s="850" t="s">
        <v>539</v>
      </c>
      <c r="C17" s="825"/>
      <c r="D17" s="345"/>
      <c r="E17" s="345"/>
      <c r="F17" s="817"/>
      <c r="G17" s="819"/>
      <c r="H17" s="817"/>
      <c r="I17" s="820"/>
      <c r="J17" s="835">
        <v>1</v>
      </c>
    </row>
    <row r="18" spans="2:10" ht="23.4" x14ac:dyDescent="0.3">
      <c r="B18" s="851" t="s">
        <v>540</v>
      </c>
      <c r="C18" s="827"/>
      <c r="D18" s="345"/>
      <c r="E18" s="345"/>
      <c r="F18" s="817"/>
      <c r="G18" s="819"/>
      <c r="H18" s="817"/>
      <c r="I18" s="820"/>
      <c r="J18" s="835">
        <v>1</v>
      </c>
    </row>
    <row r="19" spans="2:10" ht="24" thickBot="1" x14ac:dyDescent="0.35">
      <c r="B19" s="852" t="s">
        <v>541</v>
      </c>
      <c r="C19" s="829"/>
      <c r="D19" s="350"/>
      <c r="E19" s="350"/>
      <c r="F19" s="830"/>
      <c r="G19" s="832"/>
      <c r="H19" s="830"/>
      <c r="I19" s="833"/>
      <c r="J19" s="836">
        <v>1</v>
      </c>
    </row>
    <row r="20" spans="2:10" x14ac:dyDescent="0.3">
      <c r="B20" s="335" t="s">
        <v>1776</v>
      </c>
      <c r="C20"/>
    </row>
    <row r="49" spans="1:8" x14ac:dyDescent="0.3">
      <c r="H49" s="62"/>
    </row>
    <row r="56" spans="1:8" ht="0.9" customHeight="1" x14ac:dyDescent="0.3">
      <c r="A56" s="20"/>
    </row>
    <row r="57" spans="1:8" x14ac:dyDescent="0.3">
      <c r="B57"/>
      <c r="C57"/>
    </row>
    <row r="66" spans="1:6" ht="15.6" x14ac:dyDescent="0.3">
      <c r="F66" s="9"/>
    </row>
    <row r="72" spans="1:6" x14ac:dyDescent="0.3">
      <c r="D72" s="22"/>
    </row>
    <row r="73" spans="1:6" x14ac:dyDescent="0.3">
      <c r="D73" s="8"/>
    </row>
    <row r="74" spans="1:6" x14ac:dyDescent="0.3">
      <c r="D74" s="8"/>
    </row>
    <row r="75" spans="1:6" x14ac:dyDescent="0.3">
      <c r="D75" s="8"/>
    </row>
    <row r="76" spans="1:6" x14ac:dyDescent="0.3">
      <c r="D76" s="8"/>
    </row>
    <row r="77" spans="1:6" x14ac:dyDescent="0.3">
      <c r="D77" s="8"/>
    </row>
    <row r="78" spans="1:6" x14ac:dyDescent="0.3">
      <c r="A78" s="20"/>
      <c r="D78" s="8"/>
    </row>
    <row r="79" spans="1:6" x14ac:dyDescent="0.3">
      <c r="D79" s="8"/>
    </row>
    <row r="80" spans="1:6" x14ac:dyDescent="0.3">
      <c r="D80" s="8"/>
    </row>
    <row r="81" spans="4:4" x14ac:dyDescent="0.3">
      <c r="D81" s="8"/>
    </row>
    <row r="82" spans="4:4" x14ac:dyDescent="0.3">
      <c r="D82" s="8"/>
    </row>
    <row r="83" spans="4:4" x14ac:dyDescent="0.3">
      <c r="D83" s="8"/>
    </row>
    <row r="84" spans="4:4" x14ac:dyDescent="0.3">
      <c r="D84" s="8"/>
    </row>
    <row r="85" spans="4:4" x14ac:dyDescent="0.3">
      <c r="D85" s="8"/>
    </row>
    <row r="86" spans="4:4" x14ac:dyDescent="0.3">
      <c r="D86" s="8"/>
    </row>
    <row r="87" spans="4:4" x14ac:dyDescent="0.3">
      <c r="D87" s="8"/>
    </row>
    <row r="88" spans="4:4" x14ac:dyDescent="0.3">
      <c r="D88" s="8"/>
    </row>
    <row r="89" spans="4:4" x14ac:dyDescent="0.3">
      <c r="D89" s="8"/>
    </row>
    <row r="90" spans="4:4" x14ac:dyDescent="0.3">
      <c r="D90" s="8"/>
    </row>
    <row r="91" spans="4:4" x14ac:dyDescent="0.3">
      <c r="D91" s="8"/>
    </row>
  </sheetData>
  <sheetProtection sheet="1" objects="1" scenarios="1" formatCells="0" formatColumns="0" formatRows="0" insertHyperlinks="0" selectLockedCells="1" sort="0" autoFilter="0"/>
  <conditionalFormatting sqref="D5:D19">
    <cfRule type="iconSet" priority="2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D14:D18">
    <cfRule type="iconSet" priority="8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D5:F19">
    <cfRule type="expression" dxfId="29" priority="3">
      <formula>MOD(ROW(A1),2)=0</formula>
    </cfRule>
    <cfRule type="expression" dxfId="28" priority="4">
      <formula>MOD(ROW(A2),2)=0</formula>
    </cfRule>
  </conditionalFormatting>
  <conditionalFormatting sqref="E5:E19">
    <cfRule type="iconSet" priority="1">
      <iconSet iconSet="5Rating">
        <cfvo type="percent" val="0"/>
        <cfvo type="num" val="2"/>
        <cfvo type="num" val="5"/>
        <cfvo type="num" val="7"/>
        <cfvo type="num" val="9"/>
      </iconSet>
    </cfRule>
  </conditionalFormatting>
  <conditionalFormatting sqref="G5:G19">
    <cfRule type="iconSet" priority="7">
      <iconSet iconSet="3ArrowsGray" showValue="0">
        <cfvo type="percent" val="0"/>
        <cfvo type="num" val="2"/>
        <cfvo type="num" val="3"/>
      </iconSet>
    </cfRule>
  </conditionalFormatting>
  <conditionalFormatting sqref="G5:I19">
    <cfRule type="expression" dxfId="27" priority="172">
      <formula>MOD(ROW(E1),2)=0</formula>
    </cfRule>
    <cfRule type="expression" dxfId="26" priority="173">
      <formula>MOD(ROW(E2),2)=0</formula>
    </cfRule>
  </conditionalFormatting>
  <dataValidations count="2">
    <dataValidation type="list" allowBlank="1" showInputMessage="1" showErrorMessage="1" sqref="I5:I19 G5:G56" xr:uid="{00000000-0002-0000-1B00-000000000000}">
      <formula1>"1,2,3"</formula1>
    </dataValidation>
    <dataValidation type="list" allowBlank="1" showInputMessage="1" showErrorMessage="1" sqref="D5:E56" xr:uid="{00000000-0002-0000-1B00-000001000000}">
      <formula1>"1,2,3,4,5,6,7,8,9,10"</formula1>
    </dataValidation>
  </dataValidations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95286345-3288-40E8-A20D-AFF44054FE19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I5:I19</xm:sqref>
        </x14:conditionalFormatting>
        <x14:conditionalFormatting xmlns:xm="http://schemas.microsoft.com/office/excel/2006/main">
          <x14:cfRule type="iconSet" priority="10" id="{9C411698-D033-4188-B2B1-B7A6D5579069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I14:I18</xm:sqref>
        </x14:conditionalFormatting>
      </x14:conditionalFormatting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Tabelle15">
    <tabColor theme="4" tint="0.59999389629810485"/>
  </sheetPr>
  <dimension ref="A1:BJ30"/>
  <sheetViews>
    <sheetView showGridLines="0" zoomScaleNormal="100" workbookViewId="0">
      <selection activeCell="A2" sqref="A2"/>
    </sheetView>
  </sheetViews>
  <sheetFormatPr baseColWidth="10" defaultColWidth="11.44140625" defaultRowHeight="14.4" x14ac:dyDescent="0.3"/>
  <cols>
    <col min="1" max="1" width="7" style="7" customWidth="1"/>
    <col min="2" max="2" width="8.88671875" style="188" customWidth="1"/>
    <col min="3" max="3" width="23.109375" style="188" customWidth="1"/>
    <col min="4" max="4" width="10.109375" style="188" bestFit="1" customWidth="1"/>
    <col min="5" max="5" width="12.33203125" style="193" bestFit="1" customWidth="1"/>
    <col min="6" max="6" width="9.109375" style="193" customWidth="1"/>
    <col min="7" max="7" width="12.44140625" style="193" bestFit="1" customWidth="1"/>
    <col min="8" max="8" width="10.44140625" style="194" bestFit="1" customWidth="1"/>
    <col min="9" max="13" width="9.109375" style="193" customWidth="1"/>
    <col min="14" max="14" width="7.88671875" style="193" customWidth="1"/>
    <col min="15" max="51" width="9.109375" style="188" customWidth="1"/>
    <col min="52" max="62" width="9.109375" style="189" customWidth="1"/>
    <col min="63" max="256" width="9.109375" style="188" customWidth="1"/>
    <col min="257" max="16384" width="11.44140625" style="188"/>
  </cols>
  <sheetData>
    <row r="1" spans="1:14" s="5" customFormat="1" ht="44.4" customHeight="1" x14ac:dyDescent="0.3">
      <c r="A1" s="25"/>
      <c r="B1" s="3" t="str">
        <f ca="1">' '!A348</f>
        <v>D I A G R A M M E   D E   P A R E T O</v>
      </c>
      <c r="C1" s="3"/>
      <c r="D1" s="3"/>
      <c r="E1" s="191"/>
      <c r="F1" s="191"/>
      <c r="G1" s="191"/>
      <c r="H1" s="191"/>
      <c r="I1" s="192"/>
      <c r="J1" s="192"/>
      <c r="K1" s="192"/>
      <c r="L1" s="192"/>
      <c r="M1" s="192"/>
      <c r="N1" s="264"/>
    </row>
    <row r="2" spans="1:14" s="171" customFormat="1" ht="14.25" customHeight="1" x14ac:dyDescent="0.3">
      <c r="A2" s="7"/>
      <c r="C2" s="187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4" s="171" customFormat="1" ht="14.25" customHeight="1" x14ac:dyDescent="0.3">
      <c r="A3" s="15"/>
      <c r="C3" s="187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4" s="171" customFormat="1" ht="14.25" customHeight="1" x14ac:dyDescent="0.3">
      <c r="A4" s="7"/>
      <c r="C4" s="187"/>
      <c r="E4" s="60"/>
      <c r="F4" s="60"/>
      <c r="G4" s="60"/>
      <c r="H4" s="60"/>
      <c r="I4" s="60"/>
      <c r="J4" s="60"/>
      <c r="K4" s="60"/>
      <c r="L4" s="60"/>
      <c r="M4" s="60"/>
      <c r="N4" s="60"/>
    </row>
    <row r="5" spans="1:14" s="65" customFormat="1" ht="10.5" customHeight="1" x14ac:dyDescent="0.3">
      <c r="A5" s="7"/>
      <c r="B5" s="186"/>
      <c r="D5" s="171"/>
      <c r="E5" s="137"/>
      <c r="F5" s="137"/>
      <c r="G5" s="137"/>
      <c r="H5" s="137"/>
      <c r="I5" s="137"/>
      <c r="J5" s="137"/>
      <c r="K5" s="137"/>
      <c r="L5" s="137"/>
      <c r="M5" s="137"/>
      <c r="N5" s="137"/>
    </row>
    <row r="6" spans="1:14" ht="28.5" customHeight="1" x14ac:dyDescent="0.3">
      <c r="B6" s="353" t="str">
        <f ca="1">' '!A349</f>
        <v>Ranking</v>
      </c>
      <c r="C6" s="354" t="str">
        <f ca="1">' '!A350</f>
        <v>Raisons du problème</v>
      </c>
      <c r="D6" s="355" t="str">
        <f ca="1">' '!A351</f>
        <v>Fré-quence</v>
      </c>
      <c r="E6" s="193" t="s">
        <v>0</v>
      </c>
      <c r="F6" s="193" t="s">
        <v>1</v>
      </c>
      <c r="G6" s="193" t="s">
        <v>2</v>
      </c>
      <c r="H6" s="194" t="s">
        <v>3</v>
      </c>
    </row>
    <row r="7" spans="1:14" s="190" customFormat="1" x14ac:dyDescent="0.3">
      <c r="A7" s="7"/>
      <c r="B7" s="356">
        <f>IF(D7="","",RANK(D7,D$7:D$26)+COUNTIF(D$7:D7,D7)-1)</f>
        <v>11</v>
      </c>
      <c r="C7" s="853" t="s">
        <v>4</v>
      </c>
      <c r="D7" s="854">
        <v>10</v>
      </c>
      <c r="E7" s="195" t="str">
        <f t="shared" ref="E7:E26" si="0">IF(D7="","",INDEX($B$7:$D$26,MATCH(G7,$B$7:$B$26,0),2))</f>
        <v>Reason 20</v>
      </c>
      <c r="F7" s="195">
        <f t="shared" ref="F7:F26" si="1">IF(D7="","",INDEX($B$7:$D$26,MATCH(G7,$B$7:$B$26,0),3))</f>
        <v>21</v>
      </c>
      <c r="G7" s="195">
        <v>1</v>
      </c>
      <c r="H7" s="196">
        <f>IF(F7="","",F7/SUM($F$7:$F$26))</f>
        <v>9.5454545454545459E-2</v>
      </c>
      <c r="I7" s="195"/>
      <c r="J7" s="195"/>
      <c r="K7" s="195"/>
      <c r="L7" s="195"/>
      <c r="M7" s="195"/>
      <c r="N7" s="195"/>
    </row>
    <row r="8" spans="1:14" s="190" customFormat="1" x14ac:dyDescent="0.3">
      <c r="A8" s="7"/>
      <c r="B8" s="356">
        <f>IF(D8="","",RANK(D8,D$7:D$26)+COUNTIF(D$7:D8,D8)-1)</f>
        <v>20</v>
      </c>
      <c r="C8" s="853" t="s">
        <v>557</v>
      </c>
      <c r="D8" s="854">
        <v>2</v>
      </c>
      <c r="E8" s="195" t="str">
        <f t="shared" si="0"/>
        <v>Reason 19</v>
      </c>
      <c r="F8" s="195">
        <f t="shared" si="1"/>
        <v>19</v>
      </c>
      <c r="G8" s="195">
        <v>2</v>
      </c>
      <c r="H8" s="196">
        <f t="shared" ref="H8:H26" si="2">IF(F8="","",(F8/SUM($F$7:$F$26)+H7))</f>
        <v>0.18181818181818182</v>
      </c>
      <c r="I8" s="195"/>
      <c r="J8" s="195"/>
      <c r="K8" s="195"/>
      <c r="L8" s="195"/>
      <c r="M8" s="195"/>
      <c r="N8" s="195"/>
    </row>
    <row r="9" spans="1:14" s="190" customFormat="1" x14ac:dyDescent="0.3">
      <c r="A9" s="7"/>
      <c r="B9" s="356">
        <f>IF(D9="","",RANK(D9,D$7:D$26)+COUNTIF(D$7:D9,D9)-1)</f>
        <v>19</v>
      </c>
      <c r="C9" s="853" t="s">
        <v>558</v>
      </c>
      <c r="D9" s="854">
        <v>3</v>
      </c>
      <c r="E9" s="195" t="str">
        <f t="shared" si="0"/>
        <v>Reason 18</v>
      </c>
      <c r="F9" s="195">
        <f t="shared" si="1"/>
        <v>18</v>
      </c>
      <c r="G9" s="195">
        <v>3</v>
      </c>
      <c r="H9" s="196">
        <f t="shared" si="2"/>
        <v>0.26363636363636367</v>
      </c>
      <c r="I9" s="195"/>
      <c r="J9" s="195"/>
      <c r="K9" s="195"/>
      <c r="L9" s="195"/>
      <c r="M9" s="195"/>
      <c r="N9" s="195"/>
    </row>
    <row r="10" spans="1:14" s="190" customFormat="1" x14ac:dyDescent="0.3">
      <c r="A10" s="7"/>
      <c r="B10" s="356">
        <f>IF(D10="","",RANK(D10,D$7:D$26)+COUNTIF(D$7:D10,D10)-1)</f>
        <v>18</v>
      </c>
      <c r="C10" s="853" t="s">
        <v>559</v>
      </c>
      <c r="D10" s="854">
        <v>4</v>
      </c>
      <c r="E10" s="195" t="str">
        <f t="shared" si="0"/>
        <v>Reason 17</v>
      </c>
      <c r="F10" s="195">
        <f t="shared" si="1"/>
        <v>17</v>
      </c>
      <c r="G10" s="195">
        <v>4</v>
      </c>
      <c r="H10" s="196">
        <f t="shared" si="2"/>
        <v>0.34090909090909094</v>
      </c>
      <c r="I10" s="195"/>
      <c r="J10" s="195"/>
      <c r="K10" s="195"/>
      <c r="L10" s="195"/>
      <c r="M10" s="195"/>
      <c r="N10" s="195"/>
    </row>
    <row r="11" spans="1:14" s="190" customFormat="1" x14ac:dyDescent="0.3">
      <c r="A11" s="7"/>
      <c r="B11" s="356">
        <f>IF(D11="","",RANK(D11,D$7:D$26)+COUNTIF(D$7:D11,D11)-1)</f>
        <v>17</v>
      </c>
      <c r="C11" s="853" t="s">
        <v>560</v>
      </c>
      <c r="D11" s="854">
        <v>5</v>
      </c>
      <c r="E11" s="195" t="str">
        <f t="shared" si="0"/>
        <v>Reason 16</v>
      </c>
      <c r="F11" s="195">
        <f t="shared" si="1"/>
        <v>16</v>
      </c>
      <c r="G11" s="195">
        <v>5</v>
      </c>
      <c r="H11" s="196">
        <f t="shared" si="2"/>
        <v>0.41363636363636369</v>
      </c>
      <c r="I11" s="195"/>
      <c r="J11" s="195"/>
      <c r="K11" s="195"/>
      <c r="L11" s="195"/>
      <c r="M11" s="195"/>
      <c r="N11" s="195"/>
    </row>
    <row r="12" spans="1:14" s="190" customFormat="1" x14ac:dyDescent="0.3">
      <c r="A12" s="7"/>
      <c r="B12" s="356">
        <f>IF(D12="","",RANK(D12,D$7:D$26)+COUNTIF(D$7:D12,D12)-1)</f>
        <v>16</v>
      </c>
      <c r="C12" s="853" t="s">
        <v>561</v>
      </c>
      <c r="D12" s="854">
        <v>6</v>
      </c>
      <c r="E12" s="195" t="str">
        <f t="shared" si="0"/>
        <v>Reason 15</v>
      </c>
      <c r="F12" s="195">
        <f t="shared" si="1"/>
        <v>15</v>
      </c>
      <c r="G12" s="195">
        <v>6</v>
      </c>
      <c r="H12" s="196">
        <f t="shared" si="2"/>
        <v>0.48181818181818187</v>
      </c>
      <c r="I12" s="195"/>
      <c r="J12" s="195"/>
      <c r="K12" s="195"/>
      <c r="L12" s="195"/>
      <c r="M12" s="195"/>
      <c r="N12" s="195"/>
    </row>
    <row r="13" spans="1:14" s="190" customFormat="1" x14ac:dyDescent="0.3">
      <c r="A13" s="7"/>
      <c r="B13" s="356">
        <f>IF(D13="","",RANK(D13,D$7:D$26)+COUNTIF(D$7:D13,D13)-1)</f>
        <v>15</v>
      </c>
      <c r="C13" s="853" t="s">
        <v>562</v>
      </c>
      <c r="D13" s="854">
        <v>7</v>
      </c>
      <c r="E13" s="195" t="str">
        <f t="shared" si="0"/>
        <v>Reason 14</v>
      </c>
      <c r="F13" s="195">
        <f t="shared" si="1"/>
        <v>14</v>
      </c>
      <c r="G13" s="195">
        <v>7</v>
      </c>
      <c r="H13" s="196">
        <f t="shared" si="2"/>
        <v>0.54545454545454553</v>
      </c>
      <c r="I13" s="195"/>
      <c r="J13" s="195"/>
      <c r="K13" s="195"/>
      <c r="L13" s="195"/>
      <c r="M13" s="195"/>
      <c r="N13" s="195"/>
    </row>
    <row r="14" spans="1:14" s="190" customFormat="1" x14ac:dyDescent="0.3">
      <c r="A14" s="7"/>
      <c r="B14" s="356">
        <f>IF(D14="","",RANK(D14,D$7:D$26)+COUNTIF(D$7:D14,D14)-1)</f>
        <v>14</v>
      </c>
      <c r="C14" s="853" t="s">
        <v>563</v>
      </c>
      <c r="D14" s="854">
        <v>8</v>
      </c>
      <c r="E14" s="195" t="str">
        <f t="shared" si="0"/>
        <v>Reason 13</v>
      </c>
      <c r="F14" s="195">
        <f t="shared" si="1"/>
        <v>13</v>
      </c>
      <c r="G14" s="195">
        <v>8</v>
      </c>
      <c r="H14" s="196">
        <f t="shared" si="2"/>
        <v>0.60454545454545461</v>
      </c>
      <c r="I14" s="195"/>
      <c r="J14" s="195"/>
      <c r="K14" s="195"/>
      <c r="L14" s="195"/>
      <c r="M14" s="195"/>
      <c r="N14" s="195"/>
    </row>
    <row r="15" spans="1:14" s="190" customFormat="1" x14ac:dyDescent="0.3">
      <c r="A15" s="7"/>
      <c r="B15" s="356">
        <f>IF(D15="","",RANK(D15,D$7:D$26)+COUNTIF(D$7:D15,D15)-1)</f>
        <v>13</v>
      </c>
      <c r="C15" s="853" t="s">
        <v>564</v>
      </c>
      <c r="D15" s="854">
        <v>9</v>
      </c>
      <c r="E15" s="195" t="str">
        <f t="shared" si="0"/>
        <v>Reason 12</v>
      </c>
      <c r="F15" s="195">
        <f t="shared" si="1"/>
        <v>12</v>
      </c>
      <c r="G15" s="195">
        <v>9</v>
      </c>
      <c r="H15" s="196">
        <f t="shared" si="2"/>
        <v>0.65909090909090917</v>
      </c>
      <c r="I15" s="195"/>
      <c r="J15" s="195"/>
      <c r="K15" s="195"/>
      <c r="L15" s="195"/>
      <c r="M15" s="195"/>
      <c r="N15" s="195"/>
    </row>
    <row r="16" spans="1:14" s="190" customFormat="1" x14ac:dyDescent="0.3">
      <c r="A16" s="7"/>
      <c r="B16" s="356">
        <f>IF(D16="","",RANK(D16,D$7:D$26)+COUNTIF(D$7:D16,D16)-1)</f>
        <v>12</v>
      </c>
      <c r="C16" s="853" t="s">
        <v>565</v>
      </c>
      <c r="D16" s="854">
        <v>10</v>
      </c>
      <c r="E16" s="195" t="str">
        <f t="shared" si="0"/>
        <v>Reason 11</v>
      </c>
      <c r="F16" s="195">
        <f t="shared" si="1"/>
        <v>11</v>
      </c>
      <c r="G16" s="195">
        <v>10</v>
      </c>
      <c r="H16" s="196">
        <f t="shared" si="2"/>
        <v>0.70909090909090922</v>
      </c>
      <c r="I16" s="195"/>
      <c r="J16" s="195"/>
      <c r="K16" s="195"/>
      <c r="L16" s="195"/>
      <c r="M16" s="195"/>
      <c r="N16" s="195"/>
    </row>
    <row r="17" spans="1:14" s="190" customFormat="1" x14ac:dyDescent="0.3">
      <c r="A17" s="7"/>
      <c r="B17" s="356">
        <f>IF(D17="","",RANK(D17,D$7:D$26)+COUNTIF(D$7:D17,D17)-1)</f>
        <v>10</v>
      </c>
      <c r="C17" s="853" t="s">
        <v>566</v>
      </c>
      <c r="D17" s="854">
        <v>11</v>
      </c>
      <c r="E17" s="195" t="str">
        <f t="shared" si="0"/>
        <v>Reason 1</v>
      </c>
      <c r="F17" s="195">
        <f t="shared" si="1"/>
        <v>10</v>
      </c>
      <c r="G17" s="195">
        <v>11</v>
      </c>
      <c r="H17" s="196">
        <f t="shared" si="2"/>
        <v>0.75454545454545463</v>
      </c>
      <c r="I17" s="195"/>
      <c r="J17" s="195"/>
      <c r="K17" s="195"/>
      <c r="L17" s="195"/>
      <c r="M17" s="195"/>
      <c r="N17" s="195"/>
    </row>
    <row r="18" spans="1:14" s="190" customFormat="1" x14ac:dyDescent="0.3">
      <c r="A18" s="7"/>
      <c r="B18" s="356">
        <f>IF(D18="","",RANK(D18,D$7:D$26)+COUNTIF(D$7:D18,D18)-1)</f>
        <v>9</v>
      </c>
      <c r="C18" s="853" t="s">
        <v>567</v>
      </c>
      <c r="D18" s="854">
        <v>12</v>
      </c>
      <c r="E18" s="195" t="str">
        <f t="shared" si="0"/>
        <v>Reason 10</v>
      </c>
      <c r="F18" s="195">
        <f t="shared" si="1"/>
        <v>10</v>
      </c>
      <c r="G18" s="195">
        <v>12</v>
      </c>
      <c r="H18" s="196">
        <f t="shared" si="2"/>
        <v>0.8</v>
      </c>
      <c r="I18" s="195"/>
      <c r="J18" s="195"/>
      <c r="K18" s="195"/>
      <c r="L18" s="195"/>
      <c r="M18" s="195"/>
      <c r="N18" s="195"/>
    </row>
    <row r="19" spans="1:14" s="190" customFormat="1" x14ac:dyDescent="0.3">
      <c r="A19" s="7"/>
      <c r="B19" s="356">
        <f>IF(D19="","",RANK(D19,D$7:D$26)+COUNTIF(D$7:D19,D19)-1)</f>
        <v>8</v>
      </c>
      <c r="C19" s="853" t="s">
        <v>568</v>
      </c>
      <c r="D19" s="854">
        <v>13</v>
      </c>
      <c r="E19" s="195" t="str">
        <f t="shared" si="0"/>
        <v>Reason 9</v>
      </c>
      <c r="F19" s="195">
        <f t="shared" si="1"/>
        <v>9</v>
      </c>
      <c r="G19" s="195">
        <v>13</v>
      </c>
      <c r="H19" s="196">
        <f t="shared" si="2"/>
        <v>0.84090909090909094</v>
      </c>
      <c r="I19" s="195"/>
      <c r="J19" s="195"/>
      <c r="K19" s="195"/>
      <c r="L19" s="195"/>
      <c r="M19" s="195"/>
      <c r="N19" s="195"/>
    </row>
    <row r="20" spans="1:14" s="190" customFormat="1" x14ac:dyDescent="0.3">
      <c r="A20" s="7"/>
      <c r="B20" s="356">
        <f>IF(D20="","",RANK(D20,D$7:D$26)+COUNTIF(D$7:D20,D20)-1)</f>
        <v>7</v>
      </c>
      <c r="C20" s="853" t="s">
        <v>569</v>
      </c>
      <c r="D20" s="854">
        <v>14</v>
      </c>
      <c r="E20" s="195" t="str">
        <f t="shared" si="0"/>
        <v>Reason 8</v>
      </c>
      <c r="F20" s="195">
        <f t="shared" si="1"/>
        <v>8</v>
      </c>
      <c r="G20" s="195">
        <v>14</v>
      </c>
      <c r="H20" s="196">
        <f t="shared" si="2"/>
        <v>0.87727272727272732</v>
      </c>
      <c r="I20" s="195"/>
      <c r="J20" s="195"/>
      <c r="K20" s="195"/>
      <c r="L20" s="195"/>
      <c r="M20" s="195"/>
      <c r="N20" s="195"/>
    </row>
    <row r="21" spans="1:14" s="190" customFormat="1" x14ac:dyDescent="0.3">
      <c r="A21" s="7"/>
      <c r="B21" s="356">
        <f>IF(D21="","",RANK(D21,D$7:D$26)+COUNTIF(D$7:D21,D21)-1)</f>
        <v>6</v>
      </c>
      <c r="C21" s="853" t="s">
        <v>570</v>
      </c>
      <c r="D21" s="854">
        <v>15</v>
      </c>
      <c r="E21" s="195" t="str">
        <f t="shared" si="0"/>
        <v>Reason 7</v>
      </c>
      <c r="F21" s="195">
        <f t="shared" si="1"/>
        <v>7</v>
      </c>
      <c r="G21" s="195">
        <v>15</v>
      </c>
      <c r="H21" s="196">
        <f t="shared" si="2"/>
        <v>0.90909090909090917</v>
      </c>
      <c r="I21" s="195"/>
      <c r="J21" s="195"/>
      <c r="K21" s="195"/>
      <c r="L21" s="195"/>
      <c r="M21" s="195"/>
      <c r="N21" s="195"/>
    </row>
    <row r="22" spans="1:14" s="190" customFormat="1" x14ac:dyDescent="0.3">
      <c r="A22" s="7"/>
      <c r="B22" s="356">
        <f>IF(D22="","",RANK(D22,D$7:D$26)+COUNTIF(D$7:D22,D22)-1)</f>
        <v>5</v>
      </c>
      <c r="C22" s="853" t="s">
        <v>571</v>
      </c>
      <c r="D22" s="854">
        <v>16</v>
      </c>
      <c r="E22" s="195" t="str">
        <f t="shared" si="0"/>
        <v>Reason 6</v>
      </c>
      <c r="F22" s="195">
        <f t="shared" si="1"/>
        <v>6</v>
      </c>
      <c r="G22" s="195">
        <v>16</v>
      </c>
      <c r="H22" s="196">
        <f t="shared" si="2"/>
        <v>0.9363636363636364</v>
      </c>
      <c r="I22" s="195"/>
      <c r="J22" s="195"/>
      <c r="K22" s="195"/>
      <c r="L22" s="195"/>
      <c r="M22" s="195"/>
      <c r="N22" s="195"/>
    </row>
    <row r="23" spans="1:14" s="190" customFormat="1" x14ac:dyDescent="0.3">
      <c r="A23" s="7"/>
      <c r="B23" s="356">
        <f>IF(D23="","",RANK(D23,D$7:D$26)+COUNTIF(D$7:D23,D23)-1)</f>
        <v>4</v>
      </c>
      <c r="C23" s="853" t="s">
        <v>572</v>
      </c>
      <c r="D23" s="854">
        <v>17</v>
      </c>
      <c r="E23" s="195" t="str">
        <f t="shared" si="0"/>
        <v>Reason 5</v>
      </c>
      <c r="F23" s="195">
        <f t="shared" si="1"/>
        <v>5</v>
      </c>
      <c r="G23" s="195">
        <v>17</v>
      </c>
      <c r="H23" s="196">
        <f t="shared" si="2"/>
        <v>0.95909090909090911</v>
      </c>
      <c r="I23" s="195"/>
      <c r="J23" s="195"/>
      <c r="K23" s="195"/>
      <c r="L23" s="195"/>
      <c r="M23" s="195"/>
      <c r="N23" s="195"/>
    </row>
    <row r="24" spans="1:14" s="190" customFormat="1" x14ac:dyDescent="0.3">
      <c r="A24" s="7"/>
      <c r="B24" s="356">
        <f>IF(D24="","",RANK(D24,D$7:D$26)+COUNTIF(D$7:D24,D24)-1)</f>
        <v>3</v>
      </c>
      <c r="C24" s="853" t="s">
        <v>573</v>
      </c>
      <c r="D24" s="854">
        <v>18</v>
      </c>
      <c r="E24" s="195" t="str">
        <f t="shared" si="0"/>
        <v>Reason 4</v>
      </c>
      <c r="F24" s="195">
        <f t="shared" si="1"/>
        <v>4</v>
      </c>
      <c r="G24" s="195">
        <v>18</v>
      </c>
      <c r="H24" s="196">
        <f t="shared" si="2"/>
        <v>0.97727272727272729</v>
      </c>
      <c r="I24" s="195"/>
      <c r="J24" s="195"/>
      <c r="K24" s="195"/>
      <c r="L24" s="195"/>
      <c r="M24" s="195"/>
      <c r="N24" s="195"/>
    </row>
    <row r="25" spans="1:14" s="190" customFormat="1" x14ac:dyDescent="0.3">
      <c r="A25" s="7"/>
      <c r="B25" s="356">
        <f>IF(D25="","",RANK(D25,D$7:D$26)+COUNTIF(D$7:D25,D25)-1)</f>
        <v>2</v>
      </c>
      <c r="C25" s="853" t="s">
        <v>574</v>
      </c>
      <c r="D25" s="854">
        <v>19</v>
      </c>
      <c r="E25" s="195" t="str">
        <f t="shared" si="0"/>
        <v>Reason 3</v>
      </c>
      <c r="F25" s="195">
        <f t="shared" si="1"/>
        <v>3</v>
      </c>
      <c r="G25" s="195">
        <v>19</v>
      </c>
      <c r="H25" s="196">
        <f t="shared" si="2"/>
        <v>0.99090909090909096</v>
      </c>
      <c r="I25" s="195"/>
      <c r="J25" s="195"/>
      <c r="K25" s="195"/>
      <c r="L25" s="195"/>
      <c r="M25" s="195"/>
      <c r="N25" s="195"/>
    </row>
    <row r="26" spans="1:14" s="190" customFormat="1" x14ac:dyDescent="0.3">
      <c r="A26" s="7"/>
      <c r="B26" s="363">
        <f>IF(D26="","",RANK(D26,D$7:D$26)+COUNTIF(D$7:D26,D26)-1)</f>
        <v>1</v>
      </c>
      <c r="C26" s="855" t="s">
        <v>575</v>
      </c>
      <c r="D26" s="856">
        <v>21</v>
      </c>
      <c r="E26" s="195" t="str">
        <f t="shared" si="0"/>
        <v>Reason 2</v>
      </c>
      <c r="F26" s="195">
        <f t="shared" si="1"/>
        <v>2</v>
      </c>
      <c r="G26" s="195">
        <v>20</v>
      </c>
      <c r="H26" s="196">
        <f t="shared" si="2"/>
        <v>1</v>
      </c>
      <c r="I26" s="195"/>
      <c r="J26" s="195"/>
      <c r="K26" s="195"/>
      <c r="L26" s="195"/>
      <c r="M26" s="195"/>
      <c r="N26" s="195"/>
    </row>
    <row r="30" spans="1:14" x14ac:dyDescent="0.3">
      <c r="B30" s="335" t="s">
        <v>1776</v>
      </c>
      <c r="C30"/>
    </row>
  </sheetData>
  <sheetProtection sheet="1" objects="1" scenarios="1" formatCells="0" formatColumns="0" formatRows="0" insertHyperlinks="0" sort="0" autoFilter="0"/>
  <phoneticPr fontId="0" type="noConversion"/>
  <conditionalFormatting sqref="B7:D26">
    <cfRule type="expression" dxfId="25" priority="101">
      <formula>MOD(ROW(A1),2)=0</formula>
    </cfRule>
    <cfRule type="expression" dxfId="24" priority="102">
      <formula>MOD(ROW(A2),2)=0</formula>
    </cfRule>
  </conditionalFormatting>
  <pageMargins left="3.937007874015748E-2" right="3.937007874015748E-2" top="0.19685039370078741" bottom="0.19685039370078741" header="0" footer="0.11811023622047245"/>
  <pageSetup paperSize="9" orientation="landscape" horizontalDpi="1200" verticalDpi="1200" r:id="rId1"/>
  <headerFooter alignWithMargins="0">
    <oddFooter>&amp;L&amp;8&amp;K00-049(c) S.Imboden&amp;R&amp;8&amp;K00-048Seite &amp;P von &amp;N</oddFooter>
  </headerFooter>
  <drawing r:id="rId2"/>
  <legacyDrawing r:id="rId3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Tabelle26">
    <tabColor theme="4" tint="0.59999389629810485"/>
  </sheetPr>
  <dimension ref="A1:P90"/>
  <sheetViews>
    <sheetView showGridLines="0" zoomScaleNormal="100" workbookViewId="0">
      <pane ySplit="1" topLeftCell="A2" activePane="bottomLeft" state="frozen"/>
      <selection activeCell="K1" sqref="K1"/>
      <selection pane="bottomLeft" activeCell="A2" sqref="A2"/>
    </sheetView>
  </sheetViews>
  <sheetFormatPr baseColWidth="10" defaultColWidth="11.44140625" defaultRowHeight="14.4" x14ac:dyDescent="0.3"/>
  <cols>
    <col min="1" max="1" width="7" customWidth="1"/>
    <col min="2" max="2" width="4.33203125" customWidth="1"/>
    <col min="3" max="3" width="28" customWidth="1"/>
    <col min="4" max="4" width="6.109375" customWidth="1"/>
    <col min="5" max="5" width="34.109375" customWidth="1"/>
    <col min="6" max="6" width="35.109375" customWidth="1"/>
    <col min="7" max="7" width="11.109375" bestFit="1" customWidth="1"/>
    <col min="8" max="8" width="29.109375" customWidth="1"/>
    <col min="9" max="9" width="6.44140625" bestFit="1" customWidth="1"/>
    <col min="10" max="10" width="0.109375" style="312" customWidth="1"/>
    <col min="12" max="18" width="3.44140625" customWidth="1"/>
    <col min="19" max="19" width="11.44140625" customWidth="1"/>
  </cols>
  <sheetData>
    <row r="1" spans="1:16" s="316" customFormat="1" ht="44.4" customHeight="1" x14ac:dyDescent="0.3">
      <c r="A1" s="401"/>
      <c r="B1" s="198" t="str">
        <f ca="1">' '!A320</f>
        <v>C O M M U N I C A T I O N</v>
      </c>
      <c r="C1" s="400"/>
      <c r="D1" s="400"/>
      <c r="E1" s="198"/>
      <c r="F1" s="198"/>
      <c r="G1" s="198"/>
      <c r="H1" s="198"/>
      <c r="I1" s="317"/>
      <c r="J1" s="311"/>
      <c r="K1" s="318"/>
      <c r="L1" s="318"/>
      <c r="M1" s="318"/>
      <c r="N1" s="318"/>
      <c r="O1" s="318"/>
      <c r="P1" s="318"/>
    </row>
    <row r="2" spans="1:16" s="315" customFormat="1" ht="1.2" customHeight="1" x14ac:dyDescent="0.3">
      <c r="A2" s="585"/>
      <c r="B2" s="585"/>
      <c r="C2" s="585"/>
      <c r="D2" s="585"/>
      <c r="E2" s="706"/>
      <c r="F2" s="706"/>
      <c r="G2" s="706"/>
      <c r="H2" s="706"/>
      <c r="I2" s="706"/>
      <c r="J2" s="311"/>
      <c r="K2" s="748"/>
      <c r="L2" s="748"/>
      <c r="M2" s="748"/>
      <c r="N2" s="748"/>
      <c r="O2" s="748"/>
      <c r="P2" s="748"/>
    </row>
    <row r="3" spans="1:16" ht="33.75" customHeight="1" x14ac:dyDescent="0.3">
      <c r="A3" s="320"/>
      <c r="B3" s="749"/>
    </row>
    <row r="4" spans="1:16" ht="189.75" customHeight="1" x14ac:dyDescent="0.3">
      <c r="A4" s="15" t="s">
        <v>534</v>
      </c>
      <c r="B4" s="750"/>
    </row>
    <row r="5" spans="1:16" ht="9.75" customHeight="1" x14ac:dyDescent="0.3">
      <c r="B5" s="751"/>
    </row>
    <row r="6" spans="1:16" ht="9.75" customHeight="1" x14ac:dyDescent="0.3">
      <c r="B6" s="751"/>
    </row>
    <row r="7" spans="1:16" ht="18" customHeight="1" x14ac:dyDescent="0.3">
      <c r="B7" s="857" t="str">
        <f ca="1">' '!A321</f>
        <v>Interne</v>
      </c>
      <c r="C7" s="857"/>
      <c r="D7" s="857"/>
      <c r="E7" s="857"/>
      <c r="F7" s="857"/>
      <c r="G7" s="857"/>
      <c r="H7" s="857"/>
      <c r="I7" s="857"/>
    </row>
    <row r="8" spans="1:16" s="752" customFormat="1" ht="15.6" x14ac:dyDescent="0.25">
      <c r="A8"/>
      <c r="B8" s="858" t="str">
        <f ca="1">' '!A328</f>
        <v>No.</v>
      </c>
      <c r="C8" s="859" t="str">
        <f ca="1">' '!A329</f>
        <v>Désignation</v>
      </c>
      <c r="D8" s="859" t="str">
        <f ca="1">' '!$A$177</f>
        <v>en %</v>
      </c>
      <c r="E8" s="859" t="str">
        <f ca="1">' '!A331</f>
        <v>Forces principales</v>
      </c>
      <c r="F8" s="859" t="str">
        <f ca="1">' '!A332</f>
        <v>Faiblesses principales</v>
      </c>
      <c r="G8" s="859" t="str">
        <f ca="1">' '!A333</f>
        <v>Impact</v>
      </c>
      <c r="H8" s="859" t="str">
        <f ca="1">' '!A334</f>
        <v>Remarques</v>
      </c>
      <c r="I8" s="860" t="str">
        <f ca="1">' '!A335</f>
        <v>Statut</v>
      </c>
      <c r="J8" s="313"/>
    </row>
    <row r="9" spans="1:16" s="371" customFormat="1" ht="23.4" x14ac:dyDescent="0.3">
      <c r="A9"/>
      <c r="B9" s="383">
        <v>1</v>
      </c>
      <c r="C9" s="861"/>
      <c r="D9" s="862"/>
      <c r="E9" s="861"/>
      <c r="F9" s="861"/>
      <c r="G9" s="863">
        <v>3</v>
      </c>
      <c r="H9" s="861"/>
      <c r="I9" s="864">
        <v>2</v>
      </c>
      <c r="J9" s="314">
        <f>IF(G9=0,0.1,G9)</f>
        <v>3</v>
      </c>
      <c r="M9" s="865"/>
    </row>
    <row r="10" spans="1:16" s="371" customFormat="1" ht="23.4" x14ac:dyDescent="0.3">
      <c r="A10"/>
      <c r="B10" s="383">
        <v>2</v>
      </c>
      <c r="C10" s="861"/>
      <c r="D10" s="862"/>
      <c r="E10" s="861"/>
      <c r="F10" s="861"/>
      <c r="G10" s="863">
        <v>4</v>
      </c>
      <c r="H10" s="861"/>
      <c r="I10" s="864"/>
      <c r="J10" s="314">
        <f t="shared" ref="J10:J18" si="0">IF(G10=0,0.1,G10)</f>
        <v>4</v>
      </c>
    </row>
    <row r="11" spans="1:16" s="371" customFormat="1" ht="23.4" x14ac:dyDescent="0.3">
      <c r="A11"/>
      <c r="B11" s="383">
        <v>3</v>
      </c>
      <c r="C11" s="861"/>
      <c r="D11" s="862"/>
      <c r="E11" s="861"/>
      <c r="F11" s="861"/>
      <c r="G11" s="863">
        <v>3</v>
      </c>
      <c r="H11" s="861"/>
      <c r="I11" s="864"/>
      <c r="J11" s="314">
        <f t="shared" si="0"/>
        <v>3</v>
      </c>
    </row>
    <row r="12" spans="1:16" s="371" customFormat="1" ht="23.4" x14ac:dyDescent="0.3">
      <c r="A12"/>
      <c r="B12" s="383">
        <v>4</v>
      </c>
      <c r="C12" s="861"/>
      <c r="D12" s="862"/>
      <c r="E12" s="861"/>
      <c r="F12" s="861"/>
      <c r="G12" s="863"/>
      <c r="H12" s="861"/>
      <c r="I12" s="864"/>
      <c r="J12" s="314">
        <f t="shared" si="0"/>
        <v>0.1</v>
      </c>
    </row>
    <row r="13" spans="1:16" s="371" customFormat="1" ht="23.4" x14ac:dyDescent="0.3">
      <c r="A13"/>
      <c r="B13" s="383">
        <v>5</v>
      </c>
      <c r="C13" s="861"/>
      <c r="D13" s="862"/>
      <c r="E13" s="861"/>
      <c r="F13" s="861"/>
      <c r="G13" s="863"/>
      <c r="H13" s="861"/>
      <c r="I13" s="864"/>
      <c r="J13" s="314">
        <f t="shared" si="0"/>
        <v>0.1</v>
      </c>
    </row>
    <row r="14" spans="1:16" s="371" customFormat="1" ht="23.4" x14ac:dyDescent="0.3">
      <c r="A14"/>
      <c r="B14" s="383">
        <v>6</v>
      </c>
      <c r="C14" s="861"/>
      <c r="D14" s="862"/>
      <c r="E14" s="861"/>
      <c r="F14" s="861"/>
      <c r="G14" s="863"/>
      <c r="H14" s="861"/>
      <c r="I14" s="864"/>
      <c r="J14" s="314">
        <f t="shared" si="0"/>
        <v>0.1</v>
      </c>
    </row>
    <row r="15" spans="1:16" s="371" customFormat="1" ht="23.4" x14ac:dyDescent="0.3">
      <c r="A15"/>
      <c r="B15" s="383">
        <v>7</v>
      </c>
      <c r="C15" s="861"/>
      <c r="D15" s="862"/>
      <c r="E15" s="861"/>
      <c r="F15" s="861"/>
      <c r="G15" s="863"/>
      <c r="H15" s="861"/>
      <c r="I15" s="864"/>
      <c r="J15" s="314">
        <f t="shared" si="0"/>
        <v>0.1</v>
      </c>
    </row>
    <row r="16" spans="1:16" s="371" customFormat="1" ht="23.4" x14ac:dyDescent="0.3">
      <c r="A16"/>
      <c r="B16" s="383">
        <v>8</v>
      </c>
      <c r="C16" s="861"/>
      <c r="D16" s="862"/>
      <c r="E16" s="861"/>
      <c r="F16" s="861"/>
      <c r="G16" s="863"/>
      <c r="H16" s="861"/>
      <c r="I16" s="864"/>
      <c r="J16" s="314">
        <f t="shared" si="0"/>
        <v>0.1</v>
      </c>
    </row>
    <row r="17" spans="1:13" s="371" customFormat="1" ht="23.4" x14ac:dyDescent="0.3">
      <c r="A17"/>
      <c r="B17" s="383">
        <v>9</v>
      </c>
      <c r="C17" s="861"/>
      <c r="D17" s="862"/>
      <c r="E17" s="861"/>
      <c r="F17" s="861"/>
      <c r="G17" s="863"/>
      <c r="H17" s="861"/>
      <c r="I17" s="864"/>
      <c r="J17" s="314">
        <f t="shared" si="0"/>
        <v>0.1</v>
      </c>
    </row>
    <row r="18" spans="1:13" s="371" customFormat="1" ht="23.4" x14ac:dyDescent="0.3">
      <c r="A18"/>
      <c r="B18" s="383">
        <v>10</v>
      </c>
      <c r="C18" s="861"/>
      <c r="D18" s="862"/>
      <c r="E18" s="861"/>
      <c r="F18" s="861"/>
      <c r="G18" s="863"/>
      <c r="H18" s="861"/>
      <c r="I18" s="864"/>
      <c r="J18" s="314">
        <f t="shared" si="0"/>
        <v>0.1</v>
      </c>
    </row>
    <row r="19" spans="1:13" ht="18.75" customHeight="1" x14ac:dyDescent="0.3">
      <c r="B19" s="866"/>
      <c r="C19" s="867" t="s">
        <v>466</v>
      </c>
      <c r="D19" s="868">
        <f>SUM(D9:D18)</f>
        <v>0</v>
      </c>
      <c r="E19" s="869"/>
      <c r="F19" s="869"/>
      <c r="G19" s="869"/>
      <c r="H19" s="869"/>
      <c r="I19" s="870"/>
    </row>
    <row r="20" spans="1:13" ht="18.75" customHeight="1" x14ac:dyDescent="0.3">
      <c r="B20" s="751"/>
    </row>
    <row r="21" spans="1:13" ht="18" customHeight="1" x14ac:dyDescent="0.3">
      <c r="B21" s="857" t="str">
        <f ca="1">' '!A322</f>
        <v>Externe</v>
      </c>
      <c r="C21" s="857"/>
      <c r="D21" s="857"/>
      <c r="E21" s="857"/>
      <c r="F21" s="857"/>
      <c r="G21" s="857"/>
      <c r="H21" s="857"/>
      <c r="I21" s="857"/>
    </row>
    <row r="22" spans="1:13" s="752" customFormat="1" ht="15.6" x14ac:dyDescent="0.25">
      <c r="A22"/>
      <c r="B22" s="858" t="str">
        <f ca="1">$B$8</f>
        <v>No.</v>
      </c>
      <c r="C22" s="859" t="str">
        <f ca="1">$C$8</f>
        <v>Désignation</v>
      </c>
      <c r="D22" s="859" t="str">
        <f ca="1">' '!$A$177</f>
        <v>en %</v>
      </c>
      <c r="E22" s="859" t="str">
        <f ca="1">$E$8</f>
        <v>Forces principales</v>
      </c>
      <c r="F22" s="859" t="str">
        <f ca="1">$F$8</f>
        <v>Faiblesses principales</v>
      </c>
      <c r="G22" s="859" t="str">
        <f ca="1">$G$8</f>
        <v>Impact</v>
      </c>
      <c r="H22" s="859" t="str">
        <f ca="1">H8</f>
        <v>Remarques</v>
      </c>
      <c r="I22" s="860" t="str">
        <f ca="1">$I$8</f>
        <v>Statut</v>
      </c>
      <c r="J22" s="313"/>
    </row>
    <row r="23" spans="1:13" s="371" customFormat="1" ht="23.4" x14ac:dyDescent="0.3">
      <c r="A23"/>
      <c r="B23" s="383">
        <v>1</v>
      </c>
      <c r="C23" s="861"/>
      <c r="D23" s="862">
        <v>0.8</v>
      </c>
      <c r="E23" s="861"/>
      <c r="F23" s="861"/>
      <c r="G23" s="863">
        <v>3</v>
      </c>
      <c r="H23" s="861"/>
      <c r="I23" s="864">
        <v>2</v>
      </c>
      <c r="J23" s="314">
        <f>IF(G23=0,0.1,G23)</f>
        <v>3</v>
      </c>
      <c r="M23" s="865"/>
    </row>
    <row r="24" spans="1:13" s="371" customFormat="1" ht="23.4" x14ac:dyDescent="0.3">
      <c r="A24"/>
      <c r="B24" s="383">
        <v>2</v>
      </c>
      <c r="C24" s="861"/>
      <c r="D24" s="862">
        <v>0.01</v>
      </c>
      <c r="E24" s="861"/>
      <c r="F24" s="861"/>
      <c r="G24" s="863">
        <v>2</v>
      </c>
      <c r="H24" s="861"/>
      <c r="I24" s="864"/>
      <c r="J24" s="314">
        <f t="shared" ref="J24:J32" si="1">IF(G24=0,0.1,G24)</f>
        <v>2</v>
      </c>
    </row>
    <row r="25" spans="1:13" s="371" customFormat="1" ht="23.4" x14ac:dyDescent="0.3">
      <c r="A25"/>
      <c r="B25" s="383">
        <v>3</v>
      </c>
      <c r="C25" s="861"/>
      <c r="D25" s="862">
        <v>0.03</v>
      </c>
      <c r="E25" s="861"/>
      <c r="F25" s="861"/>
      <c r="G25" s="863">
        <v>4</v>
      </c>
      <c r="H25" s="861"/>
      <c r="I25" s="864"/>
      <c r="J25" s="314">
        <f t="shared" si="1"/>
        <v>4</v>
      </c>
    </row>
    <row r="26" spans="1:13" s="371" customFormat="1" ht="23.4" x14ac:dyDescent="0.3">
      <c r="A26"/>
      <c r="B26" s="383">
        <v>4</v>
      </c>
      <c r="C26" s="861"/>
      <c r="D26" s="862">
        <v>0.02</v>
      </c>
      <c r="E26" s="861"/>
      <c r="F26" s="861"/>
      <c r="G26" s="863">
        <v>3</v>
      </c>
      <c r="H26" s="861"/>
      <c r="I26" s="864"/>
      <c r="J26" s="314">
        <f t="shared" si="1"/>
        <v>3</v>
      </c>
    </row>
    <row r="27" spans="1:13" s="371" customFormat="1" ht="23.4" x14ac:dyDescent="0.3">
      <c r="A27"/>
      <c r="B27" s="383">
        <v>5</v>
      </c>
      <c r="C27" s="861"/>
      <c r="D27" s="862">
        <v>0.05</v>
      </c>
      <c r="E27" s="861"/>
      <c r="F27" s="861"/>
      <c r="G27" s="863">
        <v>2</v>
      </c>
      <c r="H27" s="861"/>
      <c r="I27" s="864"/>
      <c r="J27" s="314">
        <f t="shared" si="1"/>
        <v>2</v>
      </c>
    </row>
    <row r="28" spans="1:13" s="371" customFormat="1" ht="23.4" x14ac:dyDescent="0.3">
      <c r="A28"/>
      <c r="B28" s="383">
        <v>6</v>
      </c>
      <c r="C28" s="861"/>
      <c r="D28" s="862">
        <v>0.05</v>
      </c>
      <c r="E28" s="861"/>
      <c r="F28" s="861"/>
      <c r="G28" s="863">
        <v>3</v>
      </c>
      <c r="H28" s="861"/>
      <c r="I28" s="864"/>
      <c r="J28" s="314">
        <f t="shared" si="1"/>
        <v>3</v>
      </c>
    </row>
    <row r="29" spans="1:13" s="371" customFormat="1" ht="23.4" x14ac:dyDescent="0.3">
      <c r="A29"/>
      <c r="B29" s="383">
        <v>7</v>
      </c>
      <c r="C29" s="861"/>
      <c r="D29" s="862">
        <v>0.02</v>
      </c>
      <c r="E29" s="861"/>
      <c r="F29" s="861"/>
      <c r="G29" s="863">
        <v>3</v>
      </c>
      <c r="H29" s="861"/>
      <c r="I29" s="864"/>
      <c r="J29" s="314">
        <f t="shared" si="1"/>
        <v>3</v>
      </c>
    </row>
    <row r="30" spans="1:13" s="371" customFormat="1" ht="23.4" x14ac:dyDescent="0.3">
      <c r="A30"/>
      <c r="B30" s="383">
        <v>8</v>
      </c>
      <c r="C30" s="861"/>
      <c r="D30" s="862">
        <v>0.02</v>
      </c>
      <c r="E30" s="861"/>
      <c r="F30" s="861"/>
      <c r="G30" s="863">
        <v>3</v>
      </c>
      <c r="H30" s="861"/>
      <c r="I30" s="864"/>
      <c r="J30" s="314">
        <f t="shared" si="1"/>
        <v>3</v>
      </c>
    </row>
    <row r="31" spans="1:13" s="371" customFormat="1" ht="23.4" x14ac:dyDescent="0.3">
      <c r="A31"/>
      <c r="B31" s="383">
        <v>9</v>
      </c>
      <c r="C31" s="861"/>
      <c r="D31" s="862"/>
      <c r="E31" s="861"/>
      <c r="F31" s="861"/>
      <c r="G31" s="863">
        <v>2</v>
      </c>
      <c r="H31" s="861"/>
      <c r="I31" s="864"/>
      <c r="J31" s="314">
        <f t="shared" si="1"/>
        <v>2</v>
      </c>
    </row>
    <row r="32" spans="1:13" s="371" customFormat="1" ht="23.4" x14ac:dyDescent="0.3">
      <c r="A32"/>
      <c r="B32" s="383">
        <v>10</v>
      </c>
      <c r="C32" s="861"/>
      <c r="D32" s="862"/>
      <c r="E32" s="861"/>
      <c r="F32" s="861"/>
      <c r="G32" s="863">
        <v>2</v>
      </c>
      <c r="H32" s="861"/>
      <c r="I32" s="864"/>
      <c r="J32" s="314">
        <f t="shared" si="1"/>
        <v>2</v>
      </c>
    </row>
    <row r="33" spans="1:13" ht="18.75" customHeight="1" x14ac:dyDescent="0.3">
      <c r="B33" s="866"/>
      <c r="C33" s="867" t="s">
        <v>466</v>
      </c>
      <c r="D33" s="868">
        <f>SUM(D23:D32)</f>
        <v>1.0000000000000002</v>
      </c>
      <c r="E33" s="869"/>
      <c r="F33" s="869"/>
      <c r="G33" s="869"/>
      <c r="H33" s="869"/>
      <c r="I33" s="870"/>
    </row>
    <row r="34" spans="1:13" ht="18.75" customHeight="1" x14ac:dyDescent="0.3">
      <c r="B34" s="751"/>
    </row>
    <row r="35" spans="1:13" ht="18" customHeight="1" x14ac:dyDescent="0.3">
      <c r="B35" s="857" t="str">
        <f ca="1">' '!A323</f>
        <v>Internet</v>
      </c>
      <c r="C35" s="857"/>
      <c r="D35" s="857"/>
      <c r="E35" s="857"/>
      <c r="F35" s="857"/>
      <c r="G35" s="857"/>
      <c r="H35" s="857"/>
      <c r="I35" s="857"/>
    </row>
    <row r="36" spans="1:13" s="752" customFormat="1" ht="15.75" customHeight="1" x14ac:dyDescent="0.25">
      <c r="A36"/>
      <c r="B36" s="858" t="str">
        <f ca="1">$B$8</f>
        <v>No.</v>
      </c>
      <c r="C36" s="859" t="str">
        <f ca="1">$C$8</f>
        <v>Désignation</v>
      </c>
      <c r="D36" s="859" t="str">
        <f ca="1">' '!$A$177</f>
        <v>en %</v>
      </c>
      <c r="E36" s="859" t="str">
        <f ca="1">$E$8</f>
        <v>Forces principales</v>
      </c>
      <c r="F36" s="859" t="str">
        <f ca="1">$F$8</f>
        <v>Faiblesses principales</v>
      </c>
      <c r="G36" s="859" t="str">
        <f ca="1">$G$8</f>
        <v>Impact</v>
      </c>
      <c r="H36" s="859" t="str">
        <f ca="1">H22</f>
        <v>Remarques</v>
      </c>
      <c r="I36" s="860" t="str">
        <f ca="1">$I$8</f>
        <v>Statut</v>
      </c>
      <c r="J36" s="313"/>
    </row>
    <row r="37" spans="1:13" s="371" customFormat="1" ht="23.4" x14ac:dyDescent="0.3">
      <c r="A37"/>
      <c r="B37" s="383">
        <v>1</v>
      </c>
      <c r="C37" s="861"/>
      <c r="D37" s="862"/>
      <c r="E37" s="861"/>
      <c r="F37" s="861"/>
      <c r="G37" s="863">
        <v>3</v>
      </c>
      <c r="H37" s="861"/>
      <c r="I37" s="864">
        <v>2</v>
      </c>
      <c r="J37" s="314">
        <f>IF(G37=0,0.1,G37)</f>
        <v>3</v>
      </c>
      <c r="M37" s="865"/>
    </row>
    <row r="38" spans="1:13" s="371" customFormat="1" ht="23.4" x14ac:dyDescent="0.3">
      <c r="A38"/>
      <c r="B38" s="383">
        <v>2</v>
      </c>
      <c r="C38" s="861"/>
      <c r="D38" s="862"/>
      <c r="E38" s="861"/>
      <c r="F38" s="861"/>
      <c r="G38" s="863">
        <v>1</v>
      </c>
      <c r="H38" s="861"/>
      <c r="I38" s="864"/>
      <c r="J38" s="314">
        <f t="shared" ref="J38:J46" si="2">IF(G38=0,0.1,G38)</f>
        <v>1</v>
      </c>
    </row>
    <row r="39" spans="1:13" s="371" customFormat="1" ht="23.4" x14ac:dyDescent="0.3">
      <c r="A39"/>
      <c r="B39" s="383">
        <v>3</v>
      </c>
      <c r="C39" s="861"/>
      <c r="D39" s="862"/>
      <c r="E39" s="861"/>
      <c r="F39" s="861"/>
      <c r="G39" s="863">
        <v>3</v>
      </c>
      <c r="H39" s="861"/>
      <c r="I39" s="864"/>
      <c r="J39" s="314">
        <f t="shared" si="2"/>
        <v>3</v>
      </c>
    </row>
    <row r="40" spans="1:13" s="371" customFormat="1" ht="23.4" x14ac:dyDescent="0.3">
      <c r="A40"/>
      <c r="B40" s="383">
        <v>4</v>
      </c>
      <c r="C40" s="861"/>
      <c r="D40" s="862"/>
      <c r="E40" s="861"/>
      <c r="F40" s="861"/>
      <c r="G40" s="863"/>
      <c r="H40" s="861"/>
      <c r="I40" s="864"/>
      <c r="J40" s="314">
        <f t="shared" si="2"/>
        <v>0.1</v>
      </c>
    </row>
    <row r="41" spans="1:13" s="371" customFormat="1" ht="23.4" x14ac:dyDescent="0.3">
      <c r="A41"/>
      <c r="B41" s="383">
        <v>5</v>
      </c>
      <c r="C41" s="861"/>
      <c r="D41" s="862"/>
      <c r="E41" s="861"/>
      <c r="F41" s="861"/>
      <c r="G41" s="863"/>
      <c r="H41" s="861"/>
      <c r="I41" s="864"/>
      <c r="J41" s="314">
        <f t="shared" si="2"/>
        <v>0.1</v>
      </c>
    </row>
    <row r="42" spans="1:13" s="371" customFormat="1" ht="23.4" x14ac:dyDescent="0.3">
      <c r="A42"/>
      <c r="B42" s="383">
        <v>6</v>
      </c>
      <c r="C42" s="861"/>
      <c r="D42" s="862"/>
      <c r="E42" s="861"/>
      <c r="F42" s="861"/>
      <c r="G42" s="863"/>
      <c r="H42" s="861"/>
      <c r="I42" s="864"/>
      <c r="J42" s="314">
        <f t="shared" si="2"/>
        <v>0.1</v>
      </c>
    </row>
    <row r="43" spans="1:13" s="371" customFormat="1" ht="23.4" x14ac:dyDescent="0.3">
      <c r="A43"/>
      <c r="B43" s="383">
        <v>7</v>
      </c>
      <c r="C43" s="861"/>
      <c r="D43" s="862"/>
      <c r="E43" s="861"/>
      <c r="F43" s="861"/>
      <c r="G43" s="863"/>
      <c r="H43" s="861"/>
      <c r="I43" s="864"/>
      <c r="J43" s="314">
        <f t="shared" si="2"/>
        <v>0.1</v>
      </c>
    </row>
    <row r="44" spans="1:13" s="371" customFormat="1" ht="23.4" x14ac:dyDescent="0.3">
      <c r="A44"/>
      <c r="B44" s="383">
        <v>8</v>
      </c>
      <c r="C44" s="861"/>
      <c r="D44" s="862"/>
      <c r="E44" s="861"/>
      <c r="F44" s="861"/>
      <c r="G44" s="863"/>
      <c r="H44" s="861"/>
      <c r="I44" s="864"/>
      <c r="J44" s="314">
        <f t="shared" si="2"/>
        <v>0.1</v>
      </c>
    </row>
    <row r="45" spans="1:13" s="371" customFormat="1" ht="23.4" x14ac:dyDescent="0.3">
      <c r="A45"/>
      <c r="B45" s="383">
        <v>9</v>
      </c>
      <c r="C45" s="861"/>
      <c r="D45" s="862"/>
      <c r="E45" s="861"/>
      <c r="F45" s="861"/>
      <c r="G45" s="863"/>
      <c r="H45" s="861"/>
      <c r="I45" s="864"/>
      <c r="J45" s="314">
        <f t="shared" si="2"/>
        <v>0.1</v>
      </c>
    </row>
    <row r="46" spans="1:13" s="371" customFormat="1" ht="23.4" x14ac:dyDescent="0.3">
      <c r="A46"/>
      <c r="B46" s="383">
        <v>10</v>
      </c>
      <c r="C46" s="861"/>
      <c r="D46" s="862"/>
      <c r="E46" s="861"/>
      <c r="F46" s="861"/>
      <c r="G46" s="863"/>
      <c r="H46" s="861"/>
      <c r="I46" s="864"/>
      <c r="J46" s="314">
        <f t="shared" si="2"/>
        <v>0.1</v>
      </c>
    </row>
    <row r="47" spans="1:13" ht="18.75" customHeight="1" x14ac:dyDescent="0.3">
      <c r="B47" s="866"/>
      <c r="C47" s="867" t="s">
        <v>466</v>
      </c>
      <c r="D47" s="868">
        <f>SUM(D37:D46)</f>
        <v>0</v>
      </c>
      <c r="E47" s="869"/>
      <c r="F47" s="869"/>
      <c r="G47" s="869"/>
      <c r="H47" s="869"/>
      <c r="I47" s="870"/>
    </row>
    <row r="48" spans="1:13" ht="18.75" customHeight="1" x14ac:dyDescent="0.3">
      <c r="B48" s="751"/>
    </row>
    <row r="49" spans="1:13" ht="18" customHeight="1" x14ac:dyDescent="0.3">
      <c r="B49" s="857" t="str">
        <f ca="1">' '!A324</f>
        <v>Social Medias</v>
      </c>
      <c r="C49" s="857"/>
      <c r="D49" s="857"/>
      <c r="E49" s="857"/>
      <c r="F49" s="857"/>
      <c r="G49" s="857"/>
      <c r="H49" s="857"/>
      <c r="I49" s="857"/>
    </row>
    <row r="50" spans="1:13" s="752" customFormat="1" ht="15.75" customHeight="1" x14ac:dyDescent="0.25">
      <c r="A50"/>
      <c r="B50" s="858" t="str">
        <f ca="1">$B$8</f>
        <v>No.</v>
      </c>
      <c r="C50" s="859" t="str">
        <f ca="1">$C$8</f>
        <v>Désignation</v>
      </c>
      <c r="D50" s="859" t="str">
        <f ca="1">' '!$A$177</f>
        <v>en %</v>
      </c>
      <c r="E50" s="859" t="str">
        <f ca="1">$E$8</f>
        <v>Forces principales</v>
      </c>
      <c r="F50" s="859" t="str">
        <f ca="1">$F$8</f>
        <v>Faiblesses principales</v>
      </c>
      <c r="G50" s="859" t="str">
        <f ca="1">$G$8</f>
        <v>Impact</v>
      </c>
      <c r="H50" s="859" t="str">
        <f ca="1">H36</f>
        <v>Remarques</v>
      </c>
      <c r="I50" s="860" t="str">
        <f ca="1">$I$8</f>
        <v>Statut</v>
      </c>
      <c r="J50" s="313"/>
    </row>
    <row r="51" spans="1:13" s="371" customFormat="1" ht="23.4" x14ac:dyDescent="0.3">
      <c r="A51"/>
      <c r="B51" s="383">
        <v>1</v>
      </c>
      <c r="C51" s="861"/>
      <c r="D51" s="862"/>
      <c r="E51" s="861"/>
      <c r="F51" s="861"/>
      <c r="G51" s="863">
        <v>3</v>
      </c>
      <c r="H51" s="861"/>
      <c r="I51" s="864">
        <v>2</v>
      </c>
      <c r="J51" s="314">
        <f>IF(G51=0,0.1,G51)</f>
        <v>3</v>
      </c>
      <c r="M51" s="865"/>
    </row>
    <row r="52" spans="1:13" s="371" customFormat="1" ht="23.4" x14ac:dyDescent="0.3">
      <c r="A52"/>
      <c r="B52" s="383">
        <v>2</v>
      </c>
      <c r="C52" s="861"/>
      <c r="D52" s="862"/>
      <c r="E52" s="861"/>
      <c r="F52" s="861"/>
      <c r="G52" s="863">
        <v>1</v>
      </c>
      <c r="H52" s="861"/>
      <c r="I52" s="864"/>
      <c r="J52" s="314">
        <f t="shared" ref="J52:J60" si="3">IF(G52=0,0.1,G52)</f>
        <v>1</v>
      </c>
    </row>
    <row r="53" spans="1:13" s="371" customFormat="1" ht="23.4" x14ac:dyDescent="0.3">
      <c r="A53"/>
      <c r="B53" s="383">
        <v>3</v>
      </c>
      <c r="C53" s="861"/>
      <c r="D53" s="862"/>
      <c r="E53" s="861"/>
      <c r="F53" s="861"/>
      <c r="G53" s="863"/>
      <c r="H53" s="861"/>
      <c r="I53" s="864"/>
      <c r="J53" s="314">
        <f t="shared" si="3"/>
        <v>0.1</v>
      </c>
    </row>
    <row r="54" spans="1:13" s="371" customFormat="1" ht="23.4" x14ac:dyDescent="0.3">
      <c r="A54"/>
      <c r="B54" s="383">
        <v>4</v>
      </c>
      <c r="C54" s="861"/>
      <c r="D54" s="862"/>
      <c r="E54" s="861"/>
      <c r="F54" s="861"/>
      <c r="G54" s="863"/>
      <c r="H54" s="861"/>
      <c r="I54" s="864"/>
      <c r="J54" s="314">
        <f t="shared" si="3"/>
        <v>0.1</v>
      </c>
    </row>
    <row r="55" spans="1:13" s="371" customFormat="1" ht="23.4" x14ac:dyDescent="0.3">
      <c r="A55"/>
      <c r="B55" s="383">
        <v>5</v>
      </c>
      <c r="C55" s="861"/>
      <c r="D55" s="862"/>
      <c r="E55" s="861"/>
      <c r="F55" s="861"/>
      <c r="G55" s="863"/>
      <c r="H55" s="861"/>
      <c r="I55" s="864"/>
      <c r="J55" s="314">
        <f t="shared" si="3"/>
        <v>0.1</v>
      </c>
    </row>
    <row r="56" spans="1:13" s="371" customFormat="1" ht="23.4" x14ac:dyDescent="0.3">
      <c r="A56"/>
      <c r="B56" s="383">
        <v>6</v>
      </c>
      <c r="C56" s="861"/>
      <c r="D56" s="862"/>
      <c r="E56" s="861"/>
      <c r="F56" s="861"/>
      <c r="G56" s="863"/>
      <c r="H56" s="861"/>
      <c r="I56" s="864"/>
      <c r="J56" s="314">
        <f t="shared" si="3"/>
        <v>0.1</v>
      </c>
    </row>
    <row r="57" spans="1:13" s="371" customFormat="1" ht="23.4" x14ac:dyDescent="0.3">
      <c r="A57"/>
      <c r="B57" s="383">
        <v>7</v>
      </c>
      <c r="C57" s="861"/>
      <c r="D57" s="862"/>
      <c r="E57" s="861"/>
      <c r="F57" s="861"/>
      <c r="G57" s="863"/>
      <c r="H57" s="861"/>
      <c r="I57" s="864"/>
      <c r="J57" s="314">
        <f t="shared" si="3"/>
        <v>0.1</v>
      </c>
    </row>
    <row r="58" spans="1:13" s="371" customFormat="1" ht="23.4" x14ac:dyDescent="0.3">
      <c r="A58"/>
      <c r="B58" s="383">
        <v>8</v>
      </c>
      <c r="C58" s="861"/>
      <c r="D58" s="862"/>
      <c r="E58" s="861"/>
      <c r="F58" s="861"/>
      <c r="G58" s="863"/>
      <c r="H58" s="861"/>
      <c r="I58" s="864"/>
      <c r="J58" s="314">
        <f t="shared" si="3"/>
        <v>0.1</v>
      </c>
    </row>
    <row r="59" spans="1:13" s="371" customFormat="1" ht="23.4" x14ac:dyDescent="0.3">
      <c r="A59"/>
      <c r="B59" s="383">
        <v>9</v>
      </c>
      <c r="C59" s="861"/>
      <c r="D59" s="862"/>
      <c r="E59" s="861"/>
      <c r="F59" s="861"/>
      <c r="G59" s="863"/>
      <c r="H59" s="861"/>
      <c r="I59" s="864"/>
      <c r="J59" s="314">
        <f t="shared" si="3"/>
        <v>0.1</v>
      </c>
    </row>
    <row r="60" spans="1:13" s="371" customFormat="1" ht="23.4" x14ac:dyDescent="0.3">
      <c r="A60"/>
      <c r="B60" s="383">
        <v>10</v>
      </c>
      <c r="C60" s="861"/>
      <c r="D60" s="862"/>
      <c r="E60" s="861"/>
      <c r="F60" s="861"/>
      <c r="G60" s="863"/>
      <c r="H60" s="861"/>
      <c r="I60" s="864"/>
      <c r="J60" s="314">
        <f t="shared" si="3"/>
        <v>0.1</v>
      </c>
    </row>
    <row r="61" spans="1:13" ht="18.75" customHeight="1" x14ac:dyDescent="0.3">
      <c r="B61" s="866"/>
      <c r="C61" s="867" t="s">
        <v>466</v>
      </c>
      <c r="D61" s="868">
        <f>SUM(D51:D60)</f>
        <v>0</v>
      </c>
      <c r="E61" s="869"/>
      <c r="F61" s="869"/>
      <c r="G61" s="869"/>
      <c r="H61" s="869"/>
      <c r="I61" s="870"/>
    </row>
    <row r="62" spans="1:13" ht="18.75" customHeight="1" x14ac:dyDescent="0.3">
      <c r="B62" s="751"/>
    </row>
    <row r="63" spans="1:13" ht="18" customHeight="1" x14ac:dyDescent="0.3">
      <c r="B63" s="857" t="str">
        <f ca="1">' '!A325</f>
        <v>Relations publiques</v>
      </c>
      <c r="C63" s="857"/>
      <c r="D63" s="857"/>
      <c r="E63" s="857"/>
      <c r="F63" s="857"/>
      <c r="G63" s="857"/>
      <c r="H63" s="857"/>
      <c r="I63" s="857"/>
    </row>
    <row r="64" spans="1:13" s="752" customFormat="1" ht="15.75" customHeight="1" x14ac:dyDescent="0.25">
      <c r="A64"/>
      <c r="B64" s="858" t="str">
        <f ca="1">$B$8</f>
        <v>No.</v>
      </c>
      <c r="C64" s="859" t="str">
        <f ca="1">$C$8</f>
        <v>Désignation</v>
      </c>
      <c r="D64" s="859" t="str">
        <f ca="1">' '!$A$177</f>
        <v>en %</v>
      </c>
      <c r="E64" s="859" t="str">
        <f ca="1">$E$8</f>
        <v>Forces principales</v>
      </c>
      <c r="F64" s="859" t="str">
        <f ca="1">$F$8</f>
        <v>Faiblesses principales</v>
      </c>
      <c r="G64" s="859" t="str">
        <f ca="1">$G$8</f>
        <v>Impact</v>
      </c>
      <c r="H64" s="859" t="str">
        <f ca="1">H50</f>
        <v>Remarques</v>
      </c>
      <c r="I64" s="860" t="str">
        <f ca="1">$I$8</f>
        <v>Statut</v>
      </c>
      <c r="J64" s="313"/>
    </row>
    <row r="65" spans="1:13" s="371" customFormat="1" ht="23.4" x14ac:dyDescent="0.3">
      <c r="A65"/>
      <c r="B65" s="383">
        <v>1</v>
      </c>
      <c r="C65" s="861"/>
      <c r="D65" s="862"/>
      <c r="E65" s="861"/>
      <c r="F65" s="861"/>
      <c r="G65" s="863">
        <v>4</v>
      </c>
      <c r="H65" s="861"/>
      <c r="I65" s="864">
        <v>2</v>
      </c>
      <c r="J65" s="314">
        <f>IF(G65=0,0.1,G65)</f>
        <v>4</v>
      </c>
      <c r="M65" s="865"/>
    </row>
    <row r="66" spans="1:13" s="371" customFormat="1" ht="23.4" x14ac:dyDescent="0.3">
      <c r="A66"/>
      <c r="B66" s="383">
        <v>2</v>
      </c>
      <c r="C66" s="861"/>
      <c r="D66" s="862"/>
      <c r="E66" s="861"/>
      <c r="F66" s="861"/>
      <c r="G66" s="863">
        <v>1</v>
      </c>
      <c r="H66" s="861"/>
      <c r="I66" s="864"/>
      <c r="J66" s="314">
        <f t="shared" ref="J66:J74" si="4">IF(G66=0,0.1,G66)</f>
        <v>1</v>
      </c>
    </row>
    <row r="67" spans="1:13" s="371" customFormat="1" ht="23.4" x14ac:dyDescent="0.3">
      <c r="A67"/>
      <c r="B67" s="383">
        <v>3</v>
      </c>
      <c r="C67" s="861"/>
      <c r="D67" s="862"/>
      <c r="E67" s="861"/>
      <c r="F67" s="861"/>
      <c r="G67" s="863"/>
      <c r="H67" s="861"/>
      <c r="I67" s="864"/>
      <c r="J67" s="314">
        <f t="shared" si="4"/>
        <v>0.1</v>
      </c>
    </row>
    <row r="68" spans="1:13" s="371" customFormat="1" ht="23.4" x14ac:dyDescent="0.3">
      <c r="A68"/>
      <c r="B68" s="383">
        <v>4</v>
      </c>
      <c r="C68" s="861"/>
      <c r="D68" s="862"/>
      <c r="E68" s="861"/>
      <c r="F68" s="861"/>
      <c r="G68" s="863"/>
      <c r="H68" s="861"/>
      <c r="I68" s="864"/>
      <c r="J68" s="314">
        <f t="shared" si="4"/>
        <v>0.1</v>
      </c>
    </row>
    <row r="69" spans="1:13" s="371" customFormat="1" ht="23.4" x14ac:dyDescent="0.3">
      <c r="A69"/>
      <c r="B69" s="383">
        <v>5</v>
      </c>
      <c r="C69" s="861"/>
      <c r="D69" s="862"/>
      <c r="E69" s="861"/>
      <c r="F69" s="861"/>
      <c r="G69" s="863"/>
      <c r="H69" s="861"/>
      <c r="I69" s="864"/>
      <c r="J69" s="314">
        <f t="shared" si="4"/>
        <v>0.1</v>
      </c>
    </row>
    <row r="70" spans="1:13" s="371" customFormat="1" ht="23.4" x14ac:dyDescent="0.3">
      <c r="A70"/>
      <c r="B70" s="383">
        <v>6</v>
      </c>
      <c r="C70" s="861"/>
      <c r="D70" s="862"/>
      <c r="E70" s="861"/>
      <c r="F70" s="861"/>
      <c r="G70" s="863"/>
      <c r="H70" s="861"/>
      <c r="I70" s="864"/>
      <c r="J70" s="314">
        <f t="shared" si="4"/>
        <v>0.1</v>
      </c>
    </row>
    <row r="71" spans="1:13" s="371" customFormat="1" ht="23.4" x14ac:dyDescent="0.3">
      <c r="A71"/>
      <c r="B71" s="383">
        <v>7</v>
      </c>
      <c r="C71" s="861"/>
      <c r="D71" s="862"/>
      <c r="E71" s="861"/>
      <c r="F71" s="861"/>
      <c r="G71" s="863"/>
      <c r="H71" s="861"/>
      <c r="I71" s="864"/>
      <c r="J71" s="314">
        <f t="shared" si="4"/>
        <v>0.1</v>
      </c>
    </row>
    <row r="72" spans="1:13" s="371" customFormat="1" ht="23.4" x14ac:dyDescent="0.3">
      <c r="A72"/>
      <c r="B72" s="383">
        <v>8</v>
      </c>
      <c r="C72" s="861"/>
      <c r="D72" s="862"/>
      <c r="E72" s="861"/>
      <c r="F72" s="861"/>
      <c r="G72" s="863"/>
      <c r="H72" s="861"/>
      <c r="I72" s="864"/>
      <c r="J72" s="314">
        <f t="shared" si="4"/>
        <v>0.1</v>
      </c>
    </row>
    <row r="73" spans="1:13" s="371" customFormat="1" ht="23.4" x14ac:dyDescent="0.3">
      <c r="A73"/>
      <c r="B73" s="383">
        <v>9</v>
      </c>
      <c r="C73" s="861"/>
      <c r="D73" s="862"/>
      <c r="E73" s="861"/>
      <c r="F73" s="861"/>
      <c r="G73" s="863"/>
      <c r="H73" s="861"/>
      <c r="I73" s="864"/>
      <c r="J73" s="314">
        <f t="shared" si="4"/>
        <v>0.1</v>
      </c>
    </row>
    <row r="74" spans="1:13" s="371" customFormat="1" ht="23.4" x14ac:dyDescent="0.3">
      <c r="A74"/>
      <c r="B74" s="383">
        <v>10</v>
      </c>
      <c r="C74" s="861"/>
      <c r="D74" s="862"/>
      <c r="E74" s="861"/>
      <c r="F74" s="861"/>
      <c r="G74" s="863"/>
      <c r="H74" s="861"/>
      <c r="I74" s="864"/>
      <c r="J74" s="314">
        <f t="shared" si="4"/>
        <v>0.1</v>
      </c>
    </row>
    <row r="75" spans="1:13" ht="18.75" customHeight="1" x14ac:dyDescent="0.3">
      <c r="B75" s="866"/>
      <c r="C75" s="867" t="s">
        <v>466</v>
      </c>
      <c r="D75" s="868">
        <f>SUM(D65:D74)</f>
        <v>0</v>
      </c>
      <c r="E75" s="869"/>
      <c r="F75" s="869"/>
      <c r="G75" s="869"/>
      <c r="H75" s="869"/>
      <c r="I75" s="870"/>
    </row>
    <row r="76" spans="1:13" ht="18.75" customHeight="1" x14ac:dyDescent="0.3">
      <c r="B76" s="751"/>
    </row>
    <row r="77" spans="1:13" ht="18" customHeight="1" x14ac:dyDescent="0.3">
      <c r="B77" s="857" t="str">
        <f ca="1">' '!A326</f>
        <v>Divers</v>
      </c>
      <c r="C77" s="857"/>
      <c r="D77" s="857"/>
      <c r="E77" s="857"/>
      <c r="F77" s="857"/>
      <c r="G77" s="857"/>
      <c r="H77" s="857"/>
      <c r="I77" s="857"/>
    </row>
    <row r="78" spans="1:13" s="752" customFormat="1" ht="15.75" customHeight="1" x14ac:dyDescent="0.25">
      <c r="A78"/>
      <c r="B78" s="858" t="str">
        <f ca="1">$B$8</f>
        <v>No.</v>
      </c>
      <c r="C78" s="859" t="str">
        <f ca="1">$C$8</f>
        <v>Désignation</v>
      </c>
      <c r="D78" s="859" t="str">
        <f ca="1">' '!$A$177</f>
        <v>en %</v>
      </c>
      <c r="E78" s="859" t="str">
        <f ca="1">$E$8</f>
        <v>Forces principales</v>
      </c>
      <c r="F78" s="859" t="str">
        <f ca="1">$F$8</f>
        <v>Faiblesses principales</v>
      </c>
      <c r="G78" s="859" t="str">
        <f ca="1">$G$8</f>
        <v>Impact</v>
      </c>
      <c r="H78" s="859" t="str">
        <f ca="1">H64</f>
        <v>Remarques</v>
      </c>
      <c r="I78" s="860" t="str">
        <f ca="1">$I$8</f>
        <v>Statut</v>
      </c>
      <c r="J78" s="313"/>
    </row>
    <row r="79" spans="1:13" s="371" customFormat="1" ht="23.4" x14ac:dyDescent="0.3">
      <c r="A79"/>
      <c r="B79" s="383">
        <v>1</v>
      </c>
      <c r="C79" s="861"/>
      <c r="D79" s="862"/>
      <c r="E79" s="861"/>
      <c r="F79" s="861"/>
      <c r="G79" s="863">
        <v>3</v>
      </c>
      <c r="H79" s="861"/>
      <c r="I79" s="864">
        <v>2</v>
      </c>
      <c r="J79" s="314">
        <f>IF(G79=0,0.1,G79)</f>
        <v>3</v>
      </c>
      <c r="M79" s="865"/>
    </row>
    <row r="80" spans="1:13" s="371" customFormat="1" ht="23.4" x14ac:dyDescent="0.3">
      <c r="A80"/>
      <c r="B80" s="383">
        <v>2</v>
      </c>
      <c r="C80" s="861"/>
      <c r="D80" s="862"/>
      <c r="E80" s="861"/>
      <c r="F80" s="861"/>
      <c r="G80" s="863">
        <v>3</v>
      </c>
      <c r="H80" s="861"/>
      <c r="I80" s="864"/>
      <c r="J80" s="314">
        <f t="shared" ref="J80:J88" si="5">IF(G80=0,0.1,G80)</f>
        <v>3</v>
      </c>
    </row>
    <row r="81" spans="1:10" s="371" customFormat="1" ht="23.4" x14ac:dyDescent="0.3">
      <c r="A81"/>
      <c r="B81" s="383">
        <v>3</v>
      </c>
      <c r="C81" s="861"/>
      <c r="D81" s="862"/>
      <c r="E81" s="861"/>
      <c r="F81" s="861"/>
      <c r="G81" s="863"/>
      <c r="H81" s="861"/>
      <c r="I81" s="864"/>
      <c r="J81" s="314">
        <f t="shared" si="5"/>
        <v>0.1</v>
      </c>
    </row>
    <row r="82" spans="1:10" s="371" customFormat="1" ht="23.4" x14ac:dyDescent="0.3">
      <c r="A82"/>
      <c r="B82" s="383">
        <v>4</v>
      </c>
      <c r="C82" s="861"/>
      <c r="D82" s="862"/>
      <c r="E82" s="861"/>
      <c r="F82" s="861"/>
      <c r="G82" s="863"/>
      <c r="H82" s="861"/>
      <c r="I82" s="864"/>
      <c r="J82" s="314">
        <f t="shared" si="5"/>
        <v>0.1</v>
      </c>
    </row>
    <row r="83" spans="1:10" s="371" customFormat="1" ht="23.4" x14ac:dyDescent="0.3">
      <c r="A83"/>
      <c r="B83" s="383">
        <v>5</v>
      </c>
      <c r="C83" s="861"/>
      <c r="D83" s="862"/>
      <c r="E83" s="861"/>
      <c r="F83" s="861"/>
      <c r="G83" s="863"/>
      <c r="H83" s="861"/>
      <c r="I83" s="864"/>
      <c r="J83" s="314">
        <f t="shared" si="5"/>
        <v>0.1</v>
      </c>
    </row>
    <row r="84" spans="1:10" s="371" customFormat="1" ht="23.4" x14ac:dyDescent="0.3">
      <c r="A84"/>
      <c r="B84" s="383">
        <v>6</v>
      </c>
      <c r="C84" s="861"/>
      <c r="D84" s="862"/>
      <c r="E84" s="861"/>
      <c r="F84" s="861"/>
      <c r="G84" s="863"/>
      <c r="H84" s="861"/>
      <c r="I84" s="864"/>
      <c r="J84" s="314">
        <f t="shared" si="5"/>
        <v>0.1</v>
      </c>
    </row>
    <row r="85" spans="1:10" s="371" customFormat="1" ht="23.4" x14ac:dyDescent="0.3">
      <c r="A85"/>
      <c r="B85" s="383">
        <v>7</v>
      </c>
      <c r="C85" s="861"/>
      <c r="D85" s="862"/>
      <c r="E85" s="861"/>
      <c r="F85" s="861"/>
      <c r="G85" s="863"/>
      <c r="H85" s="861"/>
      <c r="I85" s="864"/>
      <c r="J85" s="314">
        <f t="shared" si="5"/>
        <v>0.1</v>
      </c>
    </row>
    <row r="86" spans="1:10" s="371" customFormat="1" ht="23.4" x14ac:dyDescent="0.3">
      <c r="A86"/>
      <c r="B86" s="383">
        <v>8</v>
      </c>
      <c r="C86" s="861"/>
      <c r="D86" s="862"/>
      <c r="E86" s="861"/>
      <c r="F86" s="861"/>
      <c r="G86" s="863"/>
      <c r="H86" s="861"/>
      <c r="I86" s="864"/>
      <c r="J86" s="314">
        <f t="shared" si="5"/>
        <v>0.1</v>
      </c>
    </row>
    <row r="87" spans="1:10" s="371" customFormat="1" ht="23.4" x14ac:dyDescent="0.3">
      <c r="A87"/>
      <c r="B87" s="383">
        <v>9</v>
      </c>
      <c r="C87" s="861"/>
      <c r="D87" s="862"/>
      <c r="E87" s="861"/>
      <c r="F87" s="861"/>
      <c r="G87" s="863"/>
      <c r="H87" s="861"/>
      <c r="I87" s="864"/>
      <c r="J87" s="314">
        <f t="shared" si="5"/>
        <v>0.1</v>
      </c>
    </row>
    <row r="88" spans="1:10" s="371" customFormat="1" ht="23.4" x14ac:dyDescent="0.3">
      <c r="A88"/>
      <c r="B88" s="383">
        <v>10</v>
      </c>
      <c r="C88" s="861"/>
      <c r="D88" s="862"/>
      <c r="E88" s="861"/>
      <c r="F88" s="861"/>
      <c r="G88" s="863"/>
      <c r="H88" s="861"/>
      <c r="I88" s="864"/>
      <c r="J88" s="314">
        <f t="shared" si="5"/>
        <v>0.1</v>
      </c>
    </row>
    <row r="89" spans="1:10" ht="18.75" customHeight="1" x14ac:dyDescent="0.3">
      <c r="B89" s="871"/>
      <c r="C89" s="872" t="s">
        <v>466</v>
      </c>
      <c r="D89" s="873">
        <f>SUM(D79:D88)</f>
        <v>0</v>
      </c>
      <c r="E89" s="874"/>
      <c r="F89" s="874"/>
      <c r="G89" s="874"/>
      <c r="H89" s="874"/>
      <c r="I89" s="875"/>
    </row>
    <row r="90" spans="1:10" x14ac:dyDescent="0.3">
      <c r="B90" s="335" t="s">
        <v>1776</v>
      </c>
    </row>
  </sheetData>
  <sheetProtection sheet="1" objects="1" scenarios="1" formatCells="0" formatColumns="0" formatRows="0" insertHyperlinks="0" selectLockedCells="1" sort="0" autoFilter="0"/>
  <conditionalFormatting sqref="B9:I18">
    <cfRule type="expression" dxfId="23" priority="60">
      <formula>MOD(ROW(XFD1048576),2)=0</formula>
    </cfRule>
    <cfRule type="expression" dxfId="22" priority="61">
      <formula>MOD(ROW(XFD1),2)=0</formula>
    </cfRule>
  </conditionalFormatting>
  <conditionalFormatting sqref="B19:I19">
    <cfRule type="expression" dxfId="21" priority="85">
      <formula>MOD(ROW(#REF!),2)=0</formula>
    </cfRule>
    <cfRule type="expression" dxfId="20" priority="84">
      <formula>MOD(ROW(#REF!),2)=0</formula>
    </cfRule>
  </conditionalFormatting>
  <conditionalFormatting sqref="B23:I32">
    <cfRule type="expression" dxfId="19" priority="2">
      <formula>MOD(ROW(XFD14),2)=0</formula>
    </cfRule>
    <cfRule type="expression" dxfId="18" priority="3">
      <formula>MOD(ROW(XFD15),2)=0</formula>
    </cfRule>
  </conditionalFormatting>
  <conditionalFormatting sqref="B33:I33">
    <cfRule type="expression" dxfId="17" priority="5">
      <formula>MOD(ROW(#REF!),2)=0</formula>
    </cfRule>
    <cfRule type="expression" dxfId="16" priority="6">
      <formula>MOD(ROW(#REF!),2)=0</formula>
    </cfRule>
  </conditionalFormatting>
  <conditionalFormatting sqref="B37:I46">
    <cfRule type="expression" dxfId="15" priority="56">
      <formula>MOD(ROW(XFD28),2)=0</formula>
    </cfRule>
    <cfRule type="expression" dxfId="14" priority="57">
      <formula>MOD(ROW(XFD29),2)=0</formula>
    </cfRule>
  </conditionalFormatting>
  <conditionalFormatting sqref="B47:I47">
    <cfRule type="expression" dxfId="13" priority="78">
      <formula>MOD(ROW(#REF!),2)=0</formula>
    </cfRule>
    <cfRule type="expression" dxfId="12" priority="77">
      <formula>MOD(ROW(#REF!),2)=0</formula>
    </cfRule>
  </conditionalFormatting>
  <conditionalFormatting sqref="B51:I60">
    <cfRule type="expression" dxfId="11" priority="53">
      <formula>MOD(ROW(XFD43),2)=0</formula>
    </cfRule>
    <cfRule type="expression" dxfId="10" priority="52">
      <formula>MOD(ROW(XFD42),2)=0</formula>
    </cfRule>
  </conditionalFormatting>
  <conditionalFormatting sqref="B61:I61">
    <cfRule type="expression" dxfId="9" priority="70">
      <formula>MOD(ROW(#REF!),2)=0</formula>
    </cfRule>
  </conditionalFormatting>
  <conditionalFormatting sqref="B65:I74">
    <cfRule type="expression" dxfId="8" priority="49">
      <formula>MOD(ROW(XFD57),2)=0</formula>
    </cfRule>
    <cfRule type="expression" dxfId="7" priority="48">
      <formula>MOD(ROW(XFD56),2)=0</formula>
    </cfRule>
  </conditionalFormatting>
  <conditionalFormatting sqref="B75:I75">
    <cfRule type="expression" dxfId="6" priority="63">
      <formula>MOD(ROW(#REF!),2)=0</formula>
    </cfRule>
    <cfRule type="expression" dxfId="5" priority="64">
      <formula>MOD(ROW(#REF!),2)=0</formula>
    </cfRule>
  </conditionalFormatting>
  <conditionalFormatting sqref="B79:I88">
    <cfRule type="expression" dxfId="4" priority="37">
      <formula>MOD(ROW(XFD70),2)=0</formula>
    </cfRule>
    <cfRule type="expression" dxfId="3" priority="38">
      <formula>MOD(ROW(XFD71),2)=0</formula>
    </cfRule>
  </conditionalFormatting>
  <conditionalFormatting sqref="B89:I89">
    <cfRule type="expression" dxfId="2" priority="41">
      <formula>MOD(ROW(#REF!),2)=0</formula>
    </cfRule>
  </conditionalFormatting>
  <conditionalFormatting sqref="F61:I61">
    <cfRule type="expression" dxfId="1" priority="71">
      <formula>MOD(ROW(#REF!),2)=0</formula>
    </cfRule>
  </conditionalFormatting>
  <conditionalFormatting sqref="F89:I89">
    <cfRule type="expression" dxfId="0" priority="42">
      <formula>MOD(ROW(#REF!),2)=0</formula>
    </cfRule>
  </conditionalFormatting>
  <conditionalFormatting sqref="I9:I18">
    <cfRule type="iconSet" priority="59">
      <iconSet iconSet="3Symbols2" showValue="0" reverse="1">
        <cfvo type="percent" val="0"/>
        <cfvo type="num" val="2"/>
        <cfvo type="num" val="3"/>
      </iconSet>
    </cfRule>
  </conditionalFormatting>
  <conditionalFormatting sqref="I23:I32">
    <cfRule type="iconSet" priority="1">
      <iconSet iconSet="3Symbols2" showValue="0" reverse="1">
        <cfvo type="percent" val="0"/>
        <cfvo type="num" val="2"/>
        <cfvo type="num" val="3"/>
      </iconSet>
    </cfRule>
  </conditionalFormatting>
  <conditionalFormatting sqref="I37:I46">
    <cfRule type="iconSet" priority="55">
      <iconSet iconSet="3Symbols2" showValue="0" reverse="1">
        <cfvo type="percent" val="0"/>
        <cfvo type="num" val="2"/>
        <cfvo type="num" val="3"/>
      </iconSet>
    </cfRule>
  </conditionalFormatting>
  <conditionalFormatting sqref="I51:I60">
    <cfRule type="iconSet" priority="51">
      <iconSet iconSet="3Symbols2" showValue="0" reverse="1">
        <cfvo type="percent" val="0"/>
        <cfvo type="num" val="2"/>
        <cfvo type="num" val="3"/>
      </iconSet>
    </cfRule>
  </conditionalFormatting>
  <conditionalFormatting sqref="I65:I74">
    <cfRule type="iconSet" priority="47">
      <iconSet iconSet="3Symbols2" showValue="0" reverse="1">
        <cfvo type="percent" val="0"/>
        <cfvo type="num" val="2"/>
        <cfvo type="num" val="3"/>
      </iconSet>
    </cfRule>
  </conditionalFormatting>
  <conditionalFormatting sqref="I79:I88">
    <cfRule type="iconSet" priority="36">
      <iconSet iconSet="3Symbols2" showValue="0" reverse="1">
        <cfvo type="percent" val="0"/>
        <cfvo type="num" val="2"/>
        <cfvo type="num" val="3"/>
      </iconSet>
    </cfRule>
  </conditionalFormatting>
  <dataValidations count="3">
    <dataValidation type="list" showInputMessage="1" showErrorMessage="1" sqref="I23:I34 I37:I48 I51:I62 I9:I19 I65:I76 I79:I89" xr:uid="{00000000-0002-0000-1D00-000000000000}">
      <formula1>"1,2,3"</formula1>
    </dataValidation>
    <dataValidation type="list" showInputMessage="1" showErrorMessage="1" sqref="G9:G18 G51:G60 G37:G46 G65:G74 G79:G88 G23:G32" xr:uid="{00000000-0002-0000-1D00-000001000000}">
      <formula1>"0,1,2,3,4"</formula1>
    </dataValidation>
    <dataValidation showInputMessage="1" showErrorMessage="1" sqref="G20 G34 G48 G62 G76" xr:uid="{00000000-0002-0000-1D00-000002000000}"/>
  </dataValidations>
  <hyperlinks>
    <hyperlink ref="A4" location="x!A192" display="x!A192" xr:uid="{00000000-0004-0000-1D00-000000000000}"/>
  </hyperlinks>
  <printOptions horizontalCentered="1"/>
  <pageMargins left="0.23622047244094491" right="0.23622047244094491" top="0.19685039370078741" bottom="0.19685039370078741" header="0.19685039370078741" footer="0.19685039370078741"/>
  <pageSetup paperSize="8" scale="85" orientation="portrait" r:id="rId1"/>
  <headerFooter>
    <oddFooter>&amp;L&amp;8&amp;K00-048(c) S.Imboden&amp;R&amp;8&amp;K00-048Seite &amp;P von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93" id="{7CA98F9A-E5B5-4ED6-90A8-029A4EA7B8E8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E19</xm:sqref>
        </x14:conditionalFormatting>
        <x14:conditionalFormatting xmlns:xm="http://schemas.microsoft.com/office/excel/2006/main">
          <x14:cfRule type="iconSet" priority="12" id="{B8FDDF34-6F0F-46B1-84C6-8A9F824A1DB7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E33</xm:sqref>
        </x14:conditionalFormatting>
        <x14:conditionalFormatting xmlns:xm="http://schemas.microsoft.com/office/excel/2006/main">
          <x14:cfRule type="iconSet" priority="95" id="{643B521B-6F7A-435C-9B99-94A0C1B277FB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E47</xm:sqref>
        </x14:conditionalFormatting>
        <x14:conditionalFormatting xmlns:xm="http://schemas.microsoft.com/office/excel/2006/main">
          <x14:cfRule type="iconSet" priority="96" id="{D8F5959A-96B9-4545-A444-EFD1E3F34F39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E75</xm:sqref>
        </x14:conditionalFormatting>
        <x14:conditionalFormatting xmlns:xm="http://schemas.microsoft.com/office/excel/2006/main">
          <x14:cfRule type="iconSet" priority="92" id="{74651CCC-A42E-4902-AD0B-68D69C61D1A1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F19 H19:I19</xm:sqref>
        </x14:conditionalFormatting>
        <x14:conditionalFormatting xmlns:xm="http://schemas.microsoft.com/office/excel/2006/main">
          <x14:cfRule type="iconSet" priority="11" id="{0885894C-9E73-465F-A936-EBC0C27BAA35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F33 H33:I33</xm:sqref>
        </x14:conditionalFormatting>
        <x14:conditionalFormatting xmlns:xm="http://schemas.microsoft.com/office/excel/2006/main">
          <x14:cfRule type="iconSet" priority="80" id="{4FBC5420-EE30-4154-9434-779561FCB093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F47 H47:I47</xm:sqref>
        </x14:conditionalFormatting>
        <x14:conditionalFormatting xmlns:xm="http://schemas.microsoft.com/office/excel/2006/main">
          <x14:cfRule type="iconSet" priority="73" id="{93EDD90C-610B-476A-802E-F810E929017D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F61 H61:I61</xm:sqref>
        </x14:conditionalFormatting>
        <x14:conditionalFormatting xmlns:xm="http://schemas.microsoft.com/office/excel/2006/main">
          <x14:cfRule type="iconSet" priority="66" id="{73A4899B-0D98-4199-AF58-C30411726EA8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F75 H75:I75</xm:sqref>
        </x14:conditionalFormatting>
        <x14:conditionalFormatting xmlns:xm="http://schemas.microsoft.com/office/excel/2006/main">
          <x14:cfRule type="iconSet" priority="44" id="{9BF29B09-AD06-46E6-9C48-3A277676E568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F89 H89:I89</xm:sqref>
        </x14:conditionalFormatting>
        <x14:conditionalFormatting xmlns:xm="http://schemas.microsoft.com/office/excel/2006/main">
          <x14:cfRule type="iconSet" priority="94" id="{48A785E7-65A8-469A-9889-ACC8CAE36F11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G9:G18</xm:sqref>
        </x14:conditionalFormatting>
        <x14:conditionalFormatting xmlns:xm="http://schemas.microsoft.com/office/excel/2006/main">
          <x14:cfRule type="iconSet" priority="83" id="{830C0673-E4A8-4B09-AF15-A273F4572C33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G19</xm:sqref>
        </x14:conditionalFormatting>
        <x14:conditionalFormatting xmlns:xm="http://schemas.microsoft.com/office/excel/2006/main">
          <x14:cfRule type="iconSet" priority="13" id="{8648B03B-AC8E-4EE8-A11D-055E0F638C85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G23:G32</xm:sqref>
        </x14:conditionalFormatting>
        <x14:conditionalFormatting xmlns:xm="http://schemas.microsoft.com/office/excel/2006/main">
          <x14:cfRule type="iconSet" priority="4" id="{9D99DD0C-5CA7-4A25-9E17-305E7C8AA3F0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G33</xm:sqref>
        </x14:conditionalFormatting>
        <x14:conditionalFormatting xmlns:xm="http://schemas.microsoft.com/office/excel/2006/main">
          <x14:cfRule type="iconSet" priority="58" id="{C2DFDCEF-5779-4513-8A69-23BBB45CAFD2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G37:G46</xm:sqref>
        </x14:conditionalFormatting>
        <x14:conditionalFormatting xmlns:xm="http://schemas.microsoft.com/office/excel/2006/main">
          <x14:cfRule type="iconSet" priority="76" id="{C12C0DC4-3475-491A-9475-D30A9EAEC9B5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G47</xm:sqref>
        </x14:conditionalFormatting>
        <x14:conditionalFormatting xmlns:xm="http://schemas.microsoft.com/office/excel/2006/main">
          <x14:cfRule type="iconSet" priority="54" id="{A76D21BB-0B3B-4887-AF48-A434BB549CA5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G51:G60</xm:sqref>
        </x14:conditionalFormatting>
        <x14:conditionalFormatting xmlns:xm="http://schemas.microsoft.com/office/excel/2006/main">
          <x14:cfRule type="iconSet" priority="69" id="{2A79B53E-F3AA-4E3C-BD47-66AD48BDF55A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G61</xm:sqref>
        </x14:conditionalFormatting>
        <x14:conditionalFormatting xmlns:xm="http://schemas.microsoft.com/office/excel/2006/main">
          <x14:cfRule type="iconSet" priority="50" id="{C6393756-E46C-4511-BA61-D0BE03431865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G65:G74</xm:sqref>
        </x14:conditionalFormatting>
        <x14:conditionalFormatting xmlns:xm="http://schemas.microsoft.com/office/excel/2006/main">
          <x14:cfRule type="iconSet" priority="62" id="{A0D2BCAD-701B-4F20-A88C-4845F345DF8D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G75</xm:sqref>
        </x14:conditionalFormatting>
        <x14:conditionalFormatting xmlns:xm="http://schemas.microsoft.com/office/excel/2006/main">
          <x14:cfRule type="iconSet" priority="39" id="{A8F04F67-7675-4029-BE04-F05EE98534D9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G79:G88</xm:sqref>
        </x14:conditionalFormatting>
        <x14:conditionalFormatting xmlns:xm="http://schemas.microsoft.com/office/excel/2006/main">
          <x14:cfRule type="iconSet" priority="40" id="{31A1593E-6250-43A9-B431-D7DF1556AFD0}">
            <x14:iconSet iconSet="5Boxes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</x14:iconSet>
          </x14:cfRule>
          <xm:sqref>G89</xm:sqref>
        </x14:conditionalFormatting>
      </x14:conditionalFormatting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Tabelle43">
    <tabColor theme="6" tint="0.59999389629810485"/>
  </sheetPr>
  <dimension ref="A1:S30"/>
  <sheetViews>
    <sheetView showGridLines="0" zoomScaleNormal="100" workbookViewId="0">
      <pane ySplit="1" topLeftCell="A2" activePane="bottomLeft" state="frozen"/>
      <selection activeCell="K1" sqref="K1"/>
      <selection pane="bottomLeft" activeCell="A2" sqref="A2"/>
    </sheetView>
  </sheetViews>
  <sheetFormatPr baseColWidth="10" defaultColWidth="11.44140625" defaultRowHeight="14.4" x14ac:dyDescent="0.3"/>
  <cols>
    <col min="1" max="1" width="7" style="7" customWidth="1"/>
    <col min="2" max="2" width="3.5546875" style="7" customWidth="1"/>
    <col min="3" max="3" width="40.5546875" style="7" customWidth="1"/>
    <col min="4" max="4" width="35.33203125" style="7" customWidth="1"/>
    <col min="5" max="5" width="11.6640625" style="7" bestFit="1" customWidth="1"/>
    <col min="6" max="6" width="6.44140625" style="7" customWidth="1"/>
    <col min="7" max="7" width="11.6640625" style="7" customWidth="1"/>
    <col min="8" max="8" width="14.109375" style="7" customWidth="1"/>
    <col min="9" max="9" width="4.5546875" style="7" hidden="1" customWidth="1"/>
    <col min="10" max="10" width="11.44140625" style="7"/>
    <col min="11" max="20" width="3" style="7" customWidth="1"/>
    <col min="21" max="16384" width="11.44140625" style="7"/>
  </cols>
  <sheetData>
    <row r="1" spans="1:19" s="5" customFormat="1" ht="44.4" customHeight="1" x14ac:dyDescent="0.3">
      <c r="A1" s="3"/>
      <c r="B1" s="337" t="str">
        <f ca="1">' '!A382</f>
        <v>Voulez-vous ouvrir le programme "Tableau de bord"?</v>
      </c>
      <c r="C1" s="3"/>
      <c r="D1" s="3"/>
      <c r="E1" s="3"/>
      <c r="F1" s="64"/>
      <c r="G1" s="4"/>
      <c r="H1" s="182"/>
      <c r="I1" s="3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x14ac:dyDescent="0.3">
      <c r="B2" s="38"/>
    </row>
    <row r="3" spans="1:19" ht="15.6" x14ac:dyDescent="0.3">
      <c r="B3" s="183"/>
    </row>
    <row r="5" spans="1:19" ht="56.25" customHeight="1" x14ac:dyDescent="0.3">
      <c r="B5" s="183"/>
      <c r="D5" s="184" t="str">
        <f ca="1">' '!A383</f>
        <v>Assurez-vous, que le fichier "01_Cockpit.exe" se touve dans le même répertoire!</v>
      </c>
    </row>
    <row r="6" spans="1:19" ht="15.6" x14ac:dyDescent="0.3">
      <c r="B6" s="183"/>
    </row>
    <row r="7" spans="1:19" ht="15.6" x14ac:dyDescent="0.3">
      <c r="B7" s="183"/>
    </row>
    <row r="8" spans="1:19" x14ac:dyDescent="0.3">
      <c r="B8" s="185"/>
    </row>
    <row r="9" spans="1:19" ht="15.6" x14ac:dyDescent="0.3">
      <c r="B9" s="183"/>
    </row>
    <row r="10" spans="1:19" ht="15.6" x14ac:dyDescent="0.3">
      <c r="B10" s="183"/>
    </row>
    <row r="12" spans="1:19" ht="15.6" x14ac:dyDescent="0.3">
      <c r="B12" s="183"/>
      <c r="D12" s="8"/>
    </row>
    <row r="13" spans="1:19" x14ac:dyDescent="0.3">
      <c r="C13" s="8"/>
      <c r="D13" s="34"/>
      <c r="E13" s="34"/>
      <c r="F13" s="34"/>
      <c r="G13" s="34"/>
      <c r="H13" s="34"/>
    </row>
    <row r="14" spans="1:19" x14ac:dyDescent="0.3">
      <c r="B14" s="34"/>
      <c r="C14" s="34"/>
      <c r="D14" s="34"/>
      <c r="E14" s="34"/>
      <c r="F14" s="34"/>
      <c r="G14" s="34"/>
      <c r="H14" s="34"/>
    </row>
    <row r="15" spans="1:19" x14ac:dyDescent="0.3">
      <c r="B15" s="34"/>
      <c r="C15" s="34"/>
      <c r="D15" s="34"/>
      <c r="E15" s="34"/>
      <c r="F15" s="34"/>
      <c r="G15" s="34"/>
      <c r="H15" s="34"/>
    </row>
    <row r="16" spans="1:19" x14ac:dyDescent="0.3">
      <c r="B16" s="34"/>
      <c r="C16" s="34"/>
      <c r="D16" s="34"/>
      <c r="E16" s="34"/>
      <c r="F16" s="34"/>
      <c r="G16" s="34"/>
      <c r="H16" s="34"/>
    </row>
    <row r="17" spans="2:8" x14ac:dyDescent="0.3">
      <c r="B17" s="34"/>
      <c r="C17" s="34"/>
      <c r="D17" s="34"/>
      <c r="E17" s="34"/>
      <c r="F17" s="34"/>
      <c r="G17" s="34"/>
      <c r="H17" s="34"/>
    </row>
    <row r="18" spans="2:8" x14ac:dyDescent="0.3">
      <c r="B18" s="34"/>
      <c r="C18" s="34"/>
      <c r="D18" s="34"/>
      <c r="E18" s="34"/>
      <c r="F18" s="34"/>
      <c r="G18" s="34"/>
      <c r="H18" s="34"/>
    </row>
    <row r="19" spans="2:8" x14ac:dyDescent="0.3">
      <c r="B19" s="34"/>
      <c r="C19" s="34"/>
      <c r="D19" s="34"/>
      <c r="E19" s="34"/>
      <c r="F19" s="34"/>
      <c r="G19" s="34"/>
      <c r="H19" s="34"/>
    </row>
    <row r="20" spans="2:8" x14ac:dyDescent="0.3">
      <c r="B20" s="34"/>
      <c r="C20" s="34"/>
      <c r="D20" s="34"/>
      <c r="E20" s="34"/>
      <c r="F20" s="34"/>
      <c r="G20" s="34"/>
      <c r="H20" s="34"/>
    </row>
    <row r="21" spans="2:8" x14ac:dyDescent="0.3">
      <c r="B21" s="34"/>
      <c r="C21" s="34"/>
      <c r="D21" s="34"/>
      <c r="E21" s="34"/>
      <c r="F21" s="34"/>
      <c r="G21" s="34"/>
      <c r="H21" s="34"/>
    </row>
    <row r="22" spans="2:8" x14ac:dyDescent="0.3">
      <c r="B22" s="34"/>
      <c r="C22" s="34"/>
      <c r="D22" s="34"/>
      <c r="E22" s="34"/>
      <c r="F22" s="34"/>
      <c r="G22" s="34"/>
      <c r="H22" s="34"/>
    </row>
    <row r="23" spans="2:8" x14ac:dyDescent="0.3">
      <c r="B23" s="34"/>
      <c r="C23" s="34"/>
      <c r="D23" s="34"/>
      <c r="E23" s="34"/>
      <c r="F23" s="34"/>
      <c r="G23" s="34"/>
      <c r="H23" s="34"/>
    </row>
    <row r="24" spans="2:8" x14ac:dyDescent="0.3">
      <c r="B24" s="34"/>
      <c r="C24" s="34"/>
      <c r="D24" s="34"/>
      <c r="E24" s="34"/>
      <c r="F24" s="34"/>
      <c r="G24" s="34"/>
      <c r="H24" s="34"/>
    </row>
    <row r="25" spans="2:8" x14ac:dyDescent="0.3">
      <c r="B25" s="34"/>
      <c r="C25" s="34"/>
      <c r="D25" s="34"/>
      <c r="E25" s="34"/>
      <c r="F25" s="34"/>
      <c r="G25" s="34"/>
      <c r="H25" s="34"/>
    </row>
    <row r="26" spans="2:8" x14ac:dyDescent="0.3">
      <c r="B26" s="34"/>
      <c r="C26" s="34"/>
      <c r="D26" s="34"/>
      <c r="E26" s="34"/>
      <c r="F26" s="34"/>
      <c r="G26" s="34"/>
      <c r="H26" s="34"/>
    </row>
    <row r="27" spans="2:8" x14ac:dyDescent="0.3">
      <c r="B27" s="34"/>
      <c r="C27" s="34"/>
      <c r="D27" s="34"/>
      <c r="E27" s="34"/>
      <c r="F27" s="34"/>
      <c r="G27" s="34"/>
      <c r="H27" s="34"/>
    </row>
    <row r="28" spans="2:8" x14ac:dyDescent="0.3">
      <c r="B28" s="34"/>
      <c r="C28" s="34"/>
      <c r="D28" s="34"/>
      <c r="E28" s="34"/>
      <c r="F28" s="34"/>
      <c r="G28" s="34"/>
      <c r="H28" s="34"/>
    </row>
    <row r="29" spans="2:8" x14ac:dyDescent="0.3">
      <c r="B29" s="34"/>
    </row>
    <row r="30" spans="2:8" x14ac:dyDescent="0.3">
      <c r="B30" s="34"/>
    </row>
  </sheetData>
  <sheetProtection sheet="1" objects="1" scenarios="1" formatCells="0" formatColumns="0" formatRows="0" insertHyperlinks="0" selectLockedCells="1" sort="0" autoFilter="0"/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Tabelle44">
    <tabColor theme="6" tint="0.59999389629810485"/>
  </sheetPr>
  <dimension ref="A1:S30"/>
  <sheetViews>
    <sheetView showGridLines="0" zoomScaleNormal="100" workbookViewId="0">
      <pane ySplit="1" topLeftCell="A2" activePane="bottomLeft" state="frozen"/>
      <selection activeCell="K1" sqref="K1"/>
      <selection pane="bottomLeft" activeCell="A2" sqref="A2"/>
    </sheetView>
  </sheetViews>
  <sheetFormatPr baseColWidth="10" defaultColWidth="11.44140625" defaultRowHeight="14.4" x14ac:dyDescent="0.3"/>
  <cols>
    <col min="1" max="1" width="7" style="7" customWidth="1"/>
    <col min="2" max="2" width="3.5546875" style="7" customWidth="1"/>
    <col min="3" max="3" width="40.5546875" style="7" customWidth="1"/>
    <col min="4" max="4" width="35.33203125" style="7" customWidth="1"/>
    <col min="5" max="5" width="11.6640625" style="7" bestFit="1" customWidth="1"/>
    <col min="6" max="6" width="6.44140625" style="7" customWidth="1"/>
    <col min="7" max="7" width="11.6640625" style="7" customWidth="1"/>
    <col min="8" max="8" width="14.109375" style="7" customWidth="1"/>
    <col min="9" max="9" width="4.5546875" style="7" hidden="1" customWidth="1"/>
    <col min="10" max="10" width="11.44140625" style="7"/>
    <col min="11" max="20" width="3" style="7" customWidth="1"/>
    <col min="21" max="16384" width="11.44140625" style="7"/>
  </cols>
  <sheetData>
    <row r="1" spans="1:19" s="5" customFormat="1" ht="44.4" customHeight="1" x14ac:dyDescent="0.3">
      <c r="A1" s="3"/>
      <c r="B1" s="337" t="str">
        <f ca="1">' '!A384</f>
        <v>Voulez-vous ouvrir le programme "Management stratégique" ?</v>
      </c>
      <c r="C1" s="3"/>
      <c r="D1" s="3"/>
      <c r="E1" s="3"/>
      <c r="F1" s="64"/>
      <c r="G1" s="4"/>
      <c r="H1" s="182"/>
      <c r="I1" s="3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x14ac:dyDescent="0.3">
      <c r="B2" s="38"/>
    </row>
    <row r="3" spans="1:19" ht="15.6" x14ac:dyDescent="0.3">
      <c r="B3" s="183"/>
    </row>
    <row r="5" spans="1:19" ht="56.25" customHeight="1" x14ac:dyDescent="0.3">
      <c r="B5" s="183"/>
      <c r="D5" s="184" t="str">
        <f ca="1">' '!A385</f>
        <v>Assurez-vous, que le fichier "02_StrategicManagement.exe" se trouve dans le même répertoire !</v>
      </c>
    </row>
    <row r="6" spans="1:19" ht="15.6" x14ac:dyDescent="0.3">
      <c r="B6" s="183"/>
    </row>
    <row r="7" spans="1:19" ht="15.6" x14ac:dyDescent="0.3">
      <c r="B7" s="183"/>
    </row>
    <row r="8" spans="1:19" x14ac:dyDescent="0.3">
      <c r="B8" s="185"/>
    </row>
    <row r="9" spans="1:19" ht="15.6" x14ac:dyDescent="0.3">
      <c r="B9" s="183"/>
    </row>
    <row r="10" spans="1:19" ht="15.6" x14ac:dyDescent="0.3">
      <c r="B10" s="183"/>
    </row>
    <row r="12" spans="1:19" ht="15.6" x14ac:dyDescent="0.3">
      <c r="B12" s="183"/>
      <c r="D12" s="8"/>
    </row>
    <row r="13" spans="1:19" x14ac:dyDescent="0.3">
      <c r="C13" s="8"/>
      <c r="D13" s="34"/>
      <c r="E13" s="34"/>
      <c r="F13" s="34"/>
      <c r="G13" s="34"/>
      <c r="H13" s="34"/>
    </row>
    <row r="14" spans="1:19" x14ac:dyDescent="0.3">
      <c r="B14" s="34"/>
      <c r="C14" s="34"/>
      <c r="D14" s="34"/>
      <c r="E14" s="34"/>
      <c r="F14" s="34"/>
      <c r="G14" s="34"/>
      <c r="H14" s="34"/>
    </row>
    <row r="15" spans="1:19" x14ac:dyDescent="0.3">
      <c r="B15" s="34"/>
      <c r="C15" s="34"/>
      <c r="D15" s="34"/>
      <c r="E15" s="34"/>
      <c r="F15" s="34"/>
      <c r="G15" s="34"/>
      <c r="H15" s="34"/>
    </row>
    <row r="16" spans="1:19" x14ac:dyDescent="0.3">
      <c r="B16" s="34"/>
      <c r="C16" s="34"/>
      <c r="D16" s="34"/>
      <c r="E16" s="34"/>
      <c r="F16" s="34"/>
      <c r="G16" s="34"/>
      <c r="H16" s="34"/>
    </row>
    <row r="17" spans="2:8" x14ac:dyDescent="0.3">
      <c r="B17" s="34"/>
      <c r="C17" s="34"/>
      <c r="D17" s="34"/>
      <c r="E17" s="34"/>
      <c r="F17" s="34"/>
      <c r="G17" s="34"/>
      <c r="H17" s="34"/>
    </row>
    <row r="18" spans="2:8" x14ac:dyDescent="0.3">
      <c r="B18" s="34"/>
      <c r="C18" s="34"/>
      <c r="D18" s="34"/>
      <c r="E18" s="34"/>
      <c r="F18" s="34"/>
      <c r="G18" s="34"/>
      <c r="H18" s="34"/>
    </row>
    <row r="19" spans="2:8" x14ac:dyDescent="0.3">
      <c r="B19" s="34"/>
      <c r="C19" s="34"/>
      <c r="D19" s="34"/>
      <c r="E19" s="34"/>
      <c r="F19" s="34"/>
      <c r="G19" s="34"/>
      <c r="H19" s="34"/>
    </row>
    <row r="20" spans="2:8" x14ac:dyDescent="0.3">
      <c r="B20" s="34"/>
      <c r="C20" s="34"/>
      <c r="D20" s="34"/>
      <c r="E20" s="34"/>
      <c r="F20" s="34"/>
      <c r="G20" s="34"/>
      <c r="H20" s="34"/>
    </row>
    <row r="21" spans="2:8" x14ac:dyDescent="0.3">
      <c r="B21" s="34"/>
      <c r="C21" s="34"/>
      <c r="D21" s="34"/>
      <c r="E21" s="34"/>
      <c r="F21" s="34"/>
      <c r="G21" s="34"/>
      <c r="H21" s="34"/>
    </row>
    <row r="22" spans="2:8" x14ac:dyDescent="0.3">
      <c r="B22" s="34"/>
      <c r="C22" s="34"/>
      <c r="D22" s="34"/>
      <c r="E22" s="34"/>
      <c r="F22" s="34"/>
      <c r="G22" s="34"/>
      <c r="H22" s="34"/>
    </row>
    <row r="23" spans="2:8" x14ac:dyDescent="0.3">
      <c r="B23" s="34"/>
      <c r="C23" s="34"/>
      <c r="D23" s="34"/>
      <c r="E23" s="34"/>
      <c r="F23" s="34"/>
      <c r="G23" s="34"/>
      <c r="H23" s="34"/>
    </row>
    <row r="24" spans="2:8" x14ac:dyDescent="0.3">
      <c r="B24" s="34"/>
      <c r="C24" s="34"/>
      <c r="D24" s="34"/>
      <c r="E24" s="34"/>
      <c r="F24" s="34"/>
      <c r="G24" s="34"/>
      <c r="H24" s="34"/>
    </row>
    <row r="25" spans="2:8" x14ac:dyDescent="0.3">
      <c r="B25" s="34"/>
      <c r="C25" s="34"/>
      <c r="D25" s="34"/>
      <c r="E25" s="34"/>
      <c r="F25" s="34"/>
      <c r="G25" s="34"/>
      <c r="H25" s="34"/>
    </row>
    <row r="26" spans="2:8" x14ac:dyDescent="0.3">
      <c r="B26" s="34"/>
      <c r="C26" s="34"/>
      <c r="D26" s="34"/>
      <c r="E26" s="34"/>
      <c r="F26" s="34"/>
      <c r="G26" s="34"/>
      <c r="H26" s="34"/>
    </row>
    <row r="27" spans="2:8" x14ac:dyDescent="0.3">
      <c r="B27" s="34"/>
      <c r="C27" s="34"/>
      <c r="D27" s="34"/>
      <c r="E27" s="34"/>
      <c r="F27" s="34"/>
      <c r="G27" s="34"/>
      <c r="H27" s="34"/>
    </row>
    <row r="28" spans="2:8" x14ac:dyDescent="0.3">
      <c r="B28" s="34"/>
      <c r="C28" s="34"/>
      <c r="D28" s="34"/>
      <c r="E28" s="34"/>
      <c r="F28" s="34"/>
      <c r="G28" s="34"/>
      <c r="H28" s="34"/>
    </row>
    <row r="29" spans="2:8" x14ac:dyDescent="0.3">
      <c r="B29" s="34"/>
    </row>
    <row r="30" spans="2:8" x14ac:dyDescent="0.3">
      <c r="B30" s="34"/>
    </row>
  </sheetData>
  <sheetProtection sheet="1" objects="1" scenarios="1" formatCells="0" formatColumns="0" formatRows="0" insertHyperlinks="0" selectLockedCells="1" sort="0" autoFilter="0"/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Tabelle36">
    <tabColor theme="6" tint="0.59999389629810485"/>
  </sheetPr>
  <dimension ref="A1:S30"/>
  <sheetViews>
    <sheetView showGridLines="0" zoomScaleNormal="100" workbookViewId="0">
      <pane ySplit="1" topLeftCell="A2" activePane="bottomLeft" state="frozen"/>
      <selection activeCell="K1" sqref="K1"/>
      <selection pane="bottomLeft" activeCell="A2" sqref="A2"/>
    </sheetView>
  </sheetViews>
  <sheetFormatPr baseColWidth="10" defaultColWidth="11.44140625" defaultRowHeight="14.4" x14ac:dyDescent="0.3"/>
  <cols>
    <col min="1" max="1" width="7" style="7" customWidth="1"/>
    <col min="2" max="2" width="3.5546875" style="7" customWidth="1"/>
    <col min="3" max="3" width="40.5546875" style="7" customWidth="1"/>
    <col min="4" max="4" width="35.33203125" style="7" customWidth="1"/>
    <col min="5" max="5" width="11.6640625" style="7" bestFit="1" customWidth="1"/>
    <col min="6" max="6" width="6.44140625" style="7" customWidth="1"/>
    <col min="7" max="7" width="11.6640625" style="7" customWidth="1"/>
    <col min="8" max="8" width="14.109375" style="7" customWidth="1"/>
    <col min="9" max="9" width="4.5546875" style="7" hidden="1" customWidth="1"/>
    <col min="10" max="10" width="11.44140625" style="7"/>
    <col min="11" max="20" width="3" style="7" customWidth="1"/>
    <col min="21" max="16384" width="11.44140625" style="7"/>
  </cols>
  <sheetData>
    <row r="1" spans="1:19" s="5" customFormat="1" ht="44.4" customHeight="1" x14ac:dyDescent="0.3">
      <c r="A1" s="3"/>
      <c r="B1" s="337" t="str">
        <f ca="1">' '!A386</f>
        <v>Voulez-vous ouvrir le programme "Business Plan"?</v>
      </c>
      <c r="C1" s="3"/>
      <c r="D1" s="3"/>
      <c r="E1" s="3"/>
      <c r="F1" s="64"/>
      <c r="G1" s="4"/>
      <c r="H1" s="182"/>
      <c r="I1" s="3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x14ac:dyDescent="0.3">
      <c r="B2" s="38"/>
    </row>
    <row r="3" spans="1:19" ht="15.6" x14ac:dyDescent="0.3">
      <c r="B3" s="183"/>
    </row>
    <row r="5" spans="1:19" ht="56.25" customHeight="1" x14ac:dyDescent="0.3">
      <c r="B5" s="183"/>
      <c r="D5" s="184" t="str">
        <f ca="1">' '!A387</f>
        <v>Assurez-vous, que le fichier  "04_BusinessPlan.exe" se touve dans le même répertoire!</v>
      </c>
    </row>
    <row r="6" spans="1:19" ht="15.6" x14ac:dyDescent="0.3">
      <c r="B6" s="183"/>
    </row>
    <row r="7" spans="1:19" ht="15.6" x14ac:dyDescent="0.3">
      <c r="B7" s="183"/>
    </row>
    <row r="8" spans="1:19" x14ac:dyDescent="0.3">
      <c r="B8" s="185"/>
    </row>
    <row r="9" spans="1:19" ht="15.6" x14ac:dyDescent="0.3">
      <c r="B9" s="183"/>
    </row>
    <row r="10" spans="1:19" ht="15.6" x14ac:dyDescent="0.3">
      <c r="B10" s="183"/>
    </row>
    <row r="12" spans="1:19" ht="15.6" x14ac:dyDescent="0.3">
      <c r="B12" s="183"/>
      <c r="D12" s="8"/>
    </row>
    <row r="13" spans="1:19" x14ac:dyDescent="0.3">
      <c r="C13" s="8"/>
      <c r="D13" s="34"/>
      <c r="E13" s="34"/>
      <c r="F13" s="34"/>
      <c r="G13" s="34"/>
      <c r="H13" s="34"/>
    </row>
    <row r="14" spans="1:19" x14ac:dyDescent="0.3">
      <c r="B14" s="34"/>
      <c r="C14" s="34"/>
      <c r="D14" s="34"/>
      <c r="E14" s="34"/>
      <c r="F14" s="34"/>
      <c r="G14" s="34"/>
      <c r="H14" s="34"/>
    </row>
    <row r="15" spans="1:19" x14ac:dyDescent="0.3">
      <c r="B15" s="34"/>
      <c r="C15" s="34"/>
      <c r="D15" s="34"/>
      <c r="E15" s="34"/>
      <c r="F15" s="34"/>
      <c r="G15" s="34"/>
      <c r="H15" s="34"/>
    </row>
    <row r="16" spans="1:19" x14ac:dyDescent="0.3">
      <c r="B16" s="34"/>
      <c r="C16" s="34"/>
      <c r="D16" s="34"/>
      <c r="E16" s="34"/>
      <c r="F16" s="34"/>
      <c r="G16" s="34"/>
      <c r="H16" s="34"/>
    </row>
    <row r="17" spans="2:8" x14ac:dyDescent="0.3">
      <c r="B17" s="34"/>
      <c r="C17" s="34"/>
      <c r="D17" s="34"/>
      <c r="E17" s="34"/>
      <c r="F17" s="34"/>
      <c r="G17" s="34"/>
      <c r="H17" s="34"/>
    </row>
    <row r="18" spans="2:8" x14ac:dyDescent="0.3">
      <c r="B18" s="34"/>
      <c r="C18" s="34"/>
      <c r="D18" s="34"/>
      <c r="E18" s="34"/>
      <c r="F18" s="34"/>
      <c r="G18" s="34"/>
      <c r="H18" s="34"/>
    </row>
    <row r="19" spans="2:8" x14ac:dyDescent="0.3">
      <c r="B19" s="34"/>
      <c r="C19" s="34"/>
      <c r="D19" s="34"/>
      <c r="E19" s="34"/>
      <c r="F19" s="34"/>
      <c r="G19" s="34"/>
      <c r="H19" s="34"/>
    </row>
    <row r="20" spans="2:8" x14ac:dyDescent="0.3">
      <c r="B20" s="34"/>
      <c r="C20" s="34"/>
      <c r="D20" s="34"/>
      <c r="E20" s="34"/>
      <c r="F20" s="34"/>
      <c r="G20" s="34"/>
      <c r="H20" s="34"/>
    </row>
    <row r="21" spans="2:8" x14ac:dyDescent="0.3">
      <c r="B21" s="34"/>
      <c r="C21" s="34"/>
      <c r="D21" s="34"/>
      <c r="E21" s="34"/>
      <c r="F21" s="34"/>
      <c r="G21" s="34"/>
      <c r="H21" s="34"/>
    </row>
    <row r="22" spans="2:8" x14ac:dyDescent="0.3">
      <c r="B22" s="34"/>
      <c r="C22" s="34"/>
      <c r="D22" s="34"/>
      <c r="E22" s="34"/>
      <c r="F22" s="34"/>
      <c r="G22" s="34"/>
      <c r="H22" s="34"/>
    </row>
    <row r="23" spans="2:8" x14ac:dyDescent="0.3">
      <c r="B23" s="34"/>
      <c r="C23" s="34"/>
      <c r="D23" s="34"/>
      <c r="E23" s="34"/>
      <c r="F23" s="34"/>
      <c r="G23" s="34"/>
      <c r="H23" s="34"/>
    </row>
    <row r="24" spans="2:8" x14ac:dyDescent="0.3">
      <c r="B24" s="34"/>
      <c r="C24" s="34"/>
      <c r="D24" s="34"/>
      <c r="E24" s="34"/>
      <c r="F24" s="34"/>
      <c r="G24" s="34"/>
      <c r="H24" s="34"/>
    </row>
    <row r="25" spans="2:8" x14ac:dyDescent="0.3">
      <c r="B25" s="34"/>
      <c r="C25" s="34"/>
      <c r="D25" s="34"/>
      <c r="E25" s="34"/>
      <c r="F25" s="34"/>
      <c r="G25" s="34"/>
      <c r="H25" s="34"/>
    </row>
    <row r="26" spans="2:8" x14ac:dyDescent="0.3">
      <c r="B26" s="34"/>
      <c r="C26" s="34"/>
      <c r="D26" s="34"/>
      <c r="E26" s="34"/>
      <c r="F26" s="34"/>
      <c r="G26" s="34"/>
      <c r="H26" s="34"/>
    </row>
    <row r="27" spans="2:8" x14ac:dyDescent="0.3">
      <c r="B27" s="34"/>
      <c r="C27" s="34"/>
      <c r="D27" s="34"/>
      <c r="E27" s="34"/>
      <c r="F27" s="34"/>
      <c r="G27" s="34"/>
      <c r="H27" s="34"/>
    </row>
    <row r="28" spans="2:8" x14ac:dyDescent="0.3">
      <c r="B28" s="34"/>
      <c r="C28" s="34"/>
      <c r="D28" s="34"/>
      <c r="E28" s="34"/>
      <c r="F28" s="34"/>
      <c r="G28" s="34"/>
      <c r="H28" s="34"/>
    </row>
    <row r="29" spans="2:8" x14ac:dyDescent="0.3">
      <c r="B29" s="34"/>
    </row>
    <row r="30" spans="2:8" x14ac:dyDescent="0.3">
      <c r="B30" s="34"/>
    </row>
  </sheetData>
  <sheetProtection sheet="1" objects="1" scenarios="1" formatCells="0" formatColumns="0" formatRows="0" insertHyperlinks="0" selectLockedCells="1" sort="0" autoFilter="0"/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Tabelle24">
    <tabColor theme="6" tint="0.59999389629810485"/>
  </sheetPr>
  <dimension ref="A1:S30"/>
  <sheetViews>
    <sheetView showGridLines="0" zoomScaleNormal="100" workbookViewId="0">
      <pane ySplit="1" topLeftCell="A2" activePane="bottomLeft" state="frozen"/>
      <selection activeCell="K1" sqref="K1"/>
      <selection pane="bottomLeft" activeCell="A2" sqref="A2"/>
    </sheetView>
  </sheetViews>
  <sheetFormatPr baseColWidth="10" defaultColWidth="11.44140625" defaultRowHeight="14.4" x14ac:dyDescent="0.3"/>
  <cols>
    <col min="1" max="1" width="7" style="7" customWidth="1"/>
    <col min="2" max="2" width="3.5546875" style="7" customWidth="1"/>
    <col min="3" max="3" width="40.5546875" style="7" customWidth="1"/>
    <col min="4" max="4" width="35.33203125" style="7" customWidth="1"/>
    <col min="5" max="5" width="11.6640625" style="7" bestFit="1" customWidth="1"/>
    <col min="6" max="6" width="6.44140625" style="7" customWidth="1"/>
    <col min="7" max="7" width="11.6640625" style="7" customWidth="1"/>
    <col min="8" max="8" width="14.109375" style="7" customWidth="1"/>
    <col min="9" max="9" width="4.5546875" style="7" hidden="1" customWidth="1"/>
    <col min="10" max="10" width="11.44140625" style="7"/>
    <col min="11" max="20" width="3" style="7" customWidth="1"/>
    <col min="21" max="16384" width="11.44140625" style="7"/>
  </cols>
  <sheetData>
    <row r="1" spans="1:19" s="5" customFormat="1" ht="44.4" customHeight="1" x14ac:dyDescent="0.3">
      <c r="A1" s="3"/>
      <c r="B1" s="337" t="str">
        <f ca="1">' '!A388</f>
        <v>Voulez-vous ouvrir le programme "Balanced Scorcard"?</v>
      </c>
      <c r="C1" s="3"/>
      <c r="D1" s="3"/>
      <c r="E1" s="3"/>
      <c r="F1" s="64"/>
      <c r="G1" s="4"/>
      <c r="H1" s="182"/>
      <c r="I1" s="3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x14ac:dyDescent="0.3">
      <c r="B2" s="38"/>
    </row>
    <row r="3" spans="1:19" ht="15.6" x14ac:dyDescent="0.3">
      <c r="B3" s="183"/>
    </row>
    <row r="5" spans="1:19" ht="56.25" customHeight="1" x14ac:dyDescent="0.3">
      <c r="B5" s="183"/>
      <c r="D5" s="184" t="str">
        <f ca="1">' '!A389</f>
        <v>Assurez-vous, que le fichier "01_Cockpit.exe" se touve dans le même répertoire!</v>
      </c>
    </row>
    <row r="6" spans="1:19" ht="15.6" x14ac:dyDescent="0.3">
      <c r="B6" s="183"/>
    </row>
    <row r="7" spans="1:19" ht="15.6" x14ac:dyDescent="0.3">
      <c r="B7" s="183"/>
    </row>
    <row r="8" spans="1:19" x14ac:dyDescent="0.3">
      <c r="B8" s="185"/>
    </row>
    <row r="9" spans="1:19" ht="15.6" x14ac:dyDescent="0.3">
      <c r="B9" s="183"/>
    </row>
    <row r="10" spans="1:19" ht="15.6" x14ac:dyDescent="0.3">
      <c r="B10" s="183"/>
    </row>
    <row r="12" spans="1:19" ht="15.6" x14ac:dyDescent="0.3">
      <c r="B12" s="183"/>
      <c r="D12" s="8"/>
    </row>
    <row r="13" spans="1:19" x14ac:dyDescent="0.3">
      <c r="C13" s="8"/>
      <c r="D13" s="34"/>
      <c r="E13" s="34"/>
      <c r="F13" s="34"/>
      <c r="G13" s="34"/>
      <c r="H13" s="34"/>
    </row>
    <row r="14" spans="1:19" x14ac:dyDescent="0.3">
      <c r="B14" s="34"/>
      <c r="C14" s="34"/>
      <c r="D14" s="34"/>
      <c r="E14" s="34"/>
      <c r="F14" s="34"/>
      <c r="G14" s="34"/>
      <c r="H14" s="34"/>
    </row>
    <row r="15" spans="1:19" x14ac:dyDescent="0.3">
      <c r="B15" s="34"/>
      <c r="C15" s="34"/>
      <c r="D15" s="34"/>
      <c r="E15" s="34"/>
      <c r="F15" s="34"/>
      <c r="G15" s="34"/>
      <c r="H15" s="34"/>
    </row>
    <row r="16" spans="1:19" x14ac:dyDescent="0.3">
      <c r="B16" s="34"/>
      <c r="C16" s="34"/>
      <c r="D16" s="34"/>
      <c r="E16" s="34"/>
      <c r="F16" s="34"/>
      <c r="G16" s="34"/>
      <c r="H16" s="34"/>
    </row>
    <row r="17" spans="2:8" x14ac:dyDescent="0.3">
      <c r="B17" s="34"/>
      <c r="C17" s="34"/>
      <c r="D17" s="34"/>
      <c r="E17" s="34"/>
      <c r="F17" s="34"/>
      <c r="G17" s="34"/>
      <c r="H17" s="34"/>
    </row>
    <row r="18" spans="2:8" x14ac:dyDescent="0.3">
      <c r="B18" s="34"/>
      <c r="C18" s="34"/>
      <c r="D18" s="34"/>
      <c r="E18" s="34"/>
      <c r="F18" s="34"/>
      <c r="G18" s="34"/>
      <c r="H18" s="34"/>
    </row>
    <row r="19" spans="2:8" x14ac:dyDescent="0.3">
      <c r="B19" s="34"/>
      <c r="C19" s="34"/>
      <c r="D19" s="34"/>
      <c r="E19" s="34"/>
      <c r="F19" s="34"/>
      <c r="G19" s="34"/>
      <c r="H19" s="34"/>
    </row>
    <row r="20" spans="2:8" x14ac:dyDescent="0.3">
      <c r="B20" s="34"/>
      <c r="C20" s="34"/>
      <c r="D20" s="34"/>
      <c r="E20" s="34"/>
      <c r="F20" s="34"/>
      <c r="G20" s="34"/>
      <c r="H20" s="34"/>
    </row>
    <row r="21" spans="2:8" x14ac:dyDescent="0.3">
      <c r="B21" s="34"/>
      <c r="C21" s="34"/>
      <c r="D21" s="34"/>
      <c r="E21" s="34"/>
      <c r="F21" s="34"/>
      <c r="G21" s="34"/>
      <c r="H21" s="34"/>
    </row>
    <row r="22" spans="2:8" x14ac:dyDescent="0.3">
      <c r="B22" s="34"/>
      <c r="C22" s="34"/>
      <c r="D22" s="34"/>
      <c r="E22" s="34"/>
      <c r="F22" s="34"/>
      <c r="G22" s="34"/>
      <c r="H22" s="34"/>
    </row>
    <row r="23" spans="2:8" x14ac:dyDescent="0.3">
      <c r="B23" s="34"/>
      <c r="C23" s="34"/>
      <c r="D23" s="34"/>
      <c r="E23" s="34"/>
      <c r="F23" s="34"/>
      <c r="G23" s="34"/>
      <c r="H23" s="34"/>
    </row>
    <row r="24" spans="2:8" x14ac:dyDescent="0.3">
      <c r="B24" s="34"/>
      <c r="C24" s="34"/>
      <c r="D24" s="34"/>
      <c r="E24" s="34"/>
      <c r="F24" s="34"/>
      <c r="G24" s="34"/>
      <c r="H24" s="34"/>
    </row>
    <row r="25" spans="2:8" x14ac:dyDescent="0.3">
      <c r="B25" s="34"/>
      <c r="C25" s="34"/>
      <c r="D25" s="34"/>
      <c r="E25" s="34"/>
      <c r="F25" s="34"/>
      <c r="G25" s="34"/>
      <c r="H25" s="34"/>
    </row>
    <row r="26" spans="2:8" x14ac:dyDescent="0.3">
      <c r="B26" s="34"/>
      <c r="C26" s="34"/>
      <c r="D26" s="34"/>
      <c r="E26" s="34"/>
      <c r="F26" s="34"/>
      <c r="G26" s="34"/>
      <c r="H26" s="34"/>
    </row>
    <row r="27" spans="2:8" x14ac:dyDescent="0.3">
      <c r="B27" s="34"/>
      <c r="C27" s="34"/>
      <c r="D27" s="34"/>
      <c r="E27" s="34"/>
      <c r="F27" s="34"/>
      <c r="G27" s="34"/>
      <c r="H27" s="34"/>
    </row>
    <row r="28" spans="2:8" x14ac:dyDescent="0.3">
      <c r="B28" s="34"/>
      <c r="C28" s="34"/>
      <c r="D28" s="34"/>
      <c r="E28" s="34"/>
      <c r="F28" s="34"/>
      <c r="G28" s="34"/>
      <c r="H28" s="34"/>
    </row>
    <row r="29" spans="2:8" x14ac:dyDescent="0.3">
      <c r="B29" s="34"/>
    </row>
    <row r="30" spans="2:8" x14ac:dyDescent="0.3">
      <c r="B30" s="34"/>
    </row>
  </sheetData>
  <sheetProtection sheet="1" objects="1" scenarios="1" formatCells="0" formatColumns="0" formatRows="0" insertHyperlinks="0" selectLockedCells="1" sort="0" autoFilter="0"/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Tabelle25">
    <tabColor theme="6" tint="0.59999389629810485"/>
  </sheetPr>
  <dimension ref="A1:S30"/>
  <sheetViews>
    <sheetView showGridLines="0" zoomScaleNormal="100" workbookViewId="0">
      <pane ySplit="1" topLeftCell="A2" activePane="bottomLeft" state="frozen"/>
      <selection activeCell="K1" sqref="K1"/>
      <selection pane="bottomLeft" activeCell="A2" sqref="A2"/>
    </sheetView>
  </sheetViews>
  <sheetFormatPr baseColWidth="10" defaultColWidth="11.44140625" defaultRowHeight="14.4" x14ac:dyDescent="0.3"/>
  <cols>
    <col min="1" max="1" width="7" style="7" customWidth="1"/>
    <col min="2" max="2" width="3.5546875" style="7" customWidth="1"/>
    <col min="3" max="3" width="40.5546875" style="7" customWidth="1"/>
    <col min="4" max="4" width="35.33203125" style="7" customWidth="1"/>
    <col min="5" max="5" width="11.6640625" style="7" bestFit="1" customWidth="1"/>
    <col min="6" max="6" width="6.44140625" style="7" customWidth="1"/>
    <col min="7" max="7" width="11.6640625" style="7" customWidth="1"/>
    <col min="8" max="8" width="14.109375" style="7" customWidth="1"/>
    <col min="9" max="9" width="4.5546875" style="7" hidden="1" customWidth="1"/>
    <col min="10" max="10" width="11.44140625" style="7"/>
    <col min="11" max="20" width="3" style="7" customWidth="1"/>
    <col min="21" max="16384" width="11.44140625" style="7"/>
  </cols>
  <sheetData>
    <row r="1" spans="1:19" s="5" customFormat="1" ht="44.4" customHeight="1" x14ac:dyDescent="0.3">
      <c r="A1" s="3"/>
      <c r="B1" s="337" t="str">
        <f ca="1">' '!A390</f>
        <v>Voulez-vous ouvrir le programme "Gestion de projets"?</v>
      </c>
      <c r="C1" s="3"/>
      <c r="D1" s="3"/>
      <c r="E1" s="3"/>
      <c r="F1" s="64"/>
      <c r="G1" s="4"/>
      <c r="H1" s="182"/>
      <c r="I1" s="3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x14ac:dyDescent="0.3">
      <c r="B2" s="38"/>
    </row>
    <row r="3" spans="1:19" ht="15.6" x14ac:dyDescent="0.3">
      <c r="B3" s="183"/>
    </row>
    <row r="5" spans="1:19" ht="56.25" customHeight="1" x14ac:dyDescent="0.3">
      <c r="B5" s="183"/>
      <c r="D5" s="184" t="str">
        <f ca="1">' '!A391</f>
        <v>Assurez-vous, que le fichier "03_ProjectManagement.exe" se touve dans le même répertoire!</v>
      </c>
    </row>
    <row r="6" spans="1:19" ht="15.6" x14ac:dyDescent="0.3">
      <c r="B6" s="183"/>
    </row>
    <row r="7" spans="1:19" ht="15.6" x14ac:dyDescent="0.3">
      <c r="B7" s="183"/>
    </row>
    <row r="8" spans="1:19" x14ac:dyDescent="0.3">
      <c r="B8" s="185"/>
    </row>
    <row r="9" spans="1:19" ht="15.6" x14ac:dyDescent="0.3">
      <c r="B9" s="183"/>
    </row>
    <row r="10" spans="1:19" ht="15.6" x14ac:dyDescent="0.3">
      <c r="B10" s="183"/>
    </row>
    <row r="12" spans="1:19" ht="15.6" x14ac:dyDescent="0.3">
      <c r="B12" s="183"/>
      <c r="D12" s="8"/>
    </row>
    <row r="13" spans="1:19" x14ac:dyDescent="0.3">
      <c r="C13" s="8"/>
      <c r="D13" s="34"/>
      <c r="E13" s="34"/>
      <c r="F13" s="34"/>
      <c r="G13" s="34"/>
      <c r="H13" s="34"/>
    </row>
    <row r="14" spans="1:19" x14ac:dyDescent="0.3">
      <c r="B14" s="34"/>
      <c r="C14" s="34"/>
      <c r="D14" s="34"/>
      <c r="E14" s="34"/>
      <c r="F14" s="34"/>
      <c r="G14" s="34"/>
      <c r="H14" s="34"/>
    </row>
    <row r="15" spans="1:19" x14ac:dyDescent="0.3">
      <c r="B15" s="34"/>
      <c r="C15" s="34"/>
      <c r="D15" s="34"/>
      <c r="E15" s="34"/>
      <c r="F15" s="34"/>
      <c r="G15" s="34"/>
      <c r="H15" s="34"/>
    </row>
    <row r="16" spans="1:19" x14ac:dyDescent="0.3">
      <c r="B16" s="34"/>
      <c r="C16" s="34"/>
      <c r="D16" s="34"/>
      <c r="E16" s="34"/>
      <c r="F16" s="34"/>
      <c r="G16" s="34"/>
      <c r="H16" s="34"/>
    </row>
    <row r="17" spans="2:8" x14ac:dyDescent="0.3">
      <c r="B17" s="34"/>
      <c r="C17" s="34"/>
      <c r="D17" s="34"/>
      <c r="E17" s="34"/>
      <c r="F17" s="34"/>
      <c r="G17" s="34"/>
      <c r="H17" s="34"/>
    </row>
    <row r="18" spans="2:8" x14ac:dyDescent="0.3">
      <c r="B18" s="34"/>
      <c r="C18" s="34"/>
      <c r="D18" s="34"/>
      <c r="E18" s="34"/>
      <c r="F18" s="34"/>
      <c r="G18" s="34"/>
      <c r="H18" s="34"/>
    </row>
    <row r="19" spans="2:8" x14ac:dyDescent="0.3">
      <c r="B19" s="34"/>
      <c r="C19" s="34"/>
      <c r="D19" s="34"/>
      <c r="E19" s="34"/>
      <c r="F19" s="34"/>
      <c r="G19" s="34"/>
      <c r="H19" s="34"/>
    </row>
    <row r="20" spans="2:8" x14ac:dyDescent="0.3">
      <c r="B20" s="34"/>
      <c r="C20" s="34"/>
      <c r="D20" s="34"/>
      <c r="E20" s="34"/>
      <c r="F20" s="34"/>
      <c r="G20" s="34"/>
      <c r="H20" s="34"/>
    </row>
    <row r="21" spans="2:8" x14ac:dyDescent="0.3">
      <c r="B21" s="34"/>
      <c r="C21" s="34"/>
      <c r="D21" s="34"/>
      <c r="E21" s="34"/>
      <c r="F21" s="34"/>
      <c r="G21" s="34"/>
      <c r="H21" s="34"/>
    </row>
    <row r="22" spans="2:8" x14ac:dyDescent="0.3">
      <c r="B22" s="34"/>
      <c r="C22" s="34"/>
      <c r="D22" s="34"/>
      <c r="E22" s="34"/>
      <c r="F22" s="34"/>
      <c r="G22" s="34"/>
      <c r="H22" s="34"/>
    </row>
    <row r="23" spans="2:8" x14ac:dyDescent="0.3">
      <c r="B23" s="34"/>
      <c r="C23" s="34"/>
      <c r="D23" s="34"/>
      <c r="E23" s="34"/>
      <c r="F23" s="34"/>
      <c r="G23" s="34"/>
      <c r="H23" s="34"/>
    </row>
    <row r="24" spans="2:8" x14ac:dyDescent="0.3">
      <c r="B24" s="34"/>
      <c r="C24" s="34"/>
      <c r="D24" s="34"/>
      <c r="E24" s="34"/>
      <c r="F24" s="34"/>
      <c r="G24" s="34"/>
      <c r="H24" s="34"/>
    </row>
    <row r="25" spans="2:8" x14ac:dyDescent="0.3">
      <c r="B25" s="34"/>
      <c r="C25" s="34"/>
      <c r="D25" s="34"/>
      <c r="E25" s="34"/>
      <c r="F25" s="34"/>
      <c r="G25" s="34"/>
      <c r="H25" s="34"/>
    </row>
    <row r="26" spans="2:8" x14ac:dyDescent="0.3">
      <c r="B26" s="34"/>
      <c r="C26" s="34"/>
      <c r="D26" s="34"/>
      <c r="E26" s="34"/>
      <c r="F26" s="34"/>
      <c r="G26" s="34"/>
      <c r="H26" s="34"/>
    </row>
    <row r="27" spans="2:8" x14ac:dyDescent="0.3">
      <c r="B27" s="34"/>
      <c r="C27" s="34"/>
      <c r="D27" s="34"/>
      <c r="E27" s="34"/>
      <c r="F27" s="34"/>
      <c r="G27" s="34"/>
      <c r="H27" s="34"/>
    </row>
    <row r="28" spans="2:8" x14ac:dyDescent="0.3">
      <c r="B28" s="34"/>
      <c r="C28" s="34"/>
      <c r="D28" s="34"/>
      <c r="E28" s="34"/>
      <c r="F28" s="34"/>
      <c r="G28" s="34"/>
      <c r="H28" s="34"/>
    </row>
    <row r="29" spans="2:8" x14ac:dyDescent="0.3">
      <c r="B29" s="34"/>
    </row>
    <row r="30" spans="2:8" x14ac:dyDescent="0.3">
      <c r="B30" s="34"/>
    </row>
  </sheetData>
  <sheetProtection sheet="1" objects="1" scenarios="1" formatCells="0" formatColumns="0" formatRows="0" insertHyperlinks="0" selectLockedCells="1" sort="0" autoFilter="0"/>
  <printOptions horizontalCentered="1"/>
  <pageMargins left="0.23622047244094491" right="0.23622047244094491" top="0.19685039370078741" bottom="0.19685039370078741" header="0.19685039370078741" footer="0.19685039370078741"/>
  <pageSetup paperSize="8" orientation="portrait" r:id="rId1"/>
  <headerFooter>
    <oddFooter>&amp;L&amp;8&amp;K00-048(c) S.Imboden&amp;R&amp;8&amp;K00-048Seite &amp;P von &amp;N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Tabelle28">
    <tabColor theme="0" tint="-0.249977111117893"/>
  </sheetPr>
  <dimension ref="A1:R964"/>
  <sheetViews>
    <sheetView showGridLines="0" zoomScaleNormal="100" workbookViewId="0">
      <pane ySplit="1" topLeftCell="A2" activePane="bottomLeft" state="frozen"/>
      <selection activeCell="K1" sqref="K1"/>
      <selection pane="bottomLeft" activeCell="A2" sqref="A2"/>
    </sheetView>
  </sheetViews>
  <sheetFormatPr baseColWidth="10" defaultColWidth="11.44140625" defaultRowHeight="13.8" x14ac:dyDescent="0.3"/>
  <cols>
    <col min="1" max="1" width="0.109375" style="315" customWidth="1"/>
    <col min="2" max="2" width="6.44140625" style="320" customWidth="1"/>
    <col min="3" max="3" width="4.44140625" style="320" customWidth="1"/>
    <col min="4" max="4" width="49.44140625" style="320" customWidth="1"/>
    <col min="5" max="5" width="51.44140625" style="320" customWidth="1"/>
    <col min="6" max="6" width="4" style="320" customWidth="1"/>
    <col min="7" max="16384" width="11.44140625" style="320"/>
  </cols>
  <sheetData>
    <row r="1" spans="1:18" s="316" customFormat="1" ht="44.4" customHeight="1" x14ac:dyDescent="0.3">
      <c r="A1" s="315"/>
      <c r="C1" s="198" t="str">
        <f ca="1">' '!A446</f>
        <v>I N D I C A T E U R S   S T R A T É G I Q U E</v>
      </c>
      <c r="D1" s="198"/>
      <c r="E1" s="198"/>
      <c r="F1" s="260"/>
      <c r="G1" s="199"/>
      <c r="H1" s="318"/>
      <c r="O1" s="248"/>
      <c r="P1" s="248"/>
      <c r="Q1" s="248"/>
      <c r="R1" s="248"/>
    </row>
    <row r="2" spans="1:18" ht="5.25" customHeight="1" x14ac:dyDescent="0.25">
      <c r="A2" s="319"/>
      <c r="D2" s="321"/>
      <c r="O2" s="248"/>
      <c r="P2" s="248"/>
      <c r="Q2" s="248"/>
      <c r="R2" s="248"/>
    </row>
    <row r="3" spans="1:18" ht="18" customHeight="1" x14ac:dyDescent="0.25">
      <c r="A3" s="249"/>
      <c r="C3" s="322"/>
    </row>
    <row r="4" spans="1:18" ht="4.5" customHeight="1" x14ac:dyDescent="0.3">
      <c r="A4" s="323"/>
      <c r="D4" s="324"/>
    </row>
    <row r="5" spans="1:18" ht="24" customHeight="1" x14ac:dyDescent="0.3">
      <c r="A5" s="323"/>
      <c r="C5" s="325" t="s">
        <v>498</v>
      </c>
      <c r="D5" s="326" t="str">
        <f>_o1</f>
        <v>Indikator 1</v>
      </c>
      <c r="E5" s="327"/>
      <c r="F5" s="327"/>
    </row>
    <row r="6" spans="1:18" ht="4.5" customHeight="1" x14ac:dyDescent="0.3">
      <c r="A6" s="323"/>
    </row>
    <row r="7" spans="1:18" x14ac:dyDescent="0.3">
      <c r="A7" s="323"/>
      <c r="C7" s="328"/>
      <c r="D7" s="328" t="str">
        <f ca="1">' '!$A$448</f>
        <v>Description/Remarques</v>
      </c>
      <c r="E7" s="328"/>
      <c r="F7" s="328"/>
    </row>
    <row r="8" spans="1:18" ht="51" customHeight="1" x14ac:dyDescent="0.3">
      <c r="A8" s="323"/>
      <c r="C8" s="1142"/>
      <c r="D8" s="1142"/>
      <c r="E8" s="1142"/>
      <c r="F8" s="1142"/>
    </row>
    <row r="9" spans="1:18" x14ac:dyDescent="0.3">
      <c r="A9" s="323"/>
      <c r="C9" s="328"/>
      <c r="D9" s="328" t="str">
        <f ca="1">' '!$A$447</f>
        <v>Calcul</v>
      </c>
      <c r="E9" s="328"/>
      <c r="F9" s="328"/>
    </row>
    <row r="10" spans="1:18" ht="57.9" customHeight="1" x14ac:dyDescent="0.3">
      <c r="A10" s="323"/>
      <c r="C10" s="1142"/>
      <c r="D10" s="1142"/>
      <c r="E10" s="1142" t="s">
        <v>857</v>
      </c>
      <c r="F10" s="1142"/>
    </row>
    <row r="11" spans="1:18" x14ac:dyDescent="0.3">
      <c r="A11" s="323"/>
      <c r="C11" s="328"/>
      <c r="D11" s="329" t="str">
        <f ca="1">' '!$A$449</f>
        <v>Source</v>
      </c>
      <c r="E11" s="328" t="str">
        <f ca="1">' '!$A$450</f>
        <v>Moment de l'enquête &amp; Comparaison avec la branche</v>
      </c>
      <c r="F11" s="328"/>
    </row>
    <row r="12" spans="1:18" x14ac:dyDescent="0.3">
      <c r="A12" s="323"/>
      <c r="C12" s="1143"/>
      <c r="D12" s="1144"/>
      <c r="E12" s="1143"/>
      <c r="F12" s="1144"/>
    </row>
    <row r="13" spans="1:18" x14ac:dyDescent="0.3">
      <c r="A13" s="323"/>
      <c r="C13" s="1143"/>
      <c r="D13" s="1144"/>
      <c r="E13" s="1143"/>
      <c r="F13" s="1144"/>
    </row>
    <row r="14" spans="1:18" x14ac:dyDescent="0.3">
      <c r="A14" s="323"/>
      <c r="C14" s="1143"/>
      <c r="D14" s="1144"/>
      <c r="E14" s="1143"/>
      <c r="F14" s="1144"/>
    </row>
    <row r="15" spans="1:18" ht="5.4" customHeight="1" x14ac:dyDescent="0.3">
      <c r="A15" s="323"/>
      <c r="C15" s="328"/>
      <c r="D15" s="328"/>
      <c r="E15" s="328"/>
      <c r="F15" s="328"/>
    </row>
    <row r="16" spans="1:18" ht="8.4" customHeight="1" x14ac:dyDescent="0.3">
      <c r="A16" s="323"/>
      <c r="D16" s="324"/>
    </row>
    <row r="17" spans="1:6" ht="24" customHeight="1" x14ac:dyDescent="0.3">
      <c r="A17" s="323"/>
      <c r="C17" s="325" t="s">
        <v>500</v>
      </c>
      <c r="D17" s="326">
        <f>_o2</f>
        <v>0</v>
      </c>
      <c r="E17" s="327"/>
      <c r="F17" s="327"/>
    </row>
    <row r="18" spans="1:6" x14ac:dyDescent="0.3">
      <c r="A18" s="323"/>
    </row>
    <row r="19" spans="1:6" x14ac:dyDescent="0.3">
      <c r="A19" s="323"/>
      <c r="C19" s="328"/>
      <c r="D19" s="328" t="str">
        <f ca="1">' '!$A$448</f>
        <v>Description/Remarques</v>
      </c>
      <c r="E19" s="328"/>
      <c r="F19" s="328"/>
    </row>
    <row r="20" spans="1:6" x14ac:dyDescent="0.3">
      <c r="A20" s="323"/>
      <c r="C20" s="1142"/>
      <c r="D20" s="1142"/>
      <c r="E20" s="1142"/>
      <c r="F20" s="1142"/>
    </row>
    <row r="21" spans="1:6" x14ac:dyDescent="0.3">
      <c r="A21" s="323"/>
      <c r="C21" s="328"/>
      <c r="D21" s="328" t="str">
        <f ca="1">' '!$A$447</f>
        <v>Calcul</v>
      </c>
      <c r="E21" s="328"/>
      <c r="F21" s="328"/>
    </row>
    <row r="22" spans="1:6" x14ac:dyDescent="0.3">
      <c r="A22" s="323"/>
      <c r="C22" s="1142"/>
      <c r="D22" s="1142"/>
      <c r="E22" s="1142" t="s">
        <v>857</v>
      </c>
      <c r="F22" s="1142"/>
    </row>
    <row r="23" spans="1:6" x14ac:dyDescent="0.3">
      <c r="A23" s="323"/>
      <c r="C23" s="328"/>
      <c r="D23" s="329" t="str">
        <f ca="1">' '!$A$449</f>
        <v>Source</v>
      </c>
      <c r="E23" s="328" t="str">
        <f ca="1">' '!$A$450</f>
        <v>Moment de l'enquête &amp; Comparaison avec la branche</v>
      </c>
      <c r="F23" s="328"/>
    </row>
    <row r="24" spans="1:6" x14ac:dyDescent="0.3">
      <c r="A24" s="323"/>
      <c r="C24" s="1143"/>
      <c r="D24" s="1144"/>
      <c r="E24" s="1143"/>
      <c r="F24" s="1144"/>
    </row>
    <row r="25" spans="1:6" x14ac:dyDescent="0.3">
      <c r="A25" s="323"/>
      <c r="C25" s="1143"/>
      <c r="D25" s="1144"/>
      <c r="E25" s="1143"/>
      <c r="F25" s="1144"/>
    </row>
    <row r="26" spans="1:6" x14ac:dyDescent="0.3">
      <c r="A26" s="323"/>
      <c r="C26" s="1143"/>
      <c r="D26" s="1144"/>
      <c r="E26" s="1143"/>
      <c r="F26" s="1144"/>
    </row>
    <row r="27" spans="1:6" x14ac:dyDescent="0.3">
      <c r="A27" s="323"/>
      <c r="C27" s="328"/>
      <c r="D27" s="328"/>
      <c r="E27" s="328"/>
      <c r="F27" s="328"/>
    </row>
    <row r="28" spans="1:6" ht="15.6" x14ac:dyDescent="0.3">
      <c r="A28" s="323"/>
      <c r="D28" s="324"/>
    </row>
    <row r="29" spans="1:6" ht="24" customHeight="1" x14ac:dyDescent="0.3">
      <c r="A29" s="323"/>
      <c r="C29" s="325" t="s">
        <v>502</v>
      </c>
      <c r="D29" s="326">
        <f>_o3</f>
        <v>0</v>
      </c>
      <c r="E29" s="327"/>
      <c r="F29" s="327"/>
    </row>
    <row r="30" spans="1:6" x14ac:dyDescent="0.3">
      <c r="A30" s="323"/>
    </row>
    <row r="31" spans="1:6" x14ac:dyDescent="0.3">
      <c r="A31" s="323"/>
      <c r="C31" s="328"/>
      <c r="D31" s="328" t="str">
        <f ca="1">' '!$A$448</f>
        <v>Description/Remarques</v>
      </c>
      <c r="E31" s="328"/>
      <c r="F31" s="328"/>
    </row>
    <row r="32" spans="1:6" x14ac:dyDescent="0.3">
      <c r="A32" s="323"/>
      <c r="C32" s="1142"/>
      <c r="D32" s="1142"/>
      <c r="E32" s="1142"/>
      <c r="F32" s="1142"/>
    </row>
    <row r="33" spans="1:6" x14ac:dyDescent="0.3">
      <c r="A33" s="323"/>
      <c r="C33" s="328"/>
      <c r="D33" s="328" t="str">
        <f ca="1">' '!$A$447</f>
        <v>Calcul</v>
      </c>
      <c r="E33" s="328"/>
      <c r="F33" s="328"/>
    </row>
    <row r="34" spans="1:6" x14ac:dyDescent="0.3">
      <c r="A34" s="323"/>
      <c r="C34" s="1142"/>
      <c r="D34" s="1142"/>
      <c r="E34" s="1142" t="s">
        <v>857</v>
      </c>
      <c r="F34" s="1142"/>
    </row>
    <row r="35" spans="1:6" x14ac:dyDescent="0.3">
      <c r="A35" s="323"/>
      <c r="C35" s="328"/>
      <c r="D35" s="329" t="str">
        <f ca="1">' '!$A$449</f>
        <v>Source</v>
      </c>
      <c r="E35" s="328" t="str">
        <f ca="1">' '!$A$450</f>
        <v>Moment de l'enquête &amp; Comparaison avec la branche</v>
      </c>
      <c r="F35" s="328"/>
    </row>
    <row r="36" spans="1:6" x14ac:dyDescent="0.3">
      <c r="A36" s="323"/>
      <c r="C36" s="1143"/>
      <c r="D36" s="1144"/>
      <c r="E36" s="1143"/>
      <c r="F36" s="1144"/>
    </row>
    <row r="37" spans="1:6" x14ac:dyDescent="0.3">
      <c r="A37" s="323"/>
      <c r="C37" s="1143"/>
      <c r="D37" s="1144"/>
      <c r="E37" s="1143"/>
      <c r="F37" s="1144"/>
    </row>
    <row r="38" spans="1:6" x14ac:dyDescent="0.3">
      <c r="A38" s="323"/>
      <c r="C38" s="1143"/>
      <c r="D38" s="1144"/>
      <c r="E38" s="1143"/>
      <c r="F38" s="1144"/>
    </row>
    <row r="39" spans="1:6" x14ac:dyDescent="0.3">
      <c r="A39" s="323"/>
      <c r="C39" s="328"/>
      <c r="D39" s="328"/>
      <c r="E39" s="328"/>
      <c r="F39" s="328"/>
    </row>
    <row r="40" spans="1:6" ht="15.6" x14ac:dyDescent="0.3">
      <c r="A40" s="323"/>
      <c r="D40" s="324"/>
    </row>
    <row r="41" spans="1:6" ht="24" customHeight="1" x14ac:dyDescent="0.3">
      <c r="A41" s="323"/>
      <c r="C41" s="325" t="s">
        <v>504</v>
      </c>
      <c r="D41" s="326">
        <f>_o4</f>
        <v>0</v>
      </c>
      <c r="E41" s="327"/>
      <c r="F41" s="327"/>
    </row>
    <row r="42" spans="1:6" x14ac:dyDescent="0.3">
      <c r="A42" s="323"/>
    </row>
    <row r="43" spans="1:6" x14ac:dyDescent="0.3">
      <c r="A43" s="323"/>
      <c r="C43" s="328"/>
      <c r="D43" s="328" t="str">
        <f ca="1">' '!$A$448</f>
        <v>Description/Remarques</v>
      </c>
      <c r="E43" s="328"/>
      <c r="F43" s="328"/>
    </row>
    <row r="44" spans="1:6" x14ac:dyDescent="0.3">
      <c r="A44" s="323"/>
      <c r="C44" s="1142"/>
      <c r="D44" s="1142"/>
      <c r="E44" s="1142"/>
      <c r="F44" s="1142"/>
    </row>
    <row r="45" spans="1:6" x14ac:dyDescent="0.3">
      <c r="A45" s="323"/>
      <c r="C45" s="328"/>
      <c r="D45" s="328" t="str">
        <f ca="1">' '!$A$447</f>
        <v>Calcul</v>
      </c>
      <c r="E45" s="328"/>
      <c r="F45" s="328"/>
    </row>
    <row r="46" spans="1:6" x14ac:dyDescent="0.3">
      <c r="A46" s="323"/>
      <c r="C46" s="1142"/>
      <c r="D46" s="1142"/>
      <c r="E46" s="1142" t="s">
        <v>857</v>
      </c>
      <c r="F46" s="1142"/>
    </row>
    <row r="47" spans="1:6" x14ac:dyDescent="0.3">
      <c r="A47" s="323"/>
      <c r="C47" s="328"/>
      <c r="D47" s="329" t="str">
        <f ca="1">' '!$A$449</f>
        <v>Source</v>
      </c>
      <c r="E47" s="328" t="str">
        <f ca="1">' '!$A$450</f>
        <v>Moment de l'enquête &amp; Comparaison avec la branche</v>
      </c>
      <c r="F47" s="328"/>
    </row>
    <row r="48" spans="1:6" x14ac:dyDescent="0.3">
      <c r="A48" s="323"/>
      <c r="C48" s="1143"/>
      <c r="D48" s="1144"/>
      <c r="E48" s="1143"/>
      <c r="F48" s="1144"/>
    </row>
    <row r="49" spans="1:6" x14ac:dyDescent="0.3">
      <c r="A49" s="323"/>
      <c r="C49" s="1143"/>
      <c r="D49" s="1144"/>
      <c r="E49" s="1143"/>
      <c r="F49" s="1144"/>
    </row>
    <row r="50" spans="1:6" x14ac:dyDescent="0.3">
      <c r="A50" s="323"/>
      <c r="C50" s="1143"/>
      <c r="D50" s="1144"/>
      <c r="E50" s="1143"/>
      <c r="F50" s="1144"/>
    </row>
    <row r="51" spans="1:6" x14ac:dyDescent="0.3">
      <c r="A51" s="323"/>
      <c r="C51" s="328"/>
      <c r="D51" s="328"/>
      <c r="E51" s="328"/>
      <c r="F51" s="328"/>
    </row>
    <row r="52" spans="1:6" ht="15.6" x14ac:dyDescent="0.3">
      <c r="A52" s="323"/>
      <c r="D52" s="324"/>
    </row>
    <row r="53" spans="1:6" ht="24" customHeight="1" x14ac:dyDescent="0.3">
      <c r="A53" s="323"/>
      <c r="C53" s="325" t="s">
        <v>506</v>
      </c>
      <c r="D53" s="326">
        <f>_o5</f>
        <v>0</v>
      </c>
      <c r="E53" s="327"/>
      <c r="F53" s="327"/>
    </row>
    <row r="54" spans="1:6" x14ac:dyDescent="0.3">
      <c r="A54" s="323"/>
    </row>
    <row r="55" spans="1:6" x14ac:dyDescent="0.3">
      <c r="A55" s="323"/>
      <c r="C55" s="328"/>
      <c r="D55" s="328" t="str">
        <f ca="1">' '!$A$448</f>
        <v>Description/Remarques</v>
      </c>
      <c r="E55" s="328"/>
      <c r="F55" s="328"/>
    </row>
    <row r="56" spans="1:6" x14ac:dyDescent="0.3">
      <c r="A56" s="323"/>
      <c r="C56" s="1142"/>
      <c r="D56" s="1142"/>
      <c r="E56" s="1142"/>
      <c r="F56" s="1142"/>
    </row>
    <row r="57" spans="1:6" x14ac:dyDescent="0.3">
      <c r="A57" s="323"/>
      <c r="C57" s="328"/>
      <c r="D57" s="328" t="str">
        <f ca="1">' '!$A$447</f>
        <v>Calcul</v>
      </c>
      <c r="E57" s="328"/>
      <c r="F57" s="328"/>
    </row>
    <row r="58" spans="1:6" x14ac:dyDescent="0.3">
      <c r="A58" s="323"/>
      <c r="C58" s="1142"/>
      <c r="D58" s="1142"/>
      <c r="E58" s="1142" t="s">
        <v>857</v>
      </c>
      <c r="F58" s="1142"/>
    </row>
    <row r="59" spans="1:6" x14ac:dyDescent="0.3">
      <c r="A59" s="323"/>
      <c r="C59" s="328"/>
      <c r="D59" s="329" t="str">
        <f ca="1">' '!$A$449</f>
        <v>Source</v>
      </c>
      <c r="E59" s="328" t="str">
        <f ca="1">' '!$A$450</f>
        <v>Moment de l'enquête &amp; Comparaison avec la branche</v>
      </c>
      <c r="F59" s="328"/>
    </row>
    <row r="60" spans="1:6" x14ac:dyDescent="0.3">
      <c r="A60" s="323"/>
      <c r="C60" s="1143"/>
      <c r="D60" s="1144"/>
      <c r="E60" s="1143"/>
      <c r="F60" s="1144"/>
    </row>
    <row r="61" spans="1:6" x14ac:dyDescent="0.3">
      <c r="A61" s="323"/>
      <c r="C61" s="1143"/>
      <c r="D61" s="1144"/>
      <c r="E61" s="1143"/>
      <c r="F61" s="1144"/>
    </row>
    <row r="62" spans="1:6" x14ac:dyDescent="0.3">
      <c r="A62" s="323"/>
      <c r="C62" s="1143"/>
      <c r="D62" s="1144"/>
      <c r="E62" s="1143"/>
      <c r="F62" s="1144"/>
    </row>
    <row r="63" spans="1:6" x14ac:dyDescent="0.3">
      <c r="A63" s="323"/>
      <c r="C63" s="328"/>
      <c r="D63" s="328"/>
      <c r="E63" s="328"/>
      <c r="F63" s="328"/>
    </row>
    <row r="64" spans="1:6" ht="15.6" x14ac:dyDescent="0.3">
      <c r="A64" s="323"/>
      <c r="D64" s="324"/>
    </row>
    <row r="65" spans="1:6" ht="24" customHeight="1" x14ac:dyDescent="0.3">
      <c r="A65" s="323"/>
      <c r="C65" s="325" t="s">
        <v>508</v>
      </c>
      <c r="D65" s="326">
        <f>_o6</f>
        <v>0</v>
      </c>
      <c r="E65" s="327"/>
      <c r="F65" s="327"/>
    </row>
    <row r="66" spans="1:6" x14ac:dyDescent="0.3">
      <c r="A66" s="323"/>
    </row>
    <row r="67" spans="1:6" x14ac:dyDescent="0.3">
      <c r="A67" s="323"/>
      <c r="C67" s="328"/>
      <c r="D67" s="328" t="str">
        <f ca="1">' '!$A$448</f>
        <v>Description/Remarques</v>
      </c>
      <c r="E67" s="328"/>
      <c r="F67" s="328"/>
    </row>
    <row r="68" spans="1:6" x14ac:dyDescent="0.3">
      <c r="A68" s="323"/>
      <c r="C68" s="1142"/>
      <c r="D68" s="1142"/>
      <c r="E68" s="1142"/>
      <c r="F68" s="1142"/>
    </row>
    <row r="69" spans="1:6" x14ac:dyDescent="0.3">
      <c r="A69" s="323"/>
      <c r="C69" s="328"/>
      <c r="D69" s="328" t="str">
        <f ca="1">' '!$A$447</f>
        <v>Calcul</v>
      </c>
      <c r="E69" s="328"/>
      <c r="F69" s="328"/>
    </row>
    <row r="70" spans="1:6" x14ac:dyDescent="0.3">
      <c r="A70" s="323"/>
      <c r="C70" s="1142"/>
      <c r="D70" s="1142"/>
      <c r="E70" s="1142" t="s">
        <v>857</v>
      </c>
      <c r="F70" s="1142"/>
    </row>
    <row r="71" spans="1:6" x14ac:dyDescent="0.3">
      <c r="A71" s="323"/>
      <c r="C71" s="328"/>
      <c r="D71" s="329" t="str">
        <f ca="1">' '!$A$449</f>
        <v>Source</v>
      </c>
      <c r="E71" s="328" t="str">
        <f ca="1">' '!$A$450</f>
        <v>Moment de l'enquête &amp; Comparaison avec la branche</v>
      </c>
      <c r="F71" s="328"/>
    </row>
    <row r="72" spans="1:6" x14ac:dyDescent="0.3">
      <c r="A72" s="323"/>
      <c r="C72" s="1143"/>
      <c r="D72" s="1144"/>
      <c r="E72" s="1143"/>
      <c r="F72" s="1144"/>
    </row>
    <row r="73" spans="1:6" x14ac:dyDescent="0.3">
      <c r="A73" s="323"/>
      <c r="C73" s="1143"/>
      <c r="D73" s="1144"/>
      <c r="E73" s="1143"/>
      <c r="F73" s="1144"/>
    </row>
    <row r="74" spans="1:6" x14ac:dyDescent="0.3">
      <c r="A74" s="323"/>
      <c r="C74" s="1143"/>
      <c r="D74" s="1144"/>
      <c r="E74" s="1143"/>
      <c r="F74" s="1144"/>
    </row>
    <row r="75" spans="1:6" x14ac:dyDescent="0.3">
      <c r="A75" s="323"/>
      <c r="C75" s="328"/>
      <c r="D75" s="328"/>
      <c r="E75" s="328"/>
      <c r="F75" s="328"/>
    </row>
    <row r="76" spans="1:6" ht="15.6" x14ac:dyDescent="0.3">
      <c r="A76" s="323"/>
      <c r="D76" s="324"/>
    </row>
    <row r="77" spans="1:6" ht="24" customHeight="1" x14ac:dyDescent="0.3">
      <c r="A77" s="323"/>
      <c r="C77" s="325" t="s">
        <v>510</v>
      </c>
      <c r="D77" s="326">
        <f>_o7</f>
        <v>0</v>
      </c>
      <c r="E77" s="327"/>
      <c r="F77" s="327"/>
    </row>
    <row r="78" spans="1:6" x14ac:dyDescent="0.3">
      <c r="A78" s="323"/>
    </row>
    <row r="79" spans="1:6" x14ac:dyDescent="0.3">
      <c r="A79" s="323"/>
      <c r="C79" s="328"/>
      <c r="D79" s="328" t="str">
        <f ca="1">' '!$A$448</f>
        <v>Description/Remarques</v>
      </c>
      <c r="E79" s="328"/>
      <c r="F79" s="328"/>
    </row>
    <row r="80" spans="1:6" x14ac:dyDescent="0.3">
      <c r="A80" s="323"/>
      <c r="C80" s="1142"/>
      <c r="D80" s="1142"/>
      <c r="E80" s="1142"/>
      <c r="F80" s="1142"/>
    </row>
    <row r="81" spans="1:6" x14ac:dyDescent="0.3">
      <c r="A81" s="323"/>
      <c r="C81" s="328"/>
      <c r="D81" s="328" t="str">
        <f ca="1">' '!$A$447</f>
        <v>Calcul</v>
      </c>
      <c r="E81" s="328"/>
      <c r="F81" s="328"/>
    </row>
    <row r="82" spans="1:6" x14ac:dyDescent="0.3">
      <c r="A82" s="323"/>
      <c r="C82" s="1142"/>
      <c r="D82" s="1142"/>
      <c r="E82" s="1142" t="s">
        <v>857</v>
      </c>
      <c r="F82" s="1142"/>
    </row>
    <row r="83" spans="1:6" x14ac:dyDescent="0.3">
      <c r="A83" s="323"/>
      <c r="C83" s="328"/>
      <c r="D83" s="329" t="str">
        <f ca="1">' '!$A$449</f>
        <v>Source</v>
      </c>
      <c r="E83" s="328" t="str">
        <f ca="1">' '!$A$450</f>
        <v>Moment de l'enquête &amp; Comparaison avec la branche</v>
      </c>
      <c r="F83" s="328"/>
    </row>
    <row r="84" spans="1:6" x14ac:dyDescent="0.3">
      <c r="A84" s="323"/>
      <c r="C84" s="1143"/>
      <c r="D84" s="1144"/>
      <c r="E84" s="1143"/>
      <c r="F84" s="1144"/>
    </row>
    <row r="85" spans="1:6" x14ac:dyDescent="0.3">
      <c r="A85" s="323"/>
      <c r="C85" s="1143"/>
      <c r="D85" s="1144"/>
      <c r="E85" s="1143"/>
      <c r="F85" s="1144"/>
    </row>
    <row r="86" spans="1:6" x14ac:dyDescent="0.3">
      <c r="A86" s="323"/>
      <c r="C86" s="1143"/>
      <c r="D86" s="1144"/>
      <c r="E86" s="1143"/>
      <c r="F86" s="1144"/>
    </row>
    <row r="87" spans="1:6" x14ac:dyDescent="0.3">
      <c r="A87" s="323"/>
      <c r="C87" s="328"/>
      <c r="D87" s="328"/>
      <c r="E87" s="328"/>
      <c r="F87" s="328"/>
    </row>
    <row r="88" spans="1:6" ht="15.6" x14ac:dyDescent="0.3">
      <c r="A88" s="323"/>
      <c r="D88" s="324"/>
    </row>
    <row r="89" spans="1:6" ht="24" customHeight="1" x14ac:dyDescent="0.3">
      <c r="A89" s="323"/>
      <c r="C89" s="325" t="s">
        <v>512</v>
      </c>
      <c r="D89" s="326">
        <f>_o8</f>
        <v>0</v>
      </c>
      <c r="E89" s="327"/>
      <c r="F89" s="327"/>
    </row>
    <row r="90" spans="1:6" x14ac:dyDescent="0.3">
      <c r="A90" s="323"/>
    </row>
    <row r="91" spans="1:6" x14ac:dyDescent="0.3">
      <c r="A91" s="323"/>
      <c r="C91" s="328"/>
      <c r="D91" s="328" t="str">
        <f ca="1">' '!$A$448</f>
        <v>Description/Remarques</v>
      </c>
      <c r="E91" s="328"/>
      <c r="F91" s="328"/>
    </row>
    <row r="92" spans="1:6" x14ac:dyDescent="0.3">
      <c r="A92" s="323"/>
      <c r="C92" s="1142"/>
      <c r="D92" s="1142"/>
      <c r="E92" s="1142"/>
      <c r="F92" s="1142"/>
    </row>
    <row r="93" spans="1:6" x14ac:dyDescent="0.3">
      <c r="A93" s="323"/>
      <c r="C93" s="328"/>
      <c r="D93" s="328" t="str">
        <f ca="1">' '!$A$447</f>
        <v>Calcul</v>
      </c>
      <c r="E93" s="328"/>
      <c r="F93" s="328"/>
    </row>
    <row r="94" spans="1:6" x14ac:dyDescent="0.3">
      <c r="A94" s="323"/>
      <c r="C94" s="1142"/>
      <c r="D94" s="1142"/>
      <c r="E94" s="1142" t="s">
        <v>857</v>
      </c>
      <c r="F94" s="1142"/>
    </row>
    <row r="95" spans="1:6" x14ac:dyDescent="0.3">
      <c r="A95" s="323"/>
      <c r="C95" s="328"/>
      <c r="D95" s="329" t="str">
        <f ca="1">' '!$A$449</f>
        <v>Source</v>
      </c>
      <c r="E95" s="328" t="str">
        <f ca="1">' '!$A$450</f>
        <v>Moment de l'enquête &amp; Comparaison avec la branche</v>
      </c>
      <c r="F95" s="328"/>
    </row>
    <row r="96" spans="1:6" x14ac:dyDescent="0.3">
      <c r="A96" s="323"/>
      <c r="C96" s="1143"/>
      <c r="D96" s="1144"/>
      <c r="E96" s="1143"/>
      <c r="F96" s="1144"/>
    </row>
    <row r="97" spans="1:6" x14ac:dyDescent="0.3">
      <c r="A97" s="323"/>
      <c r="C97" s="1143"/>
      <c r="D97" s="1144"/>
      <c r="E97" s="1143"/>
      <c r="F97" s="1144"/>
    </row>
    <row r="98" spans="1:6" x14ac:dyDescent="0.3">
      <c r="A98" s="323"/>
      <c r="C98" s="1143"/>
      <c r="D98" s="1144"/>
      <c r="E98" s="1143"/>
      <c r="F98" s="1144"/>
    </row>
    <row r="99" spans="1:6" x14ac:dyDescent="0.3">
      <c r="A99" s="323"/>
      <c r="C99" s="328"/>
      <c r="D99" s="328"/>
      <c r="E99" s="328"/>
      <c r="F99" s="328"/>
    </row>
    <row r="100" spans="1:6" ht="15.6" x14ac:dyDescent="0.3">
      <c r="A100" s="323"/>
      <c r="D100" s="324"/>
    </row>
    <row r="101" spans="1:6" ht="24" customHeight="1" x14ac:dyDescent="0.3">
      <c r="A101" s="323"/>
      <c r="C101" s="325" t="s">
        <v>514</v>
      </c>
      <c r="D101" s="326">
        <f>_o9</f>
        <v>0</v>
      </c>
      <c r="E101" s="327"/>
      <c r="F101" s="327"/>
    </row>
    <row r="102" spans="1:6" x14ac:dyDescent="0.3">
      <c r="A102" s="323"/>
    </row>
    <row r="103" spans="1:6" x14ac:dyDescent="0.3">
      <c r="A103" s="323"/>
      <c r="C103" s="328"/>
      <c r="D103" s="328" t="str">
        <f ca="1">' '!$A$448</f>
        <v>Description/Remarques</v>
      </c>
      <c r="E103" s="328"/>
      <c r="F103" s="328"/>
    </row>
    <row r="104" spans="1:6" x14ac:dyDescent="0.3">
      <c r="A104" s="323"/>
      <c r="C104" s="1142"/>
      <c r="D104" s="1142"/>
      <c r="E104" s="1142"/>
      <c r="F104" s="1142"/>
    </row>
    <row r="105" spans="1:6" x14ac:dyDescent="0.3">
      <c r="A105" s="323"/>
      <c r="C105" s="328"/>
      <c r="D105" s="328" t="str">
        <f ca="1">' '!$A$447</f>
        <v>Calcul</v>
      </c>
      <c r="E105" s="328"/>
      <c r="F105" s="328"/>
    </row>
    <row r="106" spans="1:6" x14ac:dyDescent="0.3">
      <c r="A106" s="323"/>
      <c r="C106" s="1142"/>
      <c r="D106" s="1142"/>
      <c r="E106" s="1142" t="s">
        <v>857</v>
      </c>
      <c r="F106" s="1142"/>
    </row>
    <row r="107" spans="1:6" x14ac:dyDescent="0.3">
      <c r="A107" s="323"/>
      <c r="C107" s="328"/>
      <c r="D107" s="329" t="str">
        <f ca="1">' '!$A$449</f>
        <v>Source</v>
      </c>
      <c r="E107" s="328" t="str">
        <f ca="1">' '!$A$450</f>
        <v>Moment de l'enquête &amp; Comparaison avec la branche</v>
      </c>
      <c r="F107" s="328"/>
    </row>
    <row r="108" spans="1:6" x14ac:dyDescent="0.3">
      <c r="A108" s="323"/>
      <c r="C108" s="1143"/>
      <c r="D108" s="1144"/>
      <c r="E108" s="1143"/>
      <c r="F108" s="1144"/>
    </row>
    <row r="109" spans="1:6" x14ac:dyDescent="0.3">
      <c r="A109" s="323"/>
      <c r="C109" s="1143"/>
      <c r="D109" s="1144"/>
      <c r="E109" s="1143"/>
      <c r="F109" s="1144"/>
    </row>
    <row r="110" spans="1:6" x14ac:dyDescent="0.3">
      <c r="A110" s="323"/>
      <c r="C110" s="1143"/>
      <c r="D110" s="1144"/>
      <c r="E110" s="1143"/>
      <c r="F110" s="1144"/>
    </row>
    <row r="111" spans="1:6" x14ac:dyDescent="0.3">
      <c r="A111" s="323"/>
      <c r="C111" s="328"/>
      <c r="D111" s="328"/>
      <c r="E111" s="328"/>
      <c r="F111" s="328"/>
    </row>
    <row r="112" spans="1:6" ht="15.6" x14ac:dyDescent="0.3">
      <c r="A112" s="323"/>
      <c r="D112" s="324"/>
    </row>
    <row r="113" spans="1:6" ht="24" customHeight="1" x14ac:dyDescent="0.3">
      <c r="A113" s="323"/>
      <c r="C113" s="325" t="s">
        <v>516</v>
      </c>
      <c r="D113" s="326">
        <f>_o10</f>
        <v>0</v>
      </c>
      <c r="E113" s="327"/>
      <c r="F113" s="327"/>
    </row>
    <row r="114" spans="1:6" x14ac:dyDescent="0.3">
      <c r="A114" s="323"/>
    </row>
    <row r="115" spans="1:6" x14ac:dyDescent="0.3">
      <c r="A115" s="323"/>
      <c r="C115" s="328"/>
      <c r="D115" s="328" t="str">
        <f ca="1">' '!$A$448</f>
        <v>Description/Remarques</v>
      </c>
      <c r="E115" s="328"/>
      <c r="F115" s="328"/>
    </row>
    <row r="116" spans="1:6" x14ac:dyDescent="0.3">
      <c r="A116" s="323"/>
      <c r="C116" s="1142"/>
      <c r="D116" s="1142"/>
      <c r="E116" s="1142"/>
      <c r="F116" s="1142"/>
    </row>
    <row r="117" spans="1:6" x14ac:dyDescent="0.3">
      <c r="A117" s="323"/>
      <c r="C117" s="328"/>
      <c r="D117" s="328" t="str">
        <f ca="1">' '!$A$447</f>
        <v>Calcul</v>
      </c>
      <c r="E117" s="328"/>
      <c r="F117" s="328"/>
    </row>
    <row r="118" spans="1:6" x14ac:dyDescent="0.3">
      <c r="A118" s="323"/>
      <c r="C118" s="1142"/>
      <c r="D118" s="1142"/>
      <c r="E118" s="1142" t="s">
        <v>857</v>
      </c>
      <c r="F118" s="1142"/>
    </row>
    <row r="119" spans="1:6" x14ac:dyDescent="0.3">
      <c r="A119" s="323"/>
      <c r="C119" s="328"/>
      <c r="D119" s="329" t="str">
        <f ca="1">' '!$A$449</f>
        <v>Source</v>
      </c>
      <c r="E119" s="328" t="str">
        <f ca="1">' '!$A$450</f>
        <v>Moment de l'enquête &amp; Comparaison avec la branche</v>
      </c>
      <c r="F119" s="328"/>
    </row>
    <row r="120" spans="1:6" x14ac:dyDescent="0.3">
      <c r="A120" s="323"/>
      <c r="C120" s="1143"/>
      <c r="D120" s="1144"/>
      <c r="E120" s="1143"/>
      <c r="F120" s="1144"/>
    </row>
    <row r="121" spans="1:6" x14ac:dyDescent="0.3">
      <c r="A121" s="323"/>
      <c r="C121" s="1143"/>
      <c r="D121" s="1144"/>
      <c r="E121" s="1143"/>
      <c r="F121" s="1144"/>
    </row>
    <row r="122" spans="1:6" x14ac:dyDescent="0.3">
      <c r="A122" s="323"/>
      <c r="C122" s="1143"/>
      <c r="D122" s="1144"/>
      <c r="E122" s="1143"/>
      <c r="F122" s="1144"/>
    </row>
    <row r="123" spans="1:6" x14ac:dyDescent="0.3">
      <c r="A123" s="323"/>
      <c r="C123" s="328"/>
      <c r="D123" s="328"/>
      <c r="E123" s="328"/>
      <c r="F123" s="328"/>
    </row>
    <row r="124" spans="1:6" ht="15.6" x14ac:dyDescent="0.3">
      <c r="A124" s="323"/>
      <c r="D124" s="324"/>
    </row>
    <row r="125" spans="1:6" ht="24" customHeight="1" x14ac:dyDescent="0.3">
      <c r="A125" s="323"/>
      <c r="C125" s="325" t="s">
        <v>518</v>
      </c>
      <c r="D125" s="326">
        <f>_o11</f>
        <v>0</v>
      </c>
      <c r="E125" s="327"/>
      <c r="F125" s="327"/>
    </row>
    <row r="126" spans="1:6" x14ac:dyDescent="0.3">
      <c r="A126" s="323"/>
    </row>
    <row r="127" spans="1:6" x14ac:dyDescent="0.3">
      <c r="A127" s="323"/>
      <c r="C127" s="328"/>
      <c r="D127" s="328" t="str">
        <f ca="1">' '!$A$448</f>
        <v>Description/Remarques</v>
      </c>
      <c r="E127" s="328"/>
      <c r="F127" s="328"/>
    </row>
    <row r="128" spans="1:6" x14ac:dyDescent="0.3">
      <c r="A128" s="323"/>
      <c r="C128" s="1142"/>
      <c r="D128" s="1142"/>
      <c r="E128" s="1142"/>
      <c r="F128" s="1142"/>
    </row>
    <row r="129" spans="1:6" x14ac:dyDescent="0.3">
      <c r="A129" s="323"/>
      <c r="C129" s="328"/>
      <c r="D129" s="328" t="str">
        <f ca="1">' '!$A$447</f>
        <v>Calcul</v>
      </c>
      <c r="E129" s="328"/>
      <c r="F129" s="328"/>
    </row>
    <row r="130" spans="1:6" x14ac:dyDescent="0.3">
      <c r="A130" s="323"/>
      <c r="C130" s="1142"/>
      <c r="D130" s="1142"/>
      <c r="E130" s="1142" t="s">
        <v>857</v>
      </c>
      <c r="F130" s="1142"/>
    </row>
    <row r="131" spans="1:6" x14ac:dyDescent="0.3">
      <c r="A131" s="323"/>
      <c r="C131" s="328"/>
      <c r="D131" s="329" t="str">
        <f ca="1">' '!$A$449</f>
        <v>Source</v>
      </c>
      <c r="E131" s="328" t="str">
        <f ca="1">' '!$A$450</f>
        <v>Moment de l'enquête &amp; Comparaison avec la branche</v>
      </c>
      <c r="F131" s="328"/>
    </row>
    <row r="132" spans="1:6" x14ac:dyDescent="0.3">
      <c r="A132" s="323"/>
      <c r="C132" s="1143"/>
      <c r="D132" s="1144"/>
      <c r="E132" s="1143"/>
      <c r="F132" s="1144"/>
    </row>
    <row r="133" spans="1:6" x14ac:dyDescent="0.3">
      <c r="A133" s="323"/>
      <c r="C133" s="1143"/>
      <c r="D133" s="1144"/>
      <c r="E133" s="1143"/>
      <c r="F133" s="1144"/>
    </row>
    <row r="134" spans="1:6" x14ac:dyDescent="0.3">
      <c r="A134" s="323"/>
      <c r="C134" s="1143"/>
      <c r="D134" s="1144"/>
      <c r="E134" s="1143"/>
      <c r="F134" s="1144"/>
    </row>
    <row r="135" spans="1:6" x14ac:dyDescent="0.3">
      <c r="A135" s="323"/>
      <c r="C135" s="328"/>
      <c r="D135" s="328"/>
      <c r="E135" s="328"/>
      <c r="F135" s="328"/>
    </row>
    <row r="136" spans="1:6" ht="15.6" x14ac:dyDescent="0.3">
      <c r="A136" s="323"/>
      <c r="D136" s="324"/>
    </row>
    <row r="137" spans="1:6" ht="24" customHeight="1" x14ac:dyDescent="0.3">
      <c r="A137" s="323"/>
      <c r="C137" s="325" t="s">
        <v>520</v>
      </c>
      <c r="D137" s="326">
        <f>_o12</f>
        <v>0</v>
      </c>
      <c r="E137" s="327"/>
      <c r="F137" s="327"/>
    </row>
    <row r="138" spans="1:6" x14ac:dyDescent="0.3">
      <c r="A138" s="323"/>
    </row>
    <row r="139" spans="1:6" x14ac:dyDescent="0.3">
      <c r="A139" s="323"/>
      <c r="C139" s="328"/>
      <c r="D139" s="328" t="str">
        <f ca="1">' '!$A$448</f>
        <v>Description/Remarques</v>
      </c>
      <c r="E139" s="328"/>
      <c r="F139" s="328"/>
    </row>
    <row r="140" spans="1:6" x14ac:dyDescent="0.3">
      <c r="A140" s="323"/>
      <c r="C140" s="1142"/>
      <c r="D140" s="1142"/>
      <c r="E140" s="1142"/>
      <c r="F140" s="1142"/>
    </row>
    <row r="141" spans="1:6" x14ac:dyDescent="0.3">
      <c r="A141" s="323"/>
      <c r="C141" s="328"/>
      <c r="D141" s="328" t="str">
        <f ca="1">' '!$A$447</f>
        <v>Calcul</v>
      </c>
      <c r="E141" s="328"/>
      <c r="F141" s="328"/>
    </row>
    <row r="142" spans="1:6" x14ac:dyDescent="0.3">
      <c r="A142" s="323"/>
      <c r="C142" s="1142"/>
      <c r="D142" s="1142"/>
      <c r="E142" s="1142" t="s">
        <v>857</v>
      </c>
      <c r="F142" s="1142"/>
    </row>
    <row r="143" spans="1:6" x14ac:dyDescent="0.3">
      <c r="A143" s="323"/>
      <c r="C143" s="328"/>
      <c r="D143" s="329" t="str">
        <f ca="1">' '!$A$449</f>
        <v>Source</v>
      </c>
      <c r="E143" s="328" t="str">
        <f ca="1">' '!$A$450</f>
        <v>Moment de l'enquête &amp; Comparaison avec la branche</v>
      </c>
      <c r="F143" s="328"/>
    </row>
    <row r="144" spans="1:6" x14ac:dyDescent="0.3">
      <c r="A144" s="323"/>
      <c r="C144" s="1143"/>
      <c r="D144" s="1144"/>
      <c r="E144" s="1143"/>
      <c r="F144" s="1144"/>
    </row>
    <row r="145" spans="1:6" x14ac:dyDescent="0.3">
      <c r="A145" s="323"/>
      <c r="C145" s="1143"/>
      <c r="D145" s="1144"/>
      <c r="E145" s="1143"/>
      <c r="F145" s="1144"/>
    </row>
    <row r="146" spans="1:6" x14ac:dyDescent="0.3">
      <c r="A146" s="323"/>
      <c r="C146" s="1143"/>
      <c r="D146" s="1144"/>
      <c r="E146" s="1143"/>
      <c r="F146" s="1144"/>
    </row>
    <row r="147" spans="1:6" x14ac:dyDescent="0.3">
      <c r="A147" s="323"/>
      <c r="C147" s="328"/>
      <c r="D147" s="328"/>
      <c r="E147" s="328"/>
      <c r="F147" s="328"/>
    </row>
    <row r="148" spans="1:6" ht="15.6" x14ac:dyDescent="0.3">
      <c r="A148" s="323"/>
      <c r="D148" s="324"/>
    </row>
    <row r="149" spans="1:6" ht="24" customHeight="1" x14ac:dyDescent="0.3">
      <c r="A149" s="323"/>
      <c r="C149" s="325" t="s">
        <v>522</v>
      </c>
      <c r="D149" s="326">
        <f>_o13</f>
        <v>0</v>
      </c>
      <c r="E149" s="327"/>
      <c r="F149" s="327"/>
    </row>
    <row r="150" spans="1:6" x14ac:dyDescent="0.3">
      <c r="A150" s="323"/>
    </row>
    <row r="151" spans="1:6" x14ac:dyDescent="0.3">
      <c r="A151" s="323"/>
      <c r="C151" s="328"/>
      <c r="D151" s="328" t="str">
        <f ca="1">' '!$A$448</f>
        <v>Description/Remarques</v>
      </c>
      <c r="E151" s="328"/>
      <c r="F151" s="328"/>
    </row>
    <row r="152" spans="1:6" x14ac:dyDescent="0.3">
      <c r="A152" s="323"/>
      <c r="C152" s="1142"/>
      <c r="D152" s="1142"/>
      <c r="E152" s="1142"/>
      <c r="F152" s="1142"/>
    </row>
    <row r="153" spans="1:6" x14ac:dyDescent="0.3">
      <c r="A153" s="323"/>
      <c r="C153" s="328"/>
      <c r="D153" s="328" t="str">
        <f ca="1">' '!$A$447</f>
        <v>Calcul</v>
      </c>
      <c r="E153" s="328"/>
      <c r="F153" s="328"/>
    </row>
    <row r="154" spans="1:6" x14ac:dyDescent="0.3">
      <c r="A154" s="323"/>
      <c r="C154" s="1142"/>
      <c r="D154" s="1142"/>
      <c r="E154" s="1142" t="s">
        <v>857</v>
      </c>
      <c r="F154" s="1142"/>
    </row>
    <row r="155" spans="1:6" x14ac:dyDescent="0.3">
      <c r="A155" s="323"/>
      <c r="C155" s="328"/>
      <c r="D155" s="329" t="str">
        <f ca="1">' '!$A$449</f>
        <v>Source</v>
      </c>
      <c r="E155" s="328" t="str">
        <f ca="1">' '!$A$450</f>
        <v>Moment de l'enquête &amp; Comparaison avec la branche</v>
      </c>
      <c r="F155" s="328"/>
    </row>
    <row r="156" spans="1:6" x14ac:dyDescent="0.3">
      <c r="A156" s="323"/>
      <c r="C156" s="1143"/>
      <c r="D156" s="1144"/>
      <c r="E156" s="1143"/>
      <c r="F156" s="1144"/>
    </row>
    <row r="157" spans="1:6" x14ac:dyDescent="0.3">
      <c r="A157" s="323"/>
      <c r="C157" s="1143"/>
      <c r="D157" s="1144"/>
      <c r="E157" s="1143"/>
      <c r="F157" s="1144"/>
    </row>
    <row r="158" spans="1:6" x14ac:dyDescent="0.3">
      <c r="A158" s="323"/>
      <c r="C158" s="1143"/>
      <c r="D158" s="1144"/>
      <c r="E158" s="1143"/>
      <c r="F158" s="1144"/>
    </row>
    <row r="159" spans="1:6" x14ac:dyDescent="0.3">
      <c r="A159" s="323"/>
      <c r="C159" s="328"/>
      <c r="D159" s="328"/>
      <c r="E159" s="328"/>
      <c r="F159" s="328"/>
    </row>
    <row r="160" spans="1:6" ht="15.6" x14ac:dyDescent="0.3">
      <c r="A160" s="323"/>
      <c r="D160" s="324"/>
    </row>
    <row r="161" spans="1:6" ht="24" customHeight="1" x14ac:dyDescent="0.3">
      <c r="A161" s="323"/>
      <c r="C161" s="325" t="s">
        <v>524</v>
      </c>
      <c r="D161" s="326">
        <f>_o14</f>
        <v>0</v>
      </c>
      <c r="E161" s="327"/>
      <c r="F161" s="327"/>
    </row>
    <row r="162" spans="1:6" x14ac:dyDescent="0.3">
      <c r="A162" s="323"/>
    </row>
    <row r="163" spans="1:6" x14ac:dyDescent="0.3">
      <c r="A163" s="323"/>
      <c r="C163" s="328"/>
      <c r="D163" s="328" t="str">
        <f ca="1">' '!$A$448</f>
        <v>Description/Remarques</v>
      </c>
      <c r="E163" s="328"/>
      <c r="F163" s="328"/>
    </row>
    <row r="164" spans="1:6" x14ac:dyDescent="0.3">
      <c r="A164" s="323"/>
      <c r="C164" s="1142"/>
      <c r="D164" s="1142"/>
      <c r="E164" s="1142"/>
      <c r="F164" s="1142"/>
    </row>
    <row r="165" spans="1:6" x14ac:dyDescent="0.3">
      <c r="A165" s="323"/>
      <c r="C165" s="328"/>
      <c r="D165" s="328" t="str">
        <f ca="1">' '!$A$447</f>
        <v>Calcul</v>
      </c>
      <c r="E165" s="328"/>
      <c r="F165" s="328"/>
    </row>
    <row r="166" spans="1:6" x14ac:dyDescent="0.3">
      <c r="A166" s="323"/>
      <c r="C166" s="1142"/>
      <c r="D166" s="1142"/>
      <c r="E166" s="1142" t="s">
        <v>857</v>
      </c>
      <c r="F166" s="1142"/>
    </row>
    <row r="167" spans="1:6" x14ac:dyDescent="0.3">
      <c r="A167" s="323"/>
      <c r="C167" s="328"/>
      <c r="D167" s="329" t="str">
        <f ca="1">' '!$A$449</f>
        <v>Source</v>
      </c>
      <c r="E167" s="328" t="str">
        <f ca="1">' '!$A$450</f>
        <v>Moment de l'enquête &amp; Comparaison avec la branche</v>
      </c>
      <c r="F167" s="328"/>
    </row>
    <row r="168" spans="1:6" x14ac:dyDescent="0.3">
      <c r="A168" s="323"/>
      <c r="C168" s="1143"/>
      <c r="D168" s="1144"/>
      <c r="E168" s="1143"/>
      <c r="F168" s="1144"/>
    </row>
    <row r="169" spans="1:6" x14ac:dyDescent="0.3">
      <c r="A169" s="323"/>
      <c r="C169" s="1143"/>
      <c r="D169" s="1144"/>
      <c r="E169" s="1143"/>
      <c r="F169" s="1144"/>
    </row>
    <row r="170" spans="1:6" x14ac:dyDescent="0.3">
      <c r="A170" s="323"/>
      <c r="C170" s="1143"/>
      <c r="D170" s="1144"/>
      <c r="E170" s="1143"/>
      <c r="F170" s="1144"/>
    </row>
    <row r="171" spans="1:6" x14ac:dyDescent="0.3">
      <c r="A171" s="323"/>
      <c r="C171" s="328"/>
      <c r="D171" s="328"/>
      <c r="E171" s="328"/>
      <c r="F171" s="328"/>
    </row>
    <row r="172" spans="1:6" ht="15.6" x14ac:dyDescent="0.3">
      <c r="A172" s="323"/>
      <c r="D172" s="324"/>
    </row>
    <row r="173" spans="1:6" ht="24" customHeight="1" x14ac:dyDescent="0.3">
      <c r="A173" s="323"/>
      <c r="C173" s="325" t="s">
        <v>526</v>
      </c>
      <c r="D173" s="326">
        <f>_o15</f>
        <v>0</v>
      </c>
      <c r="E173" s="327"/>
      <c r="F173" s="327"/>
    </row>
    <row r="174" spans="1:6" x14ac:dyDescent="0.3">
      <c r="A174" s="323"/>
    </row>
    <row r="175" spans="1:6" x14ac:dyDescent="0.3">
      <c r="A175" s="323"/>
      <c r="C175" s="328"/>
      <c r="D175" s="328" t="str">
        <f ca="1">' '!$A$448</f>
        <v>Description/Remarques</v>
      </c>
      <c r="E175" s="328"/>
      <c r="F175" s="328"/>
    </row>
    <row r="176" spans="1:6" x14ac:dyDescent="0.3">
      <c r="A176" s="323"/>
      <c r="C176" s="1142"/>
      <c r="D176" s="1142"/>
      <c r="E176" s="1142"/>
      <c r="F176" s="1142"/>
    </row>
    <row r="177" spans="1:6" x14ac:dyDescent="0.3">
      <c r="A177" s="323"/>
      <c r="C177" s="328"/>
      <c r="D177" s="328" t="str">
        <f ca="1">' '!$A$447</f>
        <v>Calcul</v>
      </c>
      <c r="E177" s="328"/>
      <c r="F177" s="328"/>
    </row>
    <row r="178" spans="1:6" x14ac:dyDescent="0.3">
      <c r="A178" s="323"/>
      <c r="C178" s="1142"/>
      <c r="D178" s="1142"/>
      <c r="E178" s="1142" t="s">
        <v>857</v>
      </c>
      <c r="F178" s="1142"/>
    </row>
    <row r="179" spans="1:6" x14ac:dyDescent="0.3">
      <c r="A179" s="323"/>
      <c r="C179" s="328"/>
      <c r="D179" s="329" t="str">
        <f ca="1">' '!$A$449</f>
        <v>Source</v>
      </c>
      <c r="E179" s="328" t="str">
        <f ca="1">' '!$A$450</f>
        <v>Moment de l'enquête &amp; Comparaison avec la branche</v>
      </c>
      <c r="F179" s="328"/>
    </row>
    <row r="180" spans="1:6" x14ac:dyDescent="0.3">
      <c r="A180" s="323"/>
      <c r="C180" s="1143"/>
      <c r="D180" s="1144"/>
      <c r="E180" s="1143"/>
      <c r="F180" s="1144"/>
    </row>
    <row r="181" spans="1:6" x14ac:dyDescent="0.3">
      <c r="A181" s="323"/>
      <c r="C181" s="1143"/>
      <c r="D181" s="1144"/>
      <c r="E181" s="1143"/>
      <c r="F181" s="1144"/>
    </row>
    <row r="182" spans="1:6" x14ac:dyDescent="0.3">
      <c r="A182" s="323"/>
      <c r="C182" s="1143"/>
      <c r="D182" s="1144"/>
      <c r="E182" s="1143"/>
      <c r="F182" s="1144"/>
    </row>
    <row r="183" spans="1:6" x14ac:dyDescent="0.3">
      <c r="A183" s="323"/>
      <c r="C183" s="328"/>
      <c r="D183" s="328"/>
      <c r="E183" s="328"/>
      <c r="F183" s="328"/>
    </row>
    <row r="184" spans="1:6" ht="15.6" x14ac:dyDescent="0.3">
      <c r="A184" s="323"/>
      <c r="D184" s="324"/>
    </row>
    <row r="185" spans="1:6" ht="24" customHeight="1" x14ac:dyDescent="0.3">
      <c r="A185" s="323"/>
      <c r="C185" s="325" t="s">
        <v>528</v>
      </c>
      <c r="D185" s="326">
        <f>_o16</f>
        <v>0</v>
      </c>
      <c r="E185" s="327"/>
      <c r="F185" s="327"/>
    </row>
    <row r="186" spans="1:6" x14ac:dyDescent="0.3">
      <c r="A186" s="323"/>
    </row>
    <row r="187" spans="1:6" x14ac:dyDescent="0.3">
      <c r="A187" s="323"/>
      <c r="C187" s="328"/>
      <c r="D187" s="328" t="str">
        <f ca="1">' '!$A$448</f>
        <v>Description/Remarques</v>
      </c>
      <c r="E187" s="328"/>
      <c r="F187" s="328"/>
    </row>
    <row r="188" spans="1:6" x14ac:dyDescent="0.3">
      <c r="A188" s="323"/>
      <c r="C188" s="1142"/>
      <c r="D188" s="1142"/>
      <c r="E188" s="1142"/>
      <c r="F188" s="1142"/>
    </row>
    <row r="189" spans="1:6" x14ac:dyDescent="0.3">
      <c r="A189" s="323"/>
      <c r="C189" s="328"/>
      <c r="D189" s="328" t="str">
        <f ca="1">' '!$A$447</f>
        <v>Calcul</v>
      </c>
      <c r="E189" s="328"/>
      <c r="F189" s="328"/>
    </row>
    <row r="190" spans="1:6" x14ac:dyDescent="0.3">
      <c r="A190" s="323"/>
      <c r="C190" s="1142"/>
      <c r="D190" s="1142"/>
      <c r="E190" s="1142" t="s">
        <v>857</v>
      </c>
      <c r="F190" s="1142"/>
    </row>
    <row r="191" spans="1:6" x14ac:dyDescent="0.3">
      <c r="A191" s="323"/>
      <c r="C191" s="328"/>
      <c r="D191" s="329" t="str">
        <f ca="1">' '!$A$449</f>
        <v>Source</v>
      </c>
      <c r="E191" s="328" t="str">
        <f ca="1">' '!$A$450</f>
        <v>Moment de l'enquête &amp; Comparaison avec la branche</v>
      </c>
      <c r="F191" s="328"/>
    </row>
    <row r="192" spans="1:6" x14ac:dyDescent="0.3">
      <c r="A192" s="323"/>
      <c r="C192" s="1143"/>
      <c r="D192" s="1144"/>
      <c r="E192" s="1143"/>
      <c r="F192" s="1144"/>
    </row>
    <row r="193" spans="1:6" x14ac:dyDescent="0.3">
      <c r="A193" s="323"/>
      <c r="C193" s="1143"/>
      <c r="D193" s="1144"/>
      <c r="E193" s="1143"/>
      <c r="F193" s="1144"/>
    </row>
    <row r="194" spans="1:6" x14ac:dyDescent="0.3">
      <c r="A194" s="323"/>
      <c r="C194" s="1143"/>
      <c r="D194" s="1144"/>
      <c r="E194" s="1143"/>
      <c r="F194" s="1144"/>
    </row>
    <row r="195" spans="1:6" x14ac:dyDescent="0.3">
      <c r="A195" s="323"/>
      <c r="C195" s="328"/>
      <c r="D195" s="328"/>
      <c r="E195" s="328"/>
      <c r="F195" s="328"/>
    </row>
    <row r="196" spans="1:6" ht="15.6" x14ac:dyDescent="0.3">
      <c r="A196" s="323"/>
      <c r="D196" s="324"/>
    </row>
    <row r="197" spans="1:6" ht="24" customHeight="1" x14ac:dyDescent="0.3">
      <c r="A197" s="323"/>
      <c r="C197" s="325" t="s">
        <v>530</v>
      </c>
      <c r="D197" s="326">
        <f>_o17</f>
        <v>0</v>
      </c>
      <c r="E197" s="327"/>
      <c r="F197" s="327"/>
    </row>
    <row r="198" spans="1:6" x14ac:dyDescent="0.3">
      <c r="A198" s="323"/>
    </row>
    <row r="199" spans="1:6" x14ac:dyDescent="0.3">
      <c r="A199" s="323"/>
      <c r="C199" s="328"/>
      <c r="D199" s="328" t="str">
        <f ca="1">' '!$A$448</f>
        <v>Description/Remarques</v>
      </c>
      <c r="E199" s="328"/>
      <c r="F199" s="328"/>
    </row>
    <row r="200" spans="1:6" x14ac:dyDescent="0.3">
      <c r="A200" s="323"/>
      <c r="C200" s="1142"/>
      <c r="D200" s="1142"/>
      <c r="E200" s="1142"/>
      <c r="F200" s="1142"/>
    </row>
    <row r="201" spans="1:6" x14ac:dyDescent="0.3">
      <c r="A201" s="323"/>
      <c r="C201" s="328"/>
      <c r="D201" s="328" t="str">
        <f ca="1">' '!$A$447</f>
        <v>Calcul</v>
      </c>
      <c r="E201" s="328"/>
      <c r="F201" s="328"/>
    </row>
    <row r="202" spans="1:6" x14ac:dyDescent="0.3">
      <c r="A202" s="323"/>
      <c r="C202" s="1142"/>
      <c r="D202" s="1142"/>
      <c r="E202" s="1142" t="s">
        <v>857</v>
      </c>
      <c r="F202" s="1142"/>
    </row>
    <row r="203" spans="1:6" x14ac:dyDescent="0.3">
      <c r="A203" s="323"/>
      <c r="C203" s="328"/>
      <c r="D203" s="329" t="str">
        <f ca="1">' '!$A$449</f>
        <v>Source</v>
      </c>
      <c r="E203" s="328" t="str">
        <f ca="1">' '!$A$450</f>
        <v>Moment de l'enquête &amp; Comparaison avec la branche</v>
      </c>
      <c r="F203" s="328"/>
    </row>
    <row r="204" spans="1:6" x14ac:dyDescent="0.3">
      <c r="A204" s="323"/>
      <c r="C204" s="1143"/>
      <c r="D204" s="1144"/>
      <c r="E204" s="1143"/>
      <c r="F204" s="1144"/>
    </row>
    <row r="205" spans="1:6" x14ac:dyDescent="0.3">
      <c r="A205" s="323"/>
      <c r="C205" s="1143"/>
      <c r="D205" s="1144"/>
      <c r="E205" s="1143"/>
      <c r="F205" s="1144"/>
    </row>
    <row r="206" spans="1:6" x14ac:dyDescent="0.3">
      <c r="A206" s="323"/>
      <c r="C206" s="1143"/>
      <c r="D206" s="1144"/>
      <c r="E206" s="1143"/>
      <c r="F206" s="1144"/>
    </row>
    <row r="207" spans="1:6" x14ac:dyDescent="0.3">
      <c r="A207" s="323"/>
      <c r="C207" s="328"/>
      <c r="D207" s="328"/>
      <c r="E207" s="328"/>
      <c r="F207" s="328"/>
    </row>
    <row r="208" spans="1:6" ht="15.6" x14ac:dyDescent="0.3">
      <c r="A208" s="323"/>
      <c r="D208" s="324"/>
    </row>
    <row r="209" spans="1:6" ht="24" customHeight="1" x14ac:dyDescent="0.3">
      <c r="A209" s="323"/>
      <c r="C209" s="325" t="s">
        <v>532</v>
      </c>
      <c r="D209" s="326">
        <f>_o18</f>
        <v>0</v>
      </c>
      <c r="E209" s="327"/>
      <c r="F209" s="327"/>
    </row>
    <row r="210" spans="1:6" x14ac:dyDescent="0.3">
      <c r="A210" s="323"/>
    </row>
    <row r="211" spans="1:6" x14ac:dyDescent="0.3">
      <c r="A211" s="323"/>
      <c r="C211" s="328"/>
      <c r="D211" s="328" t="str">
        <f ca="1">' '!$A$448</f>
        <v>Description/Remarques</v>
      </c>
      <c r="E211" s="328"/>
      <c r="F211" s="328"/>
    </row>
    <row r="212" spans="1:6" x14ac:dyDescent="0.3">
      <c r="A212" s="323"/>
      <c r="C212" s="1142"/>
      <c r="D212" s="1142"/>
      <c r="E212" s="1142"/>
      <c r="F212" s="1142"/>
    </row>
    <row r="213" spans="1:6" x14ac:dyDescent="0.3">
      <c r="A213" s="323"/>
      <c r="C213" s="328"/>
      <c r="D213" s="328" t="str">
        <f ca="1">' '!$A$447</f>
        <v>Calcul</v>
      </c>
      <c r="E213" s="328"/>
      <c r="F213" s="328"/>
    </row>
    <row r="214" spans="1:6" x14ac:dyDescent="0.3">
      <c r="A214" s="323"/>
      <c r="C214" s="1142"/>
      <c r="D214" s="1142"/>
      <c r="E214" s="1142" t="s">
        <v>857</v>
      </c>
      <c r="F214" s="1142"/>
    </row>
    <row r="215" spans="1:6" x14ac:dyDescent="0.3">
      <c r="A215" s="323"/>
      <c r="C215" s="328"/>
      <c r="D215" s="329" t="str">
        <f ca="1">' '!$A$449</f>
        <v>Source</v>
      </c>
      <c r="E215" s="328" t="str">
        <f ca="1">' '!$A$450</f>
        <v>Moment de l'enquête &amp; Comparaison avec la branche</v>
      </c>
      <c r="F215" s="328"/>
    </row>
    <row r="216" spans="1:6" x14ac:dyDescent="0.3">
      <c r="A216" s="323"/>
      <c r="C216" s="1143"/>
      <c r="D216" s="1144"/>
      <c r="E216" s="1143"/>
      <c r="F216" s="1144"/>
    </row>
    <row r="217" spans="1:6" x14ac:dyDescent="0.3">
      <c r="A217" s="323"/>
      <c r="C217" s="1143"/>
      <c r="D217" s="1144"/>
      <c r="E217" s="1143"/>
      <c r="F217" s="1144"/>
    </row>
    <row r="218" spans="1:6" x14ac:dyDescent="0.3">
      <c r="A218" s="323"/>
      <c r="C218" s="1143"/>
      <c r="D218" s="1144"/>
      <c r="E218" s="1143"/>
      <c r="F218" s="1144"/>
    </row>
    <row r="219" spans="1:6" x14ac:dyDescent="0.3">
      <c r="A219" s="323"/>
      <c r="C219" s="328"/>
      <c r="D219" s="328"/>
      <c r="E219" s="328"/>
      <c r="F219" s="328"/>
    </row>
    <row r="220" spans="1:6" ht="15.6" x14ac:dyDescent="0.3">
      <c r="A220" s="323"/>
      <c r="D220" s="324"/>
    </row>
    <row r="221" spans="1:6" ht="24" customHeight="1" x14ac:dyDescent="0.3">
      <c r="A221" s="323"/>
      <c r="C221" s="325" t="s">
        <v>772</v>
      </c>
      <c r="D221" s="326">
        <f>_o19</f>
        <v>0</v>
      </c>
      <c r="E221" s="327"/>
      <c r="F221" s="327"/>
    </row>
    <row r="222" spans="1:6" x14ac:dyDescent="0.3">
      <c r="A222" s="323"/>
    </row>
    <row r="223" spans="1:6" x14ac:dyDescent="0.3">
      <c r="A223" s="323"/>
      <c r="C223" s="328"/>
      <c r="D223" s="328" t="str">
        <f ca="1">' '!$A$448</f>
        <v>Description/Remarques</v>
      </c>
      <c r="E223" s="328"/>
      <c r="F223" s="328"/>
    </row>
    <row r="224" spans="1:6" x14ac:dyDescent="0.3">
      <c r="A224" s="323"/>
      <c r="C224" s="1142"/>
      <c r="D224" s="1142"/>
      <c r="E224" s="1142"/>
      <c r="F224" s="1142"/>
    </row>
    <row r="225" spans="1:6" x14ac:dyDescent="0.3">
      <c r="A225" s="323"/>
      <c r="C225" s="328"/>
      <c r="D225" s="328" t="str">
        <f ca="1">' '!$A$447</f>
        <v>Calcul</v>
      </c>
      <c r="E225" s="328"/>
      <c r="F225" s="328"/>
    </row>
    <row r="226" spans="1:6" x14ac:dyDescent="0.3">
      <c r="A226" s="323"/>
      <c r="C226" s="1142"/>
      <c r="D226" s="1142"/>
      <c r="E226" s="1142" t="s">
        <v>857</v>
      </c>
      <c r="F226" s="1142"/>
    </row>
    <row r="227" spans="1:6" x14ac:dyDescent="0.3">
      <c r="A227" s="323"/>
      <c r="C227" s="328"/>
      <c r="D227" s="329" t="str">
        <f ca="1">' '!$A$449</f>
        <v>Source</v>
      </c>
      <c r="E227" s="328" t="str">
        <f ca="1">' '!$A$450</f>
        <v>Moment de l'enquête &amp; Comparaison avec la branche</v>
      </c>
      <c r="F227" s="328"/>
    </row>
    <row r="228" spans="1:6" x14ac:dyDescent="0.3">
      <c r="A228" s="323"/>
      <c r="C228" s="1143"/>
      <c r="D228" s="1144"/>
      <c r="E228" s="1143"/>
      <c r="F228" s="1144"/>
    </row>
    <row r="229" spans="1:6" x14ac:dyDescent="0.3">
      <c r="A229" s="323"/>
      <c r="C229" s="1143"/>
      <c r="D229" s="1144"/>
      <c r="E229" s="1143"/>
      <c r="F229" s="1144"/>
    </row>
    <row r="230" spans="1:6" x14ac:dyDescent="0.3">
      <c r="A230" s="323"/>
      <c r="C230" s="1143"/>
      <c r="D230" s="1144"/>
      <c r="E230" s="1143"/>
      <c r="F230" s="1144"/>
    </row>
    <row r="231" spans="1:6" x14ac:dyDescent="0.3">
      <c r="A231" s="323"/>
      <c r="C231" s="328"/>
      <c r="D231" s="328"/>
      <c r="E231" s="328"/>
      <c r="F231" s="328"/>
    </row>
    <row r="232" spans="1:6" ht="15.6" x14ac:dyDescent="0.3">
      <c r="A232" s="323"/>
      <c r="D232" s="324"/>
    </row>
    <row r="233" spans="1:6" ht="24" customHeight="1" x14ac:dyDescent="0.3">
      <c r="A233" s="323"/>
      <c r="C233" s="325" t="s">
        <v>773</v>
      </c>
      <c r="D233" s="326">
        <f>_o20</f>
        <v>0</v>
      </c>
      <c r="E233" s="327"/>
      <c r="F233" s="327"/>
    </row>
    <row r="234" spans="1:6" x14ac:dyDescent="0.3">
      <c r="A234" s="323"/>
    </row>
    <row r="235" spans="1:6" x14ac:dyDescent="0.3">
      <c r="A235" s="323"/>
      <c r="C235" s="328"/>
      <c r="D235" s="328" t="str">
        <f ca="1">' '!$A$448</f>
        <v>Description/Remarques</v>
      </c>
      <c r="E235" s="328"/>
      <c r="F235" s="328"/>
    </row>
    <row r="236" spans="1:6" x14ac:dyDescent="0.3">
      <c r="A236" s="323"/>
      <c r="C236" s="1142"/>
      <c r="D236" s="1142"/>
      <c r="E236" s="1142"/>
      <c r="F236" s="1142"/>
    </row>
    <row r="237" spans="1:6" x14ac:dyDescent="0.3">
      <c r="A237" s="323"/>
      <c r="C237" s="328"/>
      <c r="D237" s="328" t="str">
        <f ca="1">' '!$A$447</f>
        <v>Calcul</v>
      </c>
      <c r="E237" s="328"/>
      <c r="F237" s="328"/>
    </row>
    <row r="238" spans="1:6" x14ac:dyDescent="0.3">
      <c r="A238" s="323"/>
      <c r="C238" s="1142"/>
      <c r="D238" s="1142"/>
      <c r="E238" s="1142" t="s">
        <v>857</v>
      </c>
      <c r="F238" s="1142"/>
    </row>
    <row r="239" spans="1:6" x14ac:dyDescent="0.3">
      <c r="A239" s="323"/>
      <c r="C239" s="328"/>
      <c r="D239" s="329" t="str">
        <f ca="1">' '!$A$449</f>
        <v>Source</v>
      </c>
      <c r="E239" s="328" t="str">
        <f ca="1">' '!$A$450</f>
        <v>Moment de l'enquête &amp; Comparaison avec la branche</v>
      </c>
      <c r="F239" s="328"/>
    </row>
    <row r="240" spans="1:6" x14ac:dyDescent="0.3">
      <c r="A240" s="323"/>
      <c r="C240" s="1143"/>
      <c r="D240" s="1144"/>
      <c r="E240" s="1143"/>
      <c r="F240" s="1144"/>
    </row>
    <row r="241" spans="1:6" x14ac:dyDescent="0.3">
      <c r="A241" s="323"/>
      <c r="C241" s="1143"/>
      <c r="D241" s="1144"/>
      <c r="E241" s="1143"/>
      <c r="F241" s="1144"/>
    </row>
    <row r="242" spans="1:6" x14ac:dyDescent="0.3">
      <c r="A242" s="323"/>
      <c r="C242" s="1143"/>
      <c r="D242" s="1144"/>
      <c r="E242" s="1143"/>
      <c r="F242" s="1144"/>
    </row>
    <row r="243" spans="1:6" x14ac:dyDescent="0.3">
      <c r="A243" s="323"/>
      <c r="C243" s="328"/>
      <c r="D243" s="328"/>
      <c r="E243" s="328"/>
      <c r="F243" s="328"/>
    </row>
    <row r="244" spans="1:6" ht="15.6" x14ac:dyDescent="0.3">
      <c r="A244" s="323"/>
      <c r="D244" s="324"/>
    </row>
    <row r="245" spans="1:6" ht="24" customHeight="1" x14ac:dyDescent="0.3">
      <c r="A245" s="323"/>
      <c r="C245" s="325" t="s">
        <v>774</v>
      </c>
      <c r="D245" s="326">
        <f>_o21</f>
        <v>0</v>
      </c>
      <c r="E245" s="327"/>
      <c r="F245" s="327"/>
    </row>
    <row r="246" spans="1:6" x14ac:dyDescent="0.3">
      <c r="A246" s="323"/>
    </row>
    <row r="247" spans="1:6" x14ac:dyDescent="0.3">
      <c r="A247" s="323"/>
      <c r="C247" s="328"/>
      <c r="D247" s="328" t="str">
        <f ca="1">' '!$A$448</f>
        <v>Description/Remarques</v>
      </c>
      <c r="E247" s="328"/>
      <c r="F247" s="328"/>
    </row>
    <row r="248" spans="1:6" x14ac:dyDescent="0.3">
      <c r="A248" s="323"/>
      <c r="C248" s="1142"/>
      <c r="D248" s="1142"/>
      <c r="E248" s="1142"/>
      <c r="F248" s="1142"/>
    </row>
    <row r="249" spans="1:6" x14ac:dyDescent="0.3">
      <c r="A249" s="323"/>
      <c r="C249" s="328"/>
      <c r="D249" s="328" t="str">
        <f ca="1">' '!$A$447</f>
        <v>Calcul</v>
      </c>
      <c r="E249" s="328"/>
      <c r="F249" s="328"/>
    </row>
    <row r="250" spans="1:6" x14ac:dyDescent="0.3">
      <c r="A250" s="323"/>
      <c r="C250" s="1142"/>
      <c r="D250" s="1142"/>
      <c r="E250" s="1142" t="s">
        <v>857</v>
      </c>
      <c r="F250" s="1142"/>
    </row>
    <row r="251" spans="1:6" x14ac:dyDescent="0.3">
      <c r="A251" s="323"/>
      <c r="C251" s="328"/>
      <c r="D251" s="329" t="str">
        <f ca="1">' '!$A$449</f>
        <v>Source</v>
      </c>
      <c r="E251" s="328" t="str">
        <f ca="1">' '!$A$450</f>
        <v>Moment de l'enquête &amp; Comparaison avec la branche</v>
      </c>
      <c r="F251" s="328"/>
    </row>
    <row r="252" spans="1:6" x14ac:dyDescent="0.3">
      <c r="A252" s="323"/>
      <c r="C252" s="1143"/>
      <c r="D252" s="1144"/>
      <c r="E252" s="1143"/>
      <c r="F252" s="1144"/>
    </row>
    <row r="253" spans="1:6" x14ac:dyDescent="0.3">
      <c r="A253" s="323"/>
      <c r="C253" s="1143"/>
      <c r="D253" s="1144"/>
      <c r="E253" s="1143"/>
      <c r="F253" s="1144"/>
    </row>
    <row r="254" spans="1:6" x14ac:dyDescent="0.3">
      <c r="A254" s="323"/>
      <c r="C254" s="1143"/>
      <c r="D254" s="1144"/>
      <c r="E254" s="1143"/>
      <c r="F254" s="1144"/>
    </row>
    <row r="255" spans="1:6" x14ac:dyDescent="0.3">
      <c r="A255" s="323"/>
      <c r="C255" s="328"/>
      <c r="D255" s="328"/>
      <c r="E255" s="328"/>
      <c r="F255" s="328"/>
    </row>
    <row r="256" spans="1:6" ht="15.6" x14ac:dyDescent="0.3">
      <c r="A256" s="323"/>
      <c r="D256" s="324"/>
    </row>
    <row r="257" spans="1:6" ht="24" customHeight="1" x14ac:dyDescent="0.3">
      <c r="A257" s="323"/>
      <c r="C257" s="325" t="s">
        <v>775</v>
      </c>
      <c r="D257" s="326">
        <f>_o22</f>
        <v>0</v>
      </c>
      <c r="E257" s="327"/>
      <c r="F257" s="327"/>
    </row>
    <row r="258" spans="1:6" x14ac:dyDescent="0.3">
      <c r="A258" s="323"/>
    </row>
    <row r="259" spans="1:6" x14ac:dyDescent="0.3">
      <c r="A259" s="323"/>
      <c r="C259" s="328"/>
      <c r="D259" s="328" t="str">
        <f ca="1">' '!$A$448</f>
        <v>Description/Remarques</v>
      </c>
      <c r="E259" s="328"/>
      <c r="F259" s="328"/>
    </row>
    <row r="260" spans="1:6" x14ac:dyDescent="0.3">
      <c r="A260" s="323"/>
      <c r="C260" s="1142"/>
      <c r="D260" s="1142"/>
      <c r="E260" s="1142"/>
      <c r="F260" s="1142"/>
    </row>
    <row r="261" spans="1:6" x14ac:dyDescent="0.3">
      <c r="A261" s="323"/>
      <c r="C261" s="328"/>
      <c r="D261" s="328" t="str">
        <f ca="1">' '!$A$447</f>
        <v>Calcul</v>
      </c>
      <c r="E261" s="328"/>
      <c r="F261" s="328"/>
    </row>
    <row r="262" spans="1:6" x14ac:dyDescent="0.3">
      <c r="A262" s="323"/>
      <c r="C262" s="1142"/>
      <c r="D262" s="1142"/>
      <c r="E262" s="1142" t="s">
        <v>857</v>
      </c>
      <c r="F262" s="1142"/>
    </row>
    <row r="263" spans="1:6" x14ac:dyDescent="0.3">
      <c r="A263" s="323"/>
      <c r="C263" s="328"/>
      <c r="D263" s="329" t="str">
        <f ca="1">' '!$A$449</f>
        <v>Source</v>
      </c>
      <c r="E263" s="328" t="str">
        <f ca="1">' '!$A$450</f>
        <v>Moment de l'enquête &amp; Comparaison avec la branche</v>
      </c>
      <c r="F263" s="328"/>
    </row>
    <row r="264" spans="1:6" x14ac:dyDescent="0.3">
      <c r="A264" s="323"/>
      <c r="C264" s="1143"/>
      <c r="D264" s="1144"/>
      <c r="E264" s="1143"/>
      <c r="F264" s="1144"/>
    </row>
    <row r="265" spans="1:6" x14ac:dyDescent="0.3">
      <c r="A265" s="323"/>
      <c r="C265" s="1143"/>
      <c r="D265" s="1144"/>
      <c r="E265" s="1143"/>
      <c r="F265" s="1144"/>
    </row>
    <row r="266" spans="1:6" x14ac:dyDescent="0.3">
      <c r="A266" s="323"/>
      <c r="C266" s="1143"/>
      <c r="D266" s="1144"/>
      <c r="E266" s="1143"/>
      <c r="F266" s="1144"/>
    </row>
    <row r="267" spans="1:6" x14ac:dyDescent="0.3">
      <c r="A267" s="323"/>
      <c r="C267" s="328"/>
      <c r="D267" s="328"/>
      <c r="E267" s="328"/>
      <c r="F267" s="328"/>
    </row>
    <row r="268" spans="1:6" ht="15.6" x14ac:dyDescent="0.3">
      <c r="A268" s="323"/>
      <c r="D268" s="324"/>
    </row>
    <row r="269" spans="1:6" ht="24" customHeight="1" x14ac:dyDescent="0.3">
      <c r="A269" s="323"/>
      <c r="C269" s="325" t="s">
        <v>776</v>
      </c>
      <c r="D269" s="326">
        <f>_o23</f>
        <v>0</v>
      </c>
      <c r="E269" s="327"/>
      <c r="F269" s="327"/>
    </row>
    <row r="270" spans="1:6" x14ac:dyDescent="0.3">
      <c r="A270" s="323"/>
    </row>
    <row r="271" spans="1:6" x14ac:dyDescent="0.3">
      <c r="A271" s="323"/>
      <c r="C271" s="328"/>
      <c r="D271" s="328" t="str">
        <f ca="1">' '!$A$448</f>
        <v>Description/Remarques</v>
      </c>
      <c r="E271" s="328"/>
      <c r="F271" s="328"/>
    </row>
    <row r="272" spans="1:6" x14ac:dyDescent="0.3">
      <c r="A272" s="323"/>
      <c r="C272" s="1142"/>
      <c r="D272" s="1142"/>
      <c r="E272" s="1142"/>
      <c r="F272" s="1142"/>
    </row>
    <row r="273" spans="1:6" x14ac:dyDescent="0.3">
      <c r="A273" s="323"/>
      <c r="C273" s="328"/>
      <c r="D273" s="328" t="str">
        <f ca="1">' '!$A$447</f>
        <v>Calcul</v>
      </c>
      <c r="E273" s="328"/>
      <c r="F273" s="328"/>
    </row>
    <row r="274" spans="1:6" x14ac:dyDescent="0.3">
      <c r="A274" s="323"/>
      <c r="C274" s="1142"/>
      <c r="D274" s="1142"/>
      <c r="E274" s="1142" t="s">
        <v>857</v>
      </c>
      <c r="F274" s="1142"/>
    </row>
    <row r="275" spans="1:6" x14ac:dyDescent="0.3">
      <c r="A275" s="323"/>
      <c r="C275" s="328"/>
      <c r="D275" s="329" t="str">
        <f ca="1">' '!$A$449</f>
        <v>Source</v>
      </c>
      <c r="E275" s="328" t="str">
        <f ca="1">' '!$A$450</f>
        <v>Moment de l'enquête &amp; Comparaison avec la branche</v>
      </c>
      <c r="F275" s="328"/>
    </row>
    <row r="276" spans="1:6" x14ac:dyDescent="0.3">
      <c r="A276" s="323"/>
      <c r="C276" s="1143"/>
      <c r="D276" s="1144"/>
      <c r="E276" s="1143"/>
      <c r="F276" s="1144"/>
    </row>
    <row r="277" spans="1:6" x14ac:dyDescent="0.3">
      <c r="A277" s="323"/>
      <c r="C277" s="1143"/>
      <c r="D277" s="1144"/>
      <c r="E277" s="1143"/>
      <c r="F277" s="1144"/>
    </row>
    <row r="278" spans="1:6" x14ac:dyDescent="0.3">
      <c r="A278" s="323"/>
      <c r="C278" s="1143"/>
      <c r="D278" s="1144"/>
      <c r="E278" s="1143"/>
      <c r="F278" s="1144"/>
    </row>
    <row r="279" spans="1:6" x14ac:dyDescent="0.3">
      <c r="A279" s="323"/>
      <c r="C279" s="328"/>
      <c r="D279" s="328"/>
      <c r="E279" s="328"/>
      <c r="F279" s="328"/>
    </row>
    <row r="280" spans="1:6" ht="15.6" x14ac:dyDescent="0.3">
      <c r="A280" s="323"/>
      <c r="D280" s="324"/>
    </row>
    <row r="281" spans="1:6" ht="24" customHeight="1" x14ac:dyDescent="0.3">
      <c r="A281" s="323"/>
      <c r="C281" s="325" t="s">
        <v>777</v>
      </c>
      <c r="D281" s="326">
        <f>_o24</f>
        <v>0</v>
      </c>
      <c r="E281" s="327"/>
      <c r="F281" s="327"/>
    </row>
    <row r="282" spans="1:6" x14ac:dyDescent="0.3">
      <c r="A282" s="323"/>
    </row>
    <row r="283" spans="1:6" x14ac:dyDescent="0.3">
      <c r="A283" s="323"/>
      <c r="C283" s="328"/>
      <c r="D283" s="328" t="str">
        <f ca="1">' '!$A$448</f>
        <v>Description/Remarques</v>
      </c>
      <c r="E283" s="328"/>
      <c r="F283" s="328"/>
    </row>
    <row r="284" spans="1:6" x14ac:dyDescent="0.3">
      <c r="A284" s="323"/>
      <c r="C284" s="1142"/>
      <c r="D284" s="1142"/>
      <c r="E284" s="1142"/>
      <c r="F284" s="1142"/>
    </row>
    <row r="285" spans="1:6" x14ac:dyDescent="0.3">
      <c r="A285" s="323"/>
      <c r="C285" s="328"/>
      <c r="D285" s="328" t="str">
        <f ca="1">' '!$A$447</f>
        <v>Calcul</v>
      </c>
      <c r="E285" s="328"/>
      <c r="F285" s="328"/>
    </row>
    <row r="286" spans="1:6" x14ac:dyDescent="0.3">
      <c r="A286" s="323"/>
      <c r="C286" s="1142"/>
      <c r="D286" s="1142"/>
      <c r="E286" s="1142" t="s">
        <v>857</v>
      </c>
      <c r="F286" s="1142"/>
    </row>
    <row r="287" spans="1:6" x14ac:dyDescent="0.3">
      <c r="A287" s="323"/>
      <c r="C287" s="328"/>
      <c r="D287" s="329" t="str">
        <f ca="1">' '!$A$449</f>
        <v>Source</v>
      </c>
      <c r="E287" s="328" t="str">
        <f ca="1">' '!$A$450</f>
        <v>Moment de l'enquête &amp; Comparaison avec la branche</v>
      </c>
      <c r="F287" s="328"/>
    </row>
    <row r="288" spans="1:6" x14ac:dyDescent="0.3">
      <c r="A288" s="323"/>
      <c r="C288" s="1143"/>
      <c r="D288" s="1144"/>
      <c r="E288" s="1143"/>
      <c r="F288" s="1144"/>
    </row>
    <row r="289" spans="1:6" x14ac:dyDescent="0.3">
      <c r="A289" s="323"/>
      <c r="C289" s="1143"/>
      <c r="D289" s="1144"/>
      <c r="E289" s="1143"/>
      <c r="F289" s="1144"/>
    </row>
    <row r="290" spans="1:6" x14ac:dyDescent="0.3">
      <c r="A290" s="323"/>
      <c r="C290" s="1143"/>
      <c r="D290" s="1144"/>
      <c r="E290" s="1143"/>
      <c r="F290" s="1144"/>
    </row>
    <row r="291" spans="1:6" x14ac:dyDescent="0.3">
      <c r="A291" s="323"/>
      <c r="C291" s="328"/>
      <c r="D291" s="328"/>
      <c r="E291" s="328"/>
      <c r="F291" s="328"/>
    </row>
    <row r="292" spans="1:6" ht="15.6" x14ac:dyDescent="0.3">
      <c r="A292" s="323"/>
      <c r="D292" s="324"/>
    </row>
    <row r="293" spans="1:6" ht="24" customHeight="1" x14ac:dyDescent="0.3">
      <c r="A293" s="323"/>
      <c r="C293" s="325" t="s">
        <v>778</v>
      </c>
      <c r="D293" s="326">
        <f>_o25</f>
        <v>0</v>
      </c>
      <c r="E293" s="327"/>
      <c r="F293" s="327"/>
    </row>
    <row r="294" spans="1:6" x14ac:dyDescent="0.3">
      <c r="A294" s="323"/>
    </row>
    <row r="295" spans="1:6" x14ac:dyDescent="0.3">
      <c r="A295" s="323"/>
      <c r="C295" s="328"/>
      <c r="D295" s="328" t="str">
        <f ca="1">' '!$A$448</f>
        <v>Description/Remarques</v>
      </c>
      <c r="E295" s="328"/>
      <c r="F295" s="328"/>
    </row>
    <row r="296" spans="1:6" x14ac:dyDescent="0.3">
      <c r="A296" s="323"/>
      <c r="C296" s="1142"/>
      <c r="D296" s="1142"/>
      <c r="E296" s="1142"/>
      <c r="F296" s="1142"/>
    </row>
    <row r="297" spans="1:6" x14ac:dyDescent="0.3">
      <c r="A297" s="323"/>
      <c r="C297" s="328"/>
      <c r="D297" s="328" t="str">
        <f ca="1">' '!$A$447</f>
        <v>Calcul</v>
      </c>
      <c r="E297" s="328"/>
      <c r="F297" s="328"/>
    </row>
    <row r="298" spans="1:6" x14ac:dyDescent="0.3">
      <c r="A298" s="323"/>
      <c r="C298" s="1142"/>
      <c r="D298" s="1142"/>
      <c r="E298" s="1142" t="s">
        <v>857</v>
      </c>
      <c r="F298" s="1142"/>
    </row>
    <row r="299" spans="1:6" x14ac:dyDescent="0.3">
      <c r="A299" s="323"/>
      <c r="C299" s="328"/>
      <c r="D299" s="329" t="str">
        <f ca="1">' '!$A$449</f>
        <v>Source</v>
      </c>
      <c r="E299" s="328" t="str">
        <f ca="1">' '!$A$450</f>
        <v>Moment de l'enquête &amp; Comparaison avec la branche</v>
      </c>
      <c r="F299" s="328"/>
    </row>
    <row r="300" spans="1:6" x14ac:dyDescent="0.3">
      <c r="A300" s="323"/>
      <c r="C300" s="1143"/>
      <c r="D300" s="1144"/>
      <c r="E300" s="1143"/>
      <c r="F300" s="1144"/>
    </row>
    <row r="301" spans="1:6" x14ac:dyDescent="0.3">
      <c r="A301" s="323"/>
      <c r="C301" s="1143"/>
      <c r="D301" s="1144"/>
      <c r="E301" s="1143"/>
      <c r="F301" s="1144"/>
    </row>
    <row r="302" spans="1:6" x14ac:dyDescent="0.3">
      <c r="A302" s="323"/>
      <c r="C302" s="1143"/>
      <c r="D302" s="1144"/>
      <c r="E302" s="1143"/>
      <c r="F302" s="1144"/>
    </row>
    <row r="303" spans="1:6" x14ac:dyDescent="0.3">
      <c r="A303" s="323"/>
      <c r="C303" s="328"/>
      <c r="D303" s="328"/>
      <c r="E303" s="328"/>
      <c r="F303" s="328"/>
    </row>
    <row r="304" spans="1:6" ht="15.6" x14ac:dyDescent="0.3">
      <c r="A304" s="323"/>
      <c r="D304" s="324"/>
    </row>
    <row r="305" spans="1:6" ht="24" customHeight="1" x14ac:dyDescent="0.3">
      <c r="A305" s="323"/>
      <c r="C305" s="325" t="s">
        <v>779</v>
      </c>
      <c r="D305" s="326">
        <f>_o26</f>
        <v>0</v>
      </c>
      <c r="E305" s="327"/>
      <c r="F305" s="327"/>
    </row>
    <row r="306" spans="1:6" x14ac:dyDescent="0.3">
      <c r="A306" s="323"/>
    </row>
    <row r="307" spans="1:6" x14ac:dyDescent="0.3">
      <c r="A307" s="323"/>
      <c r="C307" s="328"/>
      <c r="D307" s="328" t="str">
        <f ca="1">' '!$A$448</f>
        <v>Description/Remarques</v>
      </c>
      <c r="E307" s="328"/>
      <c r="F307" s="328"/>
    </row>
    <row r="308" spans="1:6" x14ac:dyDescent="0.3">
      <c r="A308" s="323"/>
      <c r="C308" s="1142"/>
      <c r="D308" s="1142"/>
      <c r="E308" s="1142"/>
      <c r="F308" s="1142"/>
    </row>
    <row r="309" spans="1:6" x14ac:dyDescent="0.3">
      <c r="A309" s="323"/>
      <c r="C309" s="328"/>
      <c r="D309" s="328" t="str">
        <f ca="1">' '!$A$447</f>
        <v>Calcul</v>
      </c>
      <c r="E309" s="328"/>
      <c r="F309" s="328"/>
    </row>
    <row r="310" spans="1:6" x14ac:dyDescent="0.3">
      <c r="A310" s="323"/>
      <c r="C310" s="1142"/>
      <c r="D310" s="1142"/>
      <c r="E310" s="1142" t="s">
        <v>857</v>
      </c>
      <c r="F310" s="1142"/>
    </row>
    <row r="311" spans="1:6" x14ac:dyDescent="0.3">
      <c r="A311" s="323"/>
      <c r="C311" s="328"/>
      <c r="D311" s="329" t="str">
        <f ca="1">' '!$A$449</f>
        <v>Source</v>
      </c>
      <c r="E311" s="328" t="str">
        <f ca="1">' '!$A$450</f>
        <v>Moment de l'enquête &amp; Comparaison avec la branche</v>
      </c>
      <c r="F311" s="328"/>
    </row>
    <row r="312" spans="1:6" x14ac:dyDescent="0.3">
      <c r="A312" s="323"/>
      <c r="C312" s="1143"/>
      <c r="D312" s="1144"/>
      <c r="E312" s="1143"/>
      <c r="F312" s="1144"/>
    </row>
    <row r="313" spans="1:6" x14ac:dyDescent="0.3">
      <c r="A313" s="323"/>
      <c r="C313" s="1143"/>
      <c r="D313" s="1144"/>
      <c r="E313" s="1143"/>
      <c r="F313" s="1144"/>
    </row>
    <row r="314" spans="1:6" x14ac:dyDescent="0.3">
      <c r="A314" s="323"/>
      <c r="C314" s="1143"/>
      <c r="D314" s="1144"/>
      <c r="E314" s="1143"/>
      <c r="F314" s="1144"/>
    </row>
    <row r="315" spans="1:6" x14ac:dyDescent="0.3">
      <c r="A315" s="323"/>
      <c r="C315" s="328"/>
      <c r="D315" s="328"/>
      <c r="E315" s="328"/>
      <c r="F315" s="328"/>
    </row>
    <row r="316" spans="1:6" ht="15.6" x14ac:dyDescent="0.3">
      <c r="A316" s="323"/>
      <c r="D316" s="324"/>
    </row>
    <row r="317" spans="1:6" ht="24" customHeight="1" x14ac:dyDescent="0.3">
      <c r="A317" s="323"/>
      <c r="C317" s="325" t="s">
        <v>780</v>
      </c>
      <c r="D317" s="326">
        <f>_o27</f>
        <v>0</v>
      </c>
      <c r="E317" s="327"/>
      <c r="F317" s="327"/>
    </row>
    <row r="318" spans="1:6" x14ac:dyDescent="0.3">
      <c r="A318" s="323"/>
    </row>
    <row r="319" spans="1:6" x14ac:dyDescent="0.3">
      <c r="A319" s="323"/>
      <c r="C319" s="328"/>
      <c r="D319" s="328" t="str">
        <f ca="1">' '!$A$448</f>
        <v>Description/Remarques</v>
      </c>
      <c r="E319" s="328"/>
      <c r="F319" s="328"/>
    </row>
    <row r="320" spans="1:6" x14ac:dyDescent="0.3">
      <c r="A320" s="323"/>
      <c r="C320" s="1142"/>
      <c r="D320" s="1142"/>
      <c r="E320" s="1142"/>
      <c r="F320" s="1142"/>
    </row>
    <row r="321" spans="1:6" x14ac:dyDescent="0.3">
      <c r="A321" s="323"/>
      <c r="C321" s="328"/>
      <c r="D321" s="328" t="str">
        <f ca="1">' '!$A$447</f>
        <v>Calcul</v>
      </c>
      <c r="E321" s="328"/>
      <c r="F321" s="328"/>
    </row>
    <row r="322" spans="1:6" x14ac:dyDescent="0.3">
      <c r="A322" s="323"/>
      <c r="C322" s="1142"/>
      <c r="D322" s="1142"/>
      <c r="E322" s="1142" t="s">
        <v>857</v>
      </c>
      <c r="F322" s="1142"/>
    </row>
    <row r="323" spans="1:6" x14ac:dyDescent="0.3">
      <c r="A323" s="323"/>
      <c r="C323" s="328"/>
      <c r="D323" s="329" t="str">
        <f ca="1">' '!$A$449</f>
        <v>Source</v>
      </c>
      <c r="E323" s="328" t="str">
        <f ca="1">' '!$A$450</f>
        <v>Moment de l'enquête &amp; Comparaison avec la branche</v>
      </c>
      <c r="F323" s="328"/>
    </row>
    <row r="324" spans="1:6" x14ac:dyDescent="0.3">
      <c r="A324" s="323"/>
      <c r="C324" s="1143"/>
      <c r="D324" s="1144"/>
      <c r="E324" s="1143"/>
      <c r="F324" s="1144"/>
    </row>
    <row r="325" spans="1:6" x14ac:dyDescent="0.3">
      <c r="A325" s="323"/>
      <c r="C325" s="1143"/>
      <c r="D325" s="1144"/>
      <c r="E325" s="1143"/>
      <c r="F325" s="1144"/>
    </row>
    <row r="326" spans="1:6" x14ac:dyDescent="0.3">
      <c r="A326" s="323"/>
      <c r="C326" s="1143"/>
      <c r="D326" s="1144"/>
      <c r="E326" s="1143"/>
      <c r="F326" s="1144"/>
    </row>
    <row r="327" spans="1:6" x14ac:dyDescent="0.3">
      <c r="A327" s="323"/>
      <c r="C327" s="328"/>
      <c r="D327" s="328"/>
      <c r="E327" s="328"/>
      <c r="F327" s="328"/>
    </row>
    <row r="328" spans="1:6" ht="15.6" x14ac:dyDescent="0.3">
      <c r="A328" s="323"/>
      <c r="D328" s="324"/>
    </row>
    <row r="329" spans="1:6" ht="24" customHeight="1" x14ac:dyDescent="0.3">
      <c r="A329" s="323"/>
      <c r="C329" s="325" t="s">
        <v>781</v>
      </c>
      <c r="D329" s="326">
        <f>_o28</f>
        <v>0</v>
      </c>
      <c r="E329" s="327"/>
      <c r="F329" s="327"/>
    </row>
    <row r="330" spans="1:6" x14ac:dyDescent="0.3">
      <c r="A330" s="323"/>
    </row>
    <row r="331" spans="1:6" x14ac:dyDescent="0.3">
      <c r="A331" s="323"/>
      <c r="C331" s="328"/>
      <c r="D331" s="328" t="str">
        <f ca="1">' '!$A$448</f>
        <v>Description/Remarques</v>
      </c>
      <c r="E331" s="328"/>
      <c r="F331" s="328"/>
    </row>
    <row r="332" spans="1:6" x14ac:dyDescent="0.3">
      <c r="A332" s="323"/>
      <c r="C332" s="1142"/>
      <c r="D332" s="1142"/>
      <c r="E332" s="1142"/>
      <c r="F332" s="1142"/>
    </row>
    <row r="333" spans="1:6" x14ac:dyDescent="0.3">
      <c r="A333" s="323"/>
      <c r="C333" s="328"/>
      <c r="D333" s="328" t="str">
        <f ca="1">' '!$A$447</f>
        <v>Calcul</v>
      </c>
      <c r="E333" s="328"/>
      <c r="F333" s="328"/>
    </row>
    <row r="334" spans="1:6" x14ac:dyDescent="0.3">
      <c r="A334" s="323"/>
      <c r="C334" s="1142"/>
      <c r="D334" s="1142"/>
      <c r="E334" s="1142" t="s">
        <v>857</v>
      </c>
      <c r="F334" s="1142"/>
    </row>
    <row r="335" spans="1:6" x14ac:dyDescent="0.3">
      <c r="A335" s="323"/>
      <c r="C335" s="328"/>
      <c r="D335" s="329" t="str">
        <f ca="1">' '!$A$449</f>
        <v>Source</v>
      </c>
      <c r="E335" s="328" t="str">
        <f ca="1">' '!$A$450</f>
        <v>Moment de l'enquête &amp; Comparaison avec la branche</v>
      </c>
      <c r="F335" s="328"/>
    </row>
    <row r="336" spans="1:6" x14ac:dyDescent="0.3">
      <c r="A336" s="323"/>
      <c r="C336" s="1143"/>
      <c r="D336" s="1144"/>
      <c r="E336" s="1143"/>
      <c r="F336" s="1144"/>
    </row>
    <row r="337" spans="1:6" x14ac:dyDescent="0.3">
      <c r="A337" s="323"/>
      <c r="C337" s="1143"/>
      <c r="D337" s="1144"/>
      <c r="E337" s="1143"/>
      <c r="F337" s="1144"/>
    </row>
    <row r="338" spans="1:6" x14ac:dyDescent="0.3">
      <c r="A338" s="323"/>
      <c r="C338" s="1143"/>
      <c r="D338" s="1144"/>
      <c r="E338" s="1143"/>
      <c r="F338" s="1144"/>
    </row>
    <row r="339" spans="1:6" x14ac:dyDescent="0.3">
      <c r="A339" s="323"/>
      <c r="C339" s="328"/>
      <c r="D339" s="328"/>
      <c r="E339" s="328"/>
      <c r="F339" s="328"/>
    </row>
    <row r="340" spans="1:6" ht="15.6" x14ac:dyDescent="0.3">
      <c r="A340" s="323"/>
      <c r="D340" s="324"/>
    </row>
    <row r="341" spans="1:6" ht="24" customHeight="1" x14ac:dyDescent="0.3">
      <c r="A341" s="323"/>
      <c r="C341" s="325" t="s">
        <v>782</v>
      </c>
      <c r="D341" s="326">
        <f>_o29</f>
        <v>0</v>
      </c>
      <c r="E341" s="327"/>
      <c r="F341" s="327"/>
    </row>
    <row r="342" spans="1:6" x14ac:dyDescent="0.3">
      <c r="A342" s="323"/>
    </row>
    <row r="343" spans="1:6" x14ac:dyDescent="0.3">
      <c r="A343" s="323"/>
      <c r="C343" s="328"/>
      <c r="D343" s="328" t="str">
        <f ca="1">' '!$A$448</f>
        <v>Description/Remarques</v>
      </c>
      <c r="E343" s="328"/>
      <c r="F343" s="328"/>
    </row>
    <row r="344" spans="1:6" x14ac:dyDescent="0.3">
      <c r="A344" s="323"/>
      <c r="C344" s="1142"/>
      <c r="D344" s="1142"/>
      <c r="E344" s="1142"/>
      <c r="F344" s="1142"/>
    </row>
    <row r="345" spans="1:6" x14ac:dyDescent="0.3">
      <c r="A345" s="323"/>
      <c r="C345" s="328"/>
      <c r="D345" s="328" t="str">
        <f ca="1">' '!$A$447</f>
        <v>Calcul</v>
      </c>
      <c r="E345" s="328"/>
      <c r="F345" s="328"/>
    </row>
    <row r="346" spans="1:6" x14ac:dyDescent="0.3">
      <c r="A346" s="323"/>
      <c r="C346" s="1142"/>
      <c r="D346" s="1142"/>
      <c r="E346" s="1142" t="s">
        <v>857</v>
      </c>
      <c r="F346" s="1142"/>
    </row>
    <row r="347" spans="1:6" x14ac:dyDescent="0.3">
      <c r="A347" s="323"/>
      <c r="C347" s="328"/>
      <c r="D347" s="329" t="str">
        <f ca="1">' '!$A$449</f>
        <v>Source</v>
      </c>
      <c r="E347" s="328" t="str">
        <f ca="1">' '!$A$450</f>
        <v>Moment de l'enquête &amp; Comparaison avec la branche</v>
      </c>
      <c r="F347" s="328"/>
    </row>
    <row r="348" spans="1:6" x14ac:dyDescent="0.3">
      <c r="A348" s="323"/>
      <c r="C348" s="1143"/>
      <c r="D348" s="1144"/>
      <c r="E348" s="1143"/>
      <c r="F348" s="1144"/>
    </row>
    <row r="349" spans="1:6" x14ac:dyDescent="0.3">
      <c r="A349" s="323"/>
      <c r="C349" s="1143"/>
      <c r="D349" s="1144"/>
      <c r="E349" s="1143"/>
      <c r="F349" s="1144"/>
    </row>
    <row r="350" spans="1:6" x14ac:dyDescent="0.3">
      <c r="A350" s="323"/>
      <c r="C350" s="1143"/>
      <c r="D350" s="1144"/>
      <c r="E350" s="1143"/>
      <c r="F350" s="1144"/>
    </row>
    <row r="351" spans="1:6" x14ac:dyDescent="0.3">
      <c r="A351" s="323"/>
      <c r="C351" s="328"/>
      <c r="D351" s="328"/>
      <c r="E351" s="328"/>
      <c r="F351" s="328"/>
    </row>
    <row r="352" spans="1:6" ht="15.6" x14ac:dyDescent="0.3">
      <c r="A352" s="323"/>
      <c r="D352" s="324"/>
    </row>
    <row r="353" spans="1:6" ht="24" customHeight="1" x14ac:dyDescent="0.3">
      <c r="A353" s="323"/>
      <c r="C353" s="325" t="s">
        <v>783</v>
      </c>
      <c r="D353" s="326">
        <f>_o30</f>
        <v>0</v>
      </c>
      <c r="E353" s="327"/>
      <c r="F353" s="327"/>
    </row>
    <row r="354" spans="1:6" x14ac:dyDescent="0.3">
      <c r="A354" s="323"/>
    </row>
    <row r="355" spans="1:6" x14ac:dyDescent="0.3">
      <c r="A355" s="323"/>
      <c r="C355" s="328"/>
      <c r="D355" s="328" t="str">
        <f ca="1">' '!$A$448</f>
        <v>Description/Remarques</v>
      </c>
      <c r="E355" s="328"/>
      <c r="F355" s="328"/>
    </row>
    <row r="356" spans="1:6" x14ac:dyDescent="0.3">
      <c r="A356" s="323"/>
      <c r="C356" s="1142"/>
      <c r="D356" s="1142"/>
      <c r="E356" s="1142"/>
      <c r="F356" s="1142"/>
    </row>
    <row r="357" spans="1:6" x14ac:dyDescent="0.3">
      <c r="A357" s="323"/>
      <c r="C357" s="328"/>
      <c r="D357" s="328" t="str">
        <f ca="1">' '!$A$447</f>
        <v>Calcul</v>
      </c>
      <c r="E357" s="328"/>
      <c r="F357" s="328"/>
    </row>
    <row r="358" spans="1:6" x14ac:dyDescent="0.3">
      <c r="A358" s="323"/>
      <c r="C358" s="1142"/>
      <c r="D358" s="1142"/>
      <c r="E358" s="1142" t="s">
        <v>857</v>
      </c>
      <c r="F358" s="1142"/>
    </row>
    <row r="359" spans="1:6" x14ac:dyDescent="0.3">
      <c r="A359" s="323"/>
      <c r="C359" s="328"/>
      <c r="D359" s="329" t="str">
        <f ca="1">' '!$A$449</f>
        <v>Source</v>
      </c>
      <c r="E359" s="328" t="str">
        <f ca="1">' '!$A$450</f>
        <v>Moment de l'enquête &amp; Comparaison avec la branche</v>
      </c>
      <c r="F359" s="328"/>
    </row>
    <row r="360" spans="1:6" x14ac:dyDescent="0.3">
      <c r="A360" s="323"/>
      <c r="C360" s="1143"/>
      <c r="D360" s="1144"/>
      <c r="E360" s="1143"/>
      <c r="F360" s="1144"/>
    </row>
    <row r="361" spans="1:6" x14ac:dyDescent="0.3">
      <c r="A361" s="323"/>
      <c r="C361" s="1143"/>
      <c r="D361" s="1144"/>
      <c r="E361" s="1143"/>
      <c r="F361" s="1144"/>
    </row>
    <row r="362" spans="1:6" x14ac:dyDescent="0.3">
      <c r="A362" s="323"/>
      <c r="C362" s="1143"/>
      <c r="D362" s="1144"/>
      <c r="E362" s="1143"/>
      <c r="F362" s="1144"/>
    </row>
    <row r="363" spans="1:6" x14ac:dyDescent="0.3">
      <c r="A363" s="323"/>
      <c r="C363" s="328"/>
      <c r="D363" s="328"/>
      <c r="E363" s="328"/>
      <c r="F363" s="328"/>
    </row>
    <row r="364" spans="1:6" ht="15.6" x14ac:dyDescent="0.3">
      <c r="A364" s="323"/>
      <c r="D364" s="324"/>
    </row>
    <row r="365" spans="1:6" ht="24" customHeight="1" x14ac:dyDescent="0.3">
      <c r="A365" s="323"/>
      <c r="C365" s="325" t="s">
        <v>784</v>
      </c>
      <c r="D365" s="326">
        <f>_o31</f>
        <v>0</v>
      </c>
      <c r="E365" s="327"/>
      <c r="F365" s="327"/>
    </row>
    <row r="366" spans="1:6" x14ac:dyDescent="0.3">
      <c r="A366" s="323"/>
    </row>
    <row r="367" spans="1:6" x14ac:dyDescent="0.3">
      <c r="A367" s="323"/>
      <c r="C367" s="328"/>
      <c r="D367" s="328" t="str">
        <f ca="1">' '!$A$448</f>
        <v>Description/Remarques</v>
      </c>
      <c r="E367" s="328"/>
      <c r="F367" s="328"/>
    </row>
    <row r="368" spans="1:6" x14ac:dyDescent="0.3">
      <c r="A368" s="323"/>
      <c r="C368" s="1142"/>
      <c r="D368" s="1142"/>
      <c r="E368" s="1142"/>
      <c r="F368" s="1142"/>
    </row>
    <row r="369" spans="1:6" x14ac:dyDescent="0.3">
      <c r="A369" s="323"/>
      <c r="C369" s="328"/>
      <c r="D369" s="328" t="str">
        <f ca="1">' '!$A$447</f>
        <v>Calcul</v>
      </c>
      <c r="E369" s="328"/>
      <c r="F369" s="328"/>
    </row>
    <row r="370" spans="1:6" x14ac:dyDescent="0.3">
      <c r="A370" s="323"/>
      <c r="C370" s="1142"/>
      <c r="D370" s="1142"/>
      <c r="E370" s="1142" t="s">
        <v>857</v>
      </c>
      <c r="F370" s="1142"/>
    </row>
    <row r="371" spans="1:6" x14ac:dyDescent="0.3">
      <c r="A371" s="323"/>
      <c r="C371" s="328"/>
      <c r="D371" s="329" t="str">
        <f ca="1">' '!$A$449</f>
        <v>Source</v>
      </c>
      <c r="E371" s="328" t="str">
        <f ca="1">' '!$A$450</f>
        <v>Moment de l'enquête &amp; Comparaison avec la branche</v>
      </c>
      <c r="F371" s="328"/>
    </row>
    <row r="372" spans="1:6" x14ac:dyDescent="0.3">
      <c r="A372" s="323"/>
      <c r="C372" s="1143"/>
      <c r="D372" s="1144"/>
      <c r="E372" s="1143"/>
      <c r="F372" s="1144"/>
    </row>
    <row r="373" spans="1:6" x14ac:dyDescent="0.3">
      <c r="A373" s="323"/>
      <c r="C373" s="1143"/>
      <c r="D373" s="1144"/>
      <c r="E373" s="1143"/>
      <c r="F373" s="1144"/>
    </row>
    <row r="374" spans="1:6" x14ac:dyDescent="0.3">
      <c r="A374" s="323"/>
      <c r="C374" s="1143"/>
      <c r="D374" s="1144"/>
      <c r="E374" s="1143"/>
      <c r="F374" s="1144"/>
    </row>
    <row r="375" spans="1:6" x14ac:dyDescent="0.3">
      <c r="A375" s="323"/>
      <c r="C375" s="328"/>
      <c r="D375" s="328"/>
      <c r="E375" s="328"/>
      <c r="F375" s="328"/>
    </row>
    <row r="376" spans="1:6" ht="15.6" x14ac:dyDescent="0.3">
      <c r="A376" s="323"/>
      <c r="D376" s="324"/>
    </row>
    <row r="377" spans="1:6" ht="24" customHeight="1" x14ac:dyDescent="0.3">
      <c r="A377" s="323"/>
      <c r="C377" s="325" t="s">
        <v>785</v>
      </c>
      <c r="D377" s="326">
        <f>_o32</f>
        <v>0</v>
      </c>
      <c r="E377" s="327"/>
      <c r="F377" s="327"/>
    </row>
    <row r="378" spans="1:6" x14ac:dyDescent="0.3">
      <c r="A378" s="323"/>
    </row>
    <row r="379" spans="1:6" x14ac:dyDescent="0.3">
      <c r="A379" s="323"/>
      <c r="C379" s="328"/>
      <c r="D379" s="328" t="str">
        <f ca="1">' '!$A$448</f>
        <v>Description/Remarques</v>
      </c>
      <c r="E379" s="328"/>
      <c r="F379" s="328"/>
    </row>
    <row r="380" spans="1:6" x14ac:dyDescent="0.3">
      <c r="A380" s="323"/>
      <c r="C380" s="1142"/>
      <c r="D380" s="1142"/>
      <c r="E380" s="1142"/>
      <c r="F380" s="1142"/>
    </row>
    <row r="381" spans="1:6" x14ac:dyDescent="0.3">
      <c r="A381" s="323"/>
      <c r="C381" s="328"/>
      <c r="D381" s="328" t="str">
        <f ca="1">' '!$A$447</f>
        <v>Calcul</v>
      </c>
      <c r="E381" s="328"/>
      <c r="F381" s="328"/>
    </row>
    <row r="382" spans="1:6" x14ac:dyDescent="0.3">
      <c r="A382" s="323"/>
      <c r="C382" s="1142"/>
      <c r="D382" s="1142"/>
      <c r="E382" s="1142" t="s">
        <v>857</v>
      </c>
      <c r="F382" s="1142"/>
    </row>
    <row r="383" spans="1:6" x14ac:dyDescent="0.3">
      <c r="A383" s="323"/>
      <c r="C383" s="328"/>
      <c r="D383" s="329" t="str">
        <f ca="1">' '!$A$449</f>
        <v>Source</v>
      </c>
      <c r="E383" s="328" t="str">
        <f ca="1">' '!$A$450</f>
        <v>Moment de l'enquête &amp; Comparaison avec la branche</v>
      </c>
      <c r="F383" s="328"/>
    </row>
    <row r="384" spans="1:6" x14ac:dyDescent="0.3">
      <c r="A384" s="323"/>
      <c r="C384" s="1143"/>
      <c r="D384" s="1144"/>
      <c r="E384" s="1143"/>
      <c r="F384" s="1144"/>
    </row>
    <row r="385" spans="1:6" x14ac:dyDescent="0.3">
      <c r="A385" s="323"/>
      <c r="C385" s="1143"/>
      <c r="D385" s="1144"/>
      <c r="E385" s="1143"/>
      <c r="F385" s="1144"/>
    </row>
    <row r="386" spans="1:6" x14ac:dyDescent="0.3">
      <c r="A386" s="323"/>
      <c r="C386" s="1143"/>
      <c r="D386" s="1144"/>
      <c r="E386" s="1143"/>
      <c r="F386" s="1144"/>
    </row>
    <row r="387" spans="1:6" x14ac:dyDescent="0.3">
      <c r="A387" s="323"/>
      <c r="C387" s="328"/>
      <c r="D387" s="328"/>
      <c r="E387" s="328"/>
      <c r="F387" s="328"/>
    </row>
    <row r="388" spans="1:6" ht="15.6" x14ac:dyDescent="0.3">
      <c r="A388" s="323"/>
      <c r="D388" s="324"/>
    </row>
    <row r="389" spans="1:6" ht="24" customHeight="1" x14ac:dyDescent="0.3">
      <c r="A389" s="323"/>
      <c r="C389" s="325" t="s">
        <v>786</v>
      </c>
      <c r="D389" s="326">
        <f>_o33</f>
        <v>0</v>
      </c>
      <c r="E389" s="327"/>
      <c r="F389" s="327"/>
    </row>
    <row r="390" spans="1:6" x14ac:dyDescent="0.3">
      <c r="A390" s="323"/>
    </row>
    <row r="391" spans="1:6" x14ac:dyDescent="0.3">
      <c r="A391" s="323"/>
      <c r="C391" s="328"/>
      <c r="D391" s="328" t="str">
        <f ca="1">' '!$A$448</f>
        <v>Description/Remarques</v>
      </c>
      <c r="E391" s="328"/>
      <c r="F391" s="328"/>
    </row>
    <row r="392" spans="1:6" x14ac:dyDescent="0.3">
      <c r="A392" s="323"/>
      <c r="C392" s="1142"/>
      <c r="D392" s="1142"/>
      <c r="E392" s="1142"/>
      <c r="F392" s="1142"/>
    </row>
    <row r="393" spans="1:6" x14ac:dyDescent="0.3">
      <c r="A393" s="323"/>
      <c r="C393" s="328"/>
      <c r="D393" s="328" t="str">
        <f ca="1">' '!$A$447</f>
        <v>Calcul</v>
      </c>
      <c r="E393" s="328"/>
      <c r="F393" s="328"/>
    </row>
    <row r="394" spans="1:6" x14ac:dyDescent="0.3">
      <c r="A394" s="323"/>
      <c r="C394" s="1142"/>
      <c r="D394" s="1142"/>
      <c r="E394" s="1142" t="s">
        <v>857</v>
      </c>
      <c r="F394" s="1142"/>
    </row>
    <row r="395" spans="1:6" x14ac:dyDescent="0.3">
      <c r="A395" s="323"/>
      <c r="C395" s="328"/>
      <c r="D395" s="329" t="str">
        <f ca="1">' '!$A$449</f>
        <v>Source</v>
      </c>
      <c r="E395" s="328" t="str">
        <f ca="1">' '!$A$450</f>
        <v>Moment de l'enquête &amp; Comparaison avec la branche</v>
      </c>
      <c r="F395" s="328"/>
    </row>
    <row r="396" spans="1:6" x14ac:dyDescent="0.3">
      <c r="A396" s="323"/>
      <c r="C396" s="1143"/>
      <c r="D396" s="1144"/>
      <c r="E396" s="1143"/>
      <c r="F396" s="1144"/>
    </row>
    <row r="397" spans="1:6" x14ac:dyDescent="0.3">
      <c r="A397" s="323"/>
      <c r="C397" s="1143"/>
      <c r="D397" s="1144"/>
      <c r="E397" s="1143"/>
      <c r="F397" s="1144"/>
    </row>
    <row r="398" spans="1:6" x14ac:dyDescent="0.3">
      <c r="A398" s="323"/>
      <c r="C398" s="1143"/>
      <c r="D398" s="1144"/>
      <c r="E398" s="1143"/>
      <c r="F398" s="1144"/>
    </row>
    <row r="399" spans="1:6" x14ac:dyDescent="0.3">
      <c r="A399" s="323"/>
      <c r="C399" s="328"/>
      <c r="D399" s="328"/>
      <c r="E399" s="328"/>
      <c r="F399" s="328"/>
    </row>
    <row r="400" spans="1:6" ht="15.6" x14ac:dyDescent="0.3">
      <c r="A400" s="323"/>
      <c r="D400" s="324"/>
    </row>
    <row r="401" spans="1:6" ht="24" customHeight="1" x14ac:dyDescent="0.3">
      <c r="A401" s="323"/>
      <c r="C401" s="325" t="s">
        <v>787</v>
      </c>
      <c r="D401" s="326">
        <f>_o34</f>
        <v>0</v>
      </c>
      <c r="E401" s="327"/>
      <c r="F401" s="327"/>
    </row>
    <row r="402" spans="1:6" x14ac:dyDescent="0.3">
      <c r="A402" s="323"/>
    </row>
    <row r="403" spans="1:6" x14ac:dyDescent="0.3">
      <c r="A403" s="323"/>
      <c r="C403" s="328"/>
      <c r="D403" s="328" t="str">
        <f ca="1">' '!$A$448</f>
        <v>Description/Remarques</v>
      </c>
      <c r="E403" s="328"/>
      <c r="F403" s="328"/>
    </row>
    <row r="404" spans="1:6" x14ac:dyDescent="0.3">
      <c r="A404" s="323"/>
      <c r="C404" s="1142"/>
      <c r="D404" s="1142"/>
      <c r="E404" s="1142"/>
      <c r="F404" s="1142"/>
    </row>
    <row r="405" spans="1:6" x14ac:dyDescent="0.3">
      <c r="A405" s="323"/>
      <c r="C405" s="328"/>
      <c r="D405" s="328" t="str">
        <f ca="1">' '!$A$447</f>
        <v>Calcul</v>
      </c>
      <c r="E405" s="328"/>
      <c r="F405" s="328"/>
    </row>
    <row r="406" spans="1:6" x14ac:dyDescent="0.3">
      <c r="A406" s="323"/>
      <c r="C406" s="1142"/>
      <c r="D406" s="1142"/>
      <c r="E406" s="1142" t="s">
        <v>857</v>
      </c>
      <c r="F406" s="1142"/>
    </row>
    <row r="407" spans="1:6" x14ac:dyDescent="0.3">
      <c r="A407" s="323"/>
      <c r="C407" s="328"/>
      <c r="D407" s="329" t="str">
        <f ca="1">' '!$A$449</f>
        <v>Source</v>
      </c>
      <c r="E407" s="328" t="str">
        <f ca="1">' '!$A$450</f>
        <v>Moment de l'enquête &amp; Comparaison avec la branche</v>
      </c>
      <c r="F407" s="328"/>
    </row>
    <row r="408" spans="1:6" x14ac:dyDescent="0.3">
      <c r="A408" s="323"/>
      <c r="C408" s="1143"/>
      <c r="D408" s="1144"/>
      <c r="E408" s="1143"/>
      <c r="F408" s="1144"/>
    </row>
    <row r="409" spans="1:6" x14ac:dyDescent="0.3">
      <c r="A409" s="323"/>
      <c r="C409" s="1143"/>
      <c r="D409" s="1144"/>
      <c r="E409" s="1143"/>
      <c r="F409" s="1144"/>
    </row>
    <row r="410" spans="1:6" x14ac:dyDescent="0.3">
      <c r="A410" s="323"/>
      <c r="C410" s="1143"/>
      <c r="D410" s="1144"/>
      <c r="E410" s="1143"/>
      <c r="F410" s="1144"/>
    </row>
    <row r="411" spans="1:6" x14ac:dyDescent="0.3">
      <c r="A411" s="323"/>
      <c r="C411" s="328"/>
      <c r="D411" s="328"/>
      <c r="E411" s="328"/>
      <c r="F411" s="328"/>
    </row>
    <row r="412" spans="1:6" ht="15.6" x14ac:dyDescent="0.3">
      <c r="A412" s="323"/>
      <c r="D412" s="324"/>
    </row>
    <row r="413" spans="1:6" ht="24" customHeight="1" x14ac:dyDescent="0.3">
      <c r="A413" s="323"/>
      <c r="C413" s="325" t="s">
        <v>788</v>
      </c>
      <c r="D413" s="326">
        <f>_o35</f>
        <v>0</v>
      </c>
      <c r="E413" s="327"/>
      <c r="F413" s="327"/>
    </row>
    <row r="414" spans="1:6" x14ac:dyDescent="0.3">
      <c r="A414" s="323"/>
    </row>
    <row r="415" spans="1:6" x14ac:dyDescent="0.3">
      <c r="A415" s="323"/>
      <c r="C415" s="328"/>
      <c r="D415" s="328" t="str">
        <f ca="1">' '!$A$448</f>
        <v>Description/Remarques</v>
      </c>
      <c r="E415" s="328"/>
      <c r="F415" s="328"/>
    </row>
    <row r="416" spans="1:6" x14ac:dyDescent="0.3">
      <c r="A416" s="323"/>
      <c r="C416" s="1142"/>
      <c r="D416" s="1142"/>
      <c r="E416" s="1142"/>
      <c r="F416" s="1142"/>
    </row>
    <row r="417" spans="1:6" x14ac:dyDescent="0.3">
      <c r="A417" s="323"/>
      <c r="C417" s="328"/>
      <c r="D417" s="328" t="str">
        <f ca="1">' '!$A$447</f>
        <v>Calcul</v>
      </c>
      <c r="E417" s="328"/>
      <c r="F417" s="328"/>
    </row>
    <row r="418" spans="1:6" x14ac:dyDescent="0.3">
      <c r="A418" s="323"/>
      <c r="C418" s="1142"/>
      <c r="D418" s="1142"/>
      <c r="E418" s="1142" t="s">
        <v>857</v>
      </c>
      <c r="F418" s="1142"/>
    </row>
    <row r="419" spans="1:6" x14ac:dyDescent="0.3">
      <c r="A419" s="323"/>
      <c r="C419" s="328"/>
      <c r="D419" s="329" t="str">
        <f ca="1">' '!$A$449</f>
        <v>Source</v>
      </c>
      <c r="E419" s="328" t="str">
        <f ca="1">' '!$A$450</f>
        <v>Moment de l'enquête &amp; Comparaison avec la branche</v>
      </c>
      <c r="F419" s="328"/>
    </row>
    <row r="420" spans="1:6" x14ac:dyDescent="0.3">
      <c r="A420" s="323"/>
      <c r="C420" s="1143"/>
      <c r="D420" s="1144"/>
      <c r="E420" s="1143"/>
      <c r="F420" s="1144"/>
    </row>
    <row r="421" spans="1:6" x14ac:dyDescent="0.3">
      <c r="A421" s="323"/>
      <c r="C421" s="1143"/>
      <c r="D421" s="1144"/>
      <c r="E421" s="1143"/>
      <c r="F421" s="1144"/>
    </row>
    <row r="422" spans="1:6" x14ac:dyDescent="0.3">
      <c r="A422" s="323"/>
      <c r="C422" s="1143"/>
      <c r="D422" s="1144"/>
      <c r="E422" s="1143"/>
      <c r="F422" s="1144"/>
    </row>
    <row r="423" spans="1:6" x14ac:dyDescent="0.3">
      <c r="A423" s="323"/>
      <c r="C423" s="328"/>
      <c r="D423" s="328"/>
      <c r="E423" s="328"/>
      <c r="F423" s="328"/>
    </row>
    <row r="424" spans="1:6" ht="15.6" x14ac:dyDescent="0.3">
      <c r="A424" s="323"/>
      <c r="D424" s="324"/>
    </row>
    <row r="425" spans="1:6" ht="24" customHeight="1" x14ac:dyDescent="0.3">
      <c r="A425" s="323"/>
      <c r="C425" s="325" t="s">
        <v>789</v>
      </c>
      <c r="D425" s="326">
        <f>_o36</f>
        <v>0</v>
      </c>
      <c r="E425" s="327"/>
      <c r="F425" s="327"/>
    </row>
    <row r="426" spans="1:6" x14ac:dyDescent="0.3">
      <c r="A426" s="323"/>
    </row>
    <row r="427" spans="1:6" x14ac:dyDescent="0.3">
      <c r="A427" s="323"/>
      <c r="C427" s="328"/>
      <c r="D427" s="328" t="str">
        <f ca="1">' '!$A$448</f>
        <v>Description/Remarques</v>
      </c>
      <c r="E427" s="328"/>
      <c r="F427" s="328"/>
    </row>
    <row r="428" spans="1:6" x14ac:dyDescent="0.3">
      <c r="A428" s="323"/>
      <c r="C428" s="1142"/>
      <c r="D428" s="1142"/>
      <c r="E428" s="1142"/>
      <c r="F428" s="1142"/>
    </row>
    <row r="429" spans="1:6" x14ac:dyDescent="0.3">
      <c r="A429" s="323"/>
      <c r="C429" s="328"/>
      <c r="D429" s="328" t="str">
        <f ca="1">' '!$A$447</f>
        <v>Calcul</v>
      </c>
      <c r="E429" s="328"/>
      <c r="F429" s="328"/>
    </row>
    <row r="430" spans="1:6" x14ac:dyDescent="0.3">
      <c r="A430" s="323"/>
      <c r="C430" s="1142"/>
      <c r="D430" s="1142"/>
      <c r="E430" s="1142" t="s">
        <v>857</v>
      </c>
      <c r="F430" s="1142"/>
    </row>
    <row r="431" spans="1:6" x14ac:dyDescent="0.3">
      <c r="A431" s="323"/>
      <c r="C431" s="328"/>
      <c r="D431" s="329" t="str">
        <f ca="1">' '!$A$449</f>
        <v>Source</v>
      </c>
      <c r="E431" s="328" t="str">
        <f ca="1">' '!$A$450</f>
        <v>Moment de l'enquête &amp; Comparaison avec la branche</v>
      </c>
      <c r="F431" s="328"/>
    </row>
    <row r="432" spans="1:6" x14ac:dyDescent="0.3">
      <c r="A432" s="323"/>
      <c r="C432" s="1143"/>
      <c r="D432" s="1144"/>
      <c r="E432" s="1143"/>
      <c r="F432" s="1144"/>
    </row>
    <row r="433" spans="1:6" x14ac:dyDescent="0.3">
      <c r="A433" s="323"/>
      <c r="C433" s="1143"/>
      <c r="D433" s="1144"/>
      <c r="E433" s="1143"/>
      <c r="F433" s="1144"/>
    </row>
    <row r="434" spans="1:6" x14ac:dyDescent="0.3">
      <c r="A434" s="323"/>
      <c r="C434" s="1143"/>
      <c r="D434" s="1144"/>
      <c r="E434" s="1143"/>
      <c r="F434" s="1144"/>
    </row>
    <row r="435" spans="1:6" x14ac:dyDescent="0.3">
      <c r="A435" s="323"/>
      <c r="C435" s="328"/>
      <c r="D435" s="328"/>
      <c r="E435" s="328"/>
      <c r="F435" s="328"/>
    </row>
    <row r="436" spans="1:6" ht="15.6" x14ac:dyDescent="0.3">
      <c r="A436" s="323"/>
      <c r="D436" s="324"/>
    </row>
    <row r="437" spans="1:6" ht="24" customHeight="1" x14ac:dyDescent="0.3">
      <c r="A437" s="323"/>
      <c r="C437" s="325" t="s">
        <v>791</v>
      </c>
      <c r="D437" s="326">
        <f>_o37</f>
        <v>0</v>
      </c>
      <c r="E437" s="327"/>
      <c r="F437" s="327"/>
    </row>
    <row r="438" spans="1:6" x14ac:dyDescent="0.3">
      <c r="A438" s="323"/>
    </row>
    <row r="439" spans="1:6" x14ac:dyDescent="0.3">
      <c r="A439" s="323"/>
      <c r="C439" s="328"/>
      <c r="D439" s="328" t="str">
        <f ca="1">' '!$A$448</f>
        <v>Description/Remarques</v>
      </c>
      <c r="E439" s="328"/>
      <c r="F439" s="328"/>
    </row>
    <row r="440" spans="1:6" x14ac:dyDescent="0.3">
      <c r="A440" s="323"/>
      <c r="C440" s="1142"/>
      <c r="D440" s="1142"/>
      <c r="E440" s="1142"/>
      <c r="F440" s="1142"/>
    </row>
    <row r="441" spans="1:6" x14ac:dyDescent="0.3">
      <c r="A441" s="323"/>
      <c r="C441" s="328"/>
      <c r="D441" s="328" t="str">
        <f ca="1">' '!$A$447</f>
        <v>Calcul</v>
      </c>
      <c r="E441" s="328"/>
      <c r="F441" s="328"/>
    </row>
    <row r="442" spans="1:6" x14ac:dyDescent="0.3">
      <c r="A442" s="323"/>
      <c r="C442" s="1142"/>
      <c r="D442" s="1142"/>
      <c r="E442" s="1142"/>
      <c r="F442" s="1142"/>
    </row>
    <row r="443" spans="1:6" x14ac:dyDescent="0.3">
      <c r="A443" s="323"/>
      <c r="C443" s="328"/>
      <c r="D443" s="329" t="str">
        <f ca="1">' '!$A$449</f>
        <v>Source</v>
      </c>
      <c r="E443" s="328" t="str">
        <f ca="1">' '!$A$450</f>
        <v>Moment de l'enquête &amp; Comparaison avec la branche</v>
      </c>
      <c r="F443" s="328"/>
    </row>
    <row r="444" spans="1:6" x14ac:dyDescent="0.3">
      <c r="A444" s="323"/>
      <c r="C444" s="1143"/>
      <c r="D444" s="1144"/>
      <c r="E444" s="1143"/>
      <c r="F444" s="1144"/>
    </row>
    <row r="445" spans="1:6" x14ac:dyDescent="0.3">
      <c r="A445" s="323"/>
      <c r="C445" s="1143"/>
      <c r="D445" s="1144"/>
      <c r="E445" s="1143"/>
      <c r="F445" s="1144"/>
    </row>
    <row r="446" spans="1:6" x14ac:dyDescent="0.3">
      <c r="A446" s="323"/>
      <c r="C446" s="1143"/>
      <c r="D446" s="1144"/>
      <c r="E446" s="1143"/>
      <c r="F446" s="1144"/>
    </row>
    <row r="447" spans="1:6" x14ac:dyDescent="0.3">
      <c r="A447" s="323"/>
      <c r="C447" s="328"/>
      <c r="D447" s="328"/>
      <c r="E447" s="328"/>
      <c r="F447" s="328"/>
    </row>
    <row r="448" spans="1:6" ht="15.6" x14ac:dyDescent="0.3">
      <c r="A448" s="323"/>
      <c r="D448" s="324"/>
    </row>
    <row r="449" spans="1:6" ht="24" customHeight="1" x14ac:dyDescent="0.3">
      <c r="A449" s="323"/>
      <c r="C449" s="325" t="s">
        <v>792</v>
      </c>
      <c r="D449" s="326">
        <f>_o38</f>
        <v>0</v>
      </c>
      <c r="E449" s="327"/>
      <c r="F449" s="327"/>
    </row>
    <row r="450" spans="1:6" x14ac:dyDescent="0.3">
      <c r="A450" s="323"/>
    </row>
    <row r="451" spans="1:6" x14ac:dyDescent="0.3">
      <c r="A451" s="323"/>
      <c r="C451" s="328"/>
      <c r="D451" s="328" t="str">
        <f ca="1">' '!$A$448</f>
        <v>Description/Remarques</v>
      </c>
      <c r="E451" s="328"/>
      <c r="F451" s="328"/>
    </row>
    <row r="452" spans="1:6" x14ac:dyDescent="0.3">
      <c r="A452" s="323"/>
      <c r="C452" s="1142"/>
      <c r="D452" s="1142"/>
      <c r="E452" s="1142"/>
      <c r="F452" s="1142"/>
    </row>
    <row r="453" spans="1:6" x14ac:dyDescent="0.3">
      <c r="A453" s="323"/>
      <c r="C453" s="328"/>
      <c r="D453" s="328" t="str">
        <f ca="1">' '!$A$447</f>
        <v>Calcul</v>
      </c>
      <c r="E453" s="328"/>
      <c r="F453" s="328"/>
    </row>
    <row r="454" spans="1:6" x14ac:dyDescent="0.3">
      <c r="A454" s="323"/>
      <c r="C454" s="1142"/>
      <c r="D454" s="1142"/>
      <c r="E454" s="1142" t="s">
        <v>857</v>
      </c>
      <c r="F454" s="1142"/>
    </row>
    <row r="455" spans="1:6" x14ac:dyDescent="0.3">
      <c r="A455" s="323"/>
      <c r="C455" s="328"/>
      <c r="D455" s="329" t="str">
        <f ca="1">' '!$A$449</f>
        <v>Source</v>
      </c>
      <c r="E455" s="328" t="str">
        <f ca="1">' '!$A$450</f>
        <v>Moment de l'enquête &amp; Comparaison avec la branche</v>
      </c>
      <c r="F455" s="328"/>
    </row>
    <row r="456" spans="1:6" x14ac:dyDescent="0.3">
      <c r="A456" s="323"/>
      <c r="C456" s="1143"/>
      <c r="D456" s="1144"/>
      <c r="E456" s="1143"/>
      <c r="F456" s="1144"/>
    </row>
    <row r="457" spans="1:6" x14ac:dyDescent="0.3">
      <c r="A457" s="323"/>
      <c r="C457" s="1143"/>
      <c r="D457" s="1144"/>
      <c r="E457" s="1143"/>
      <c r="F457" s="1144"/>
    </row>
    <row r="458" spans="1:6" x14ac:dyDescent="0.3">
      <c r="A458" s="323"/>
      <c r="C458" s="1143"/>
      <c r="D458" s="1144"/>
      <c r="E458" s="1143"/>
      <c r="F458" s="1144"/>
    </row>
    <row r="459" spans="1:6" x14ac:dyDescent="0.3">
      <c r="A459" s="323"/>
      <c r="C459" s="328"/>
      <c r="D459" s="328"/>
      <c r="E459" s="328"/>
      <c r="F459" s="328"/>
    </row>
    <row r="460" spans="1:6" ht="15.6" x14ac:dyDescent="0.3">
      <c r="A460" s="323"/>
      <c r="D460" s="324"/>
    </row>
    <row r="461" spans="1:6" ht="24" customHeight="1" x14ac:dyDescent="0.3">
      <c r="A461" s="323"/>
      <c r="C461" s="325" t="s">
        <v>794</v>
      </c>
      <c r="D461" s="326">
        <f>_o39</f>
        <v>0</v>
      </c>
      <c r="E461" s="327"/>
      <c r="F461" s="327"/>
    </row>
    <row r="462" spans="1:6" x14ac:dyDescent="0.3">
      <c r="A462" s="323"/>
    </row>
    <row r="463" spans="1:6" x14ac:dyDescent="0.3">
      <c r="A463" s="323"/>
      <c r="C463" s="328"/>
      <c r="D463" s="328" t="str">
        <f ca="1">' '!$A$448</f>
        <v>Description/Remarques</v>
      </c>
      <c r="E463" s="328"/>
      <c r="F463" s="328"/>
    </row>
    <row r="464" spans="1:6" x14ac:dyDescent="0.3">
      <c r="A464" s="323"/>
      <c r="C464" s="1142"/>
      <c r="D464" s="1142"/>
      <c r="E464" s="1142"/>
      <c r="F464" s="1142"/>
    </row>
    <row r="465" spans="1:6" x14ac:dyDescent="0.3">
      <c r="A465" s="323"/>
      <c r="C465" s="328"/>
      <c r="D465" s="328" t="str">
        <f ca="1">' '!$A$447</f>
        <v>Calcul</v>
      </c>
      <c r="E465" s="328"/>
      <c r="F465" s="328"/>
    </row>
    <row r="466" spans="1:6" x14ac:dyDescent="0.3">
      <c r="A466" s="323"/>
      <c r="C466" s="1142"/>
      <c r="D466" s="1142"/>
      <c r="E466" s="1142" t="s">
        <v>857</v>
      </c>
      <c r="F466" s="1142"/>
    </row>
    <row r="467" spans="1:6" x14ac:dyDescent="0.3">
      <c r="A467" s="323"/>
      <c r="C467" s="328"/>
      <c r="D467" s="329" t="str">
        <f ca="1">' '!$A$449</f>
        <v>Source</v>
      </c>
      <c r="E467" s="328" t="str">
        <f ca="1">' '!$A$450</f>
        <v>Moment de l'enquête &amp; Comparaison avec la branche</v>
      </c>
      <c r="F467" s="328"/>
    </row>
    <row r="468" spans="1:6" x14ac:dyDescent="0.3">
      <c r="A468" s="323"/>
      <c r="C468" s="1143"/>
      <c r="D468" s="1144"/>
      <c r="E468" s="1143"/>
      <c r="F468" s="1144"/>
    </row>
    <row r="469" spans="1:6" x14ac:dyDescent="0.3">
      <c r="A469" s="323"/>
      <c r="C469" s="1143"/>
      <c r="D469" s="1144"/>
      <c r="E469" s="1143"/>
      <c r="F469" s="1144"/>
    </row>
    <row r="470" spans="1:6" x14ac:dyDescent="0.3">
      <c r="A470" s="323"/>
      <c r="C470" s="1143"/>
      <c r="D470" s="1144"/>
      <c r="E470" s="1143"/>
      <c r="F470" s="1144"/>
    </row>
    <row r="471" spans="1:6" x14ac:dyDescent="0.3">
      <c r="A471" s="323"/>
      <c r="C471" s="328"/>
      <c r="D471" s="328"/>
      <c r="E471" s="328"/>
      <c r="F471" s="328"/>
    </row>
    <row r="472" spans="1:6" ht="15.6" x14ac:dyDescent="0.3">
      <c r="A472" s="323"/>
      <c r="D472" s="324"/>
    </row>
    <row r="473" spans="1:6" ht="24" customHeight="1" x14ac:dyDescent="0.3">
      <c r="A473" s="323"/>
      <c r="C473" s="325" t="s">
        <v>795</v>
      </c>
      <c r="D473" s="326">
        <f>_o40</f>
        <v>0</v>
      </c>
      <c r="E473" s="327"/>
      <c r="F473" s="327"/>
    </row>
    <row r="474" spans="1:6" x14ac:dyDescent="0.3">
      <c r="A474" s="323"/>
    </row>
    <row r="475" spans="1:6" x14ac:dyDescent="0.3">
      <c r="A475" s="323"/>
      <c r="C475" s="328"/>
      <c r="D475" s="328" t="str">
        <f ca="1">' '!$A$448</f>
        <v>Description/Remarques</v>
      </c>
      <c r="E475" s="328"/>
      <c r="F475" s="328"/>
    </row>
    <row r="476" spans="1:6" x14ac:dyDescent="0.3">
      <c r="A476" s="323"/>
      <c r="C476" s="1142"/>
      <c r="D476" s="1142"/>
      <c r="E476" s="1142"/>
      <c r="F476" s="1142"/>
    </row>
    <row r="477" spans="1:6" x14ac:dyDescent="0.3">
      <c r="A477" s="323"/>
      <c r="C477" s="328"/>
      <c r="D477" s="328" t="str">
        <f ca="1">' '!$A$447</f>
        <v>Calcul</v>
      </c>
      <c r="E477" s="328"/>
      <c r="F477" s="328"/>
    </row>
    <row r="478" spans="1:6" x14ac:dyDescent="0.3">
      <c r="A478" s="323"/>
      <c r="C478" s="1142"/>
      <c r="D478" s="1142"/>
      <c r="E478" s="1142" t="s">
        <v>857</v>
      </c>
      <c r="F478" s="1142"/>
    </row>
    <row r="479" spans="1:6" x14ac:dyDescent="0.3">
      <c r="A479" s="323"/>
      <c r="C479" s="328"/>
      <c r="D479" s="329" t="str">
        <f ca="1">' '!$A$449</f>
        <v>Source</v>
      </c>
      <c r="E479" s="328" t="str">
        <f ca="1">' '!$A$450</f>
        <v>Moment de l'enquête &amp; Comparaison avec la branche</v>
      </c>
      <c r="F479" s="328"/>
    </row>
    <row r="480" spans="1:6" x14ac:dyDescent="0.3">
      <c r="A480" s="323"/>
      <c r="C480" s="1143"/>
      <c r="D480" s="1144"/>
      <c r="E480" s="1143"/>
      <c r="F480" s="1144"/>
    </row>
    <row r="481" spans="1:6" x14ac:dyDescent="0.3">
      <c r="A481" s="323"/>
      <c r="C481" s="1143"/>
      <c r="D481" s="1144"/>
      <c r="E481" s="1143"/>
      <c r="F481" s="1144"/>
    </row>
    <row r="482" spans="1:6" x14ac:dyDescent="0.3">
      <c r="A482" s="323"/>
      <c r="C482" s="1143"/>
      <c r="D482" s="1144"/>
      <c r="E482" s="1143"/>
      <c r="F482" s="1144"/>
    </row>
    <row r="483" spans="1:6" x14ac:dyDescent="0.3">
      <c r="A483" s="323"/>
      <c r="C483" s="328"/>
      <c r="D483" s="328"/>
      <c r="E483" s="328"/>
      <c r="F483" s="328"/>
    </row>
    <row r="484" spans="1:6" ht="15.6" x14ac:dyDescent="0.3">
      <c r="A484" s="323"/>
      <c r="D484" s="324"/>
    </row>
    <row r="485" spans="1:6" ht="24" customHeight="1" x14ac:dyDescent="0.3">
      <c r="A485" s="323"/>
      <c r="C485" s="325" t="s">
        <v>797</v>
      </c>
      <c r="D485" s="326">
        <f>_o41</f>
        <v>0</v>
      </c>
      <c r="E485" s="327"/>
      <c r="F485" s="327"/>
    </row>
    <row r="486" spans="1:6" x14ac:dyDescent="0.3">
      <c r="A486" s="323"/>
    </row>
    <row r="487" spans="1:6" x14ac:dyDescent="0.3">
      <c r="A487" s="323"/>
      <c r="C487" s="328"/>
      <c r="D487" s="328" t="str">
        <f ca="1">' '!$A$448</f>
        <v>Description/Remarques</v>
      </c>
      <c r="E487" s="328"/>
      <c r="F487" s="328"/>
    </row>
    <row r="488" spans="1:6" x14ac:dyDescent="0.3">
      <c r="A488" s="323"/>
      <c r="C488" s="1142"/>
      <c r="D488" s="1142"/>
      <c r="E488" s="1142"/>
      <c r="F488" s="1142"/>
    </row>
    <row r="489" spans="1:6" x14ac:dyDescent="0.3">
      <c r="A489" s="323"/>
      <c r="C489" s="328"/>
      <c r="D489" s="328" t="str">
        <f ca="1">' '!$A$447</f>
        <v>Calcul</v>
      </c>
      <c r="E489" s="328"/>
      <c r="F489" s="328"/>
    </row>
    <row r="490" spans="1:6" x14ac:dyDescent="0.3">
      <c r="A490" s="323"/>
      <c r="C490" s="1142"/>
      <c r="D490" s="1142"/>
      <c r="E490" s="1142" t="s">
        <v>857</v>
      </c>
      <c r="F490" s="1142"/>
    </row>
    <row r="491" spans="1:6" x14ac:dyDescent="0.3">
      <c r="A491" s="323"/>
      <c r="C491" s="328"/>
      <c r="D491" s="329" t="str">
        <f ca="1">' '!$A$449</f>
        <v>Source</v>
      </c>
      <c r="E491" s="328" t="str">
        <f ca="1">' '!$A$450</f>
        <v>Moment de l'enquête &amp; Comparaison avec la branche</v>
      </c>
      <c r="F491" s="328"/>
    </row>
    <row r="492" spans="1:6" x14ac:dyDescent="0.3">
      <c r="A492" s="323"/>
      <c r="C492" s="1143"/>
      <c r="D492" s="1144"/>
      <c r="E492" s="1143"/>
      <c r="F492" s="1144"/>
    </row>
    <row r="493" spans="1:6" x14ac:dyDescent="0.3">
      <c r="A493" s="323"/>
      <c r="C493" s="1143"/>
      <c r="D493" s="1144"/>
      <c r="E493" s="1143"/>
      <c r="F493" s="1144"/>
    </row>
    <row r="494" spans="1:6" x14ac:dyDescent="0.3">
      <c r="A494" s="323"/>
      <c r="C494" s="1143"/>
      <c r="D494" s="1144"/>
      <c r="E494" s="1143"/>
      <c r="F494" s="1144"/>
    </row>
    <row r="495" spans="1:6" x14ac:dyDescent="0.3">
      <c r="A495" s="323"/>
      <c r="C495" s="328"/>
      <c r="D495" s="328"/>
      <c r="E495" s="328"/>
      <c r="F495" s="328"/>
    </row>
    <row r="496" spans="1:6" ht="15.6" x14ac:dyDescent="0.3">
      <c r="A496" s="323"/>
      <c r="D496" s="324"/>
    </row>
    <row r="497" spans="1:6" ht="24" customHeight="1" x14ac:dyDescent="0.3">
      <c r="A497" s="323"/>
      <c r="C497" s="325" t="s">
        <v>798</v>
      </c>
      <c r="D497" s="326">
        <f>_o42</f>
        <v>0</v>
      </c>
      <c r="E497" s="327"/>
      <c r="F497" s="327"/>
    </row>
    <row r="498" spans="1:6" x14ac:dyDescent="0.3">
      <c r="A498" s="323"/>
    </row>
    <row r="499" spans="1:6" x14ac:dyDescent="0.3">
      <c r="A499" s="323"/>
      <c r="C499" s="328"/>
      <c r="D499" s="328" t="str">
        <f ca="1">' '!$A$448</f>
        <v>Description/Remarques</v>
      </c>
      <c r="E499" s="328"/>
      <c r="F499" s="328"/>
    </row>
    <row r="500" spans="1:6" x14ac:dyDescent="0.3">
      <c r="A500" s="323"/>
      <c r="C500" s="1142"/>
      <c r="D500" s="1142"/>
      <c r="E500" s="1142"/>
      <c r="F500" s="1142"/>
    </row>
    <row r="501" spans="1:6" x14ac:dyDescent="0.3">
      <c r="A501" s="323"/>
      <c r="C501" s="328"/>
      <c r="D501" s="328" t="str">
        <f ca="1">' '!$A$447</f>
        <v>Calcul</v>
      </c>
      <c r="E501" s="328"/>
      <c r="F501" s="328"/>
    </row>
    <row r="502" spans="1:6" x14ac:dyDescent="0.3">
      <c r="A502" s="323"/>
      <c r="C502" s="1142"/>
      <c r="D502" s="1142"/>
      <c r="E502" s="1142" t="s">
        <v>857</v>
      </c>
      <c r="F502" s="1142"/>
    </row>
    <row r="503" spans="1:6" x14ac:dyDescent="0.3">
      <c r="A503" s="323"/>
      <c r="C503" s="328"/>
      <c r="D503" s="329" t="str">
        <f ca="1">' '!$A$449</f>
        <v>Source</v>
      </c>
      <c r="E503" s="328" t="str">
        <f ca="1">' '!$A$450</f>
        <v>Moment de l'enquête &amp; Comparaison avec la branche</v>
      </c>
      <c r="F503" s="328"/>
    </row>
    <row r="504" spans="1:6" x14ac:dyDescent="0.3">
      <c r="A504" s="323"/>
      <c r="C504" s="1143"/>
      <c r="D504" s="1144"/>
      <c r="E504" s="1143"/>
      <c r="F504" s="1144"/>
    </row>
    <row r="505" spans="1:6" x14ac:dyDescent="0.3">
      <c r="A505" s="323"/>
      <c r="C505" s="1143"/>
      <c r="D505" s="1144"/>
      <c r="E505" s="1143"/>
      <c r="F505" s="1144"/>
    </row>
    <row r="506" spans="1:6" x14ac:dyDescent="0.3">
      <c r="A506" s="323"/>
      <c r="C506" s="1143"/>
      <c r="D506" s="1144"/>
      <c r="E506" s="1143"/>
      <c r="F506" s="1144"/>
    </row>
    <row r="507" spans="1:6" x14ac:dyDescent="0.3">
      <c r="A507" s="323"/>
      <c r="C507" s="328"/>
      <c r="D507" s="328"/>
      <c r="E507" s="328"/>
      <c r="F507" s="328"/>
    </row>
    <row r="508" spans="1:6" ht="15.6" x14ac:dyDescent="0.3">
      <c r="A508" s="323"/>
      <c r="D508" s="324"/>
    </row>
    <row r="509" spans="1:6" ht="24" customHeight="1" x14ac:dyDescent="0.3">
      <c r="A509" s="323"/>
      <c r="C509" s="325" t="s">
        <v>800</v>
      </c>
      <c r="D509" s="326">
        <f>_o43</f>
        <v>0</v>
      </c>
      <c r="E509" s="327"/>
      <c r="F509" s="327"/>
    </row>
    <row r="510" spans="1:6" x14ac:dyDescent="0.3">
      <c r="A510" s="323"/>
    </row>
    <row r="511" spans="1:6" x14ac:dyDescent="0.3">
      <c r="A511" s="323"/>
      <c r="C511" s="328"/>
      <c r="D511" s="328" t="str">
        <f ca="1">' '!$A$448</f>
        <v>Description/Remarques</v>
      </c>
      <c r="E511" s="328"/>
      <c r="F511" s="328"/>
    </row>
    <row r="512" spans="1:6" x14ac:dyDescent="0.3">
      <c r="A512" s="323"/>
      <c r="C512" s="1142"/>
      <c r="D512" s="1142"/>
      <c r="E512" s="1142"/>
      <c r="F512" s="1142"/>
    </row>
    <row r="513" spans="1:6" x14ac:dyDescent="0.3">
      <c r="A513" s="323"/>
      <c r="C513" s="328"/>
      <c r="D513" s="328" t="str">
        <f ca="1">' '!$A$447</f>
        <v>Calcul</v>
      </c>
      <c r="E513" s="328"/>
      <c r="F513" s="328"/>
    </row>
    <row r="514" spans="1:6" x14ac:dyDescent="0.3">
      <c r="A514" s="323"/>
      <c r="C514" s="1142"/>
      <c r="D514" s="1142"/>
      <c r="E514" s="1142" t="s">
        <v>857</v>
      </c>
      <c r="F514" s="1142"/>
    </row>
    <row r="515" spans="1:6" x14ac:dyDescent="0.3">
      <c r="A515" s="323"/>
      <c r="C515" s="328"/>
      <c r="D515" s="329" t="str">
        <f ca="1">' '!$A$449</f>
        <v>Source</v>
      </c>
      <c r="E515" s="328" t="str">
        <f ca="1">' '!$A$450</f>
        <v>Moment de l'enquête &amp; Comparaison avec la branche</v>
      </c>
      <c r="F515" s="328"/>
    </row>
    <row r="516" spans="1:6" x14ac:dyDescent="0.3">
      <c r="A516" s="323"/>
      <c r="C516" s="1143"/>
      <c r="D516" s="1144"/>
      <c r="E516" s="1143"/>
      <c r="F516" s="1144"/>
    </row>
    <row r="517" spans="1:6" x14ac:dyDescent="0.3">
      <c r="A517" s="323"/>
      <c r="C517" s="1143"/>
      <c r="D517" s="1144"/>
      <c r="E517" s="1143"/>
      <c r="F517" s="1144"/>
    </row>
    <row r="518" spans="1:6" x14ac:dyDescent="0.3">
      <c r="A518" s="323"/>
      <c r="C518" s="1143"/>
      <c r="D518" s="1144"/>
      <c r="E518" s="1143"/>
      <c r="F518" s="1144"/>
    </row>
    <row r="519" spans="1:6" x14ac:dyDescent="0.3">
      <c r="A519" s="323"/>
      <c r="C519" s="328"/>
      <c r="D519" s="328"/>
      <c r="E519" s="328"/>
      <c r="F519" s="328"/>
    </row>
    <row r="520" spans="1:6" ht="15.6" x14ac:dyDescent="0.3">
      <c r="A520" s="323"/>
      <c r="D520" s="324"/>
    </row>
    <row r="521" spans="1:6" ht="24" customHeight="1" x14ac:dyDescent="0.3">
      <c r="A521" s="323"/>
      <c r="C521" s="325" t="s">
        <v>801</v>
      </c>
      <c r="D521" s="326">
        <f>_o44</f>
        <v>0</v>
      </c>
      <c r="E521" s="327"/>
      <c r="F521" s="327"/>
    </row>
    <row r="522" spans="1:6" x14ac:dyDescent="0.3">
      <c r="A522" s="323"/>
    </row>
    <row r="523" spans="1:6" x14ac:dyDescent="0.3">
      <c r="A523" s="323"/>
      <c r="C523" s="328"/>
      <c r="D523" s="328" t="str">
        <f ca="1">' '!$A$448</f>
        <v>Description/Remarques</v>
      </c>
      <c r="E523" s="328"/>
      <c r="F523" s="328"/>
    </row>
    <row r="524" spans="1:6" x14ac:dyDescent="0.3">
      <c r="A524" s="323"/>
      <c r="C524" s="1142"/>
      <c r="D524" s="1142"/>
      <c r="E524" s="1142"/>
      <c r="F524" s="1142"/>
    </row>
    <row r="525" spans="1:6" x14ac:dyDescent="0.3">
      <c r="A525" s="323"/>
      <c r="C525" s="328"/>
      <c r="D525" s="328" t="str">
        <f ca="1">' '!$A$447</f>
        <v>Calcul</v>
      </c>
      <c r="E525" s="328"/>
      <c r="F525" s="328"/>
    </row>
    <row r="526" spans="1:6" x14ac:dyDescent="0.3">
      <c r="A526" s="323"/>
      <c r="C526" s="1142"/>
      <c r="D526" s="1142"/>
      <c r="E526" s="1142" t="s">
        <v>857</v>
      </c>
      <c r="F526" s="1142"/>
    </row>
    <row r="527" spans="1:6" x14ac:dyDescent="0.3">
      <c r="A527" s="323"/>
      <c r="C527" s="328"/>
      <c r="D527" s="329" t="str">
        <f ca="1">' '!$A$449</f>
        <v>Source</v>
      </c>
      <c r="E527" s="328" t="str">
        <f ca="1">' '!$A$450</f>
        <v>Moment de l'enquête &amp; Comparaison avec la branche</v>
      </c>
      <c r="F527" s="328"/>
    </row>
    <row r="528" spans="1:6" x14ac:dyDescent="0.3">
      <c r="A528" s="323"/>
      <c r="C528" s="1143"/>
      <c r="D528" s="1144"/>
      <c r="E528" s="1143"/>
      <c r="F528" s="1144"/>
    </row>
    <row r="529" spans="1:6" x14ac:dyDescent="0.3">
      <c r="A529" s="323"/>
      <c r="C529" s="1143"/>
      <c r="D529" s="1144"/>
      <c r="E529" s="1143"/>
      <c r="F529" s="1144"/>
    </row>
    <row r="530" spans="1:6" x14ac:dyDescent="0.3">
      <c r="A530" s="323"/>
      <c r="C530" s="1143"/>
      <c r="D530" s="1144"/>
      <c r="E530" s="1143"/>
      <c r="F530" s="1144"/>
    </row>
    <row r="531" spans="1:6" x14ac:dyDescent="0.3">
      <c r="A531" s="323"/>
      <c r="C531" s="328"/>
      <c r="D531" s="328"/>
      <c r="E531" s="328"/>
      <c r="F531" s="328"/>
    </row>
    <row r="532" spans="1:6" ht="15.6" x14ac:dyDescent="0.3">
      <c r="A532" s="323"/>
      <c r="D532" s="324"/>
    </row>
    <row r="533" spans="1:6" ht="24" customHeight="1" x14ac:dyDescent="0.3">
      <c r="A533" s="323"/>
      <c r="C533" s="325" t="s">
        <v>803</v>
      </c>
      <c r="D533" s="326">
        <f>_o45</f>
        <v>0</v>
      </c>
      <c r="E533" s="327"/>
      <c r="F533" s="327"/>
    </row>
    <row r="534" spans="1:6" x14ac:dyDescent="0.3">
      <c r="A534" s="323"/>
    </row>
    <row r="535" spans="1:6" x14ac:dyDescent="0.3">
      <c r="A535" s="323"/>
      <c r="C535" s="328"/>
      <c r="D535" s="328" t="str">
        <f ca="1">' '!$A$448</f>
        <v>Description/Remarques</v>
      </c>
      <c r="E535" s="328"/>
      <c r="F535" s="328"/>
    </row>
    <row r="536" spans="1:6" x14ac:dyDescent="0.3">
      <c r="A536" s="323"/>
      <c r="C536" s="1142"/>
      <c r="D536" s="1142"/>
      <c r="E536" s="1142"/>
      <c r="F536" s="1142"/>
    </row>
    <row r="537" spans="1:6" x14ac:dyDescent="0.3">
      <c r="A537" s="323"/>
      <c r="C537" s="328"/>
      <c r="D537" s="328" t="str">
        <f ca="1">' '!$A$447</f>
        <v>Calcul</v>
      </c>
      <c r="E537" s="328"/>
      <c r="F537" s="328"/>
    </row>
    <row r="538" spans="1:6" x14ac:dyDescent="0.3">
      <c r="A538" s="323"/>
      <c r="C538" s="1142"/>
      <c r="D538" s="1142"/>
      <c r="E538" s="1142" t="s">
        <v>857</v>
      </c>
      <c r="F538" s="1142"/>
    </row>
    <row r="539" spans="1:6" x14ac:dyDescent="0.3">
      <c r="A539" s="323"/>
      <c r="C539" s="328"/>
      <c r="D539" s="329" t="str">
        <f ca="1">' '!$A$449</f>
        <v>Source</v>
      </c>
      <c r="E539" s="328" t="str">
        <f ca="1">' '!$A$450</f>
        <v>Moment de l'enquête &amp; Comparaison avec la branche</v>
      </c>
      <c r="F539" s="328"/>
    </row>
    <row r="540" spans="1:6" x14ac:dyDescent="0.3">
      <c r="A540" s="323"/>
      <c r="C540" s="1143"/>
      <c r="D540" s="1144"/>
      <c r="E540" s="1143"/>
      <c r="F540" s="1144"/>
    </row>
    <row r="541" spans="1:6" x14ac:dyDescent="0.3">
      <c r="A541" s="323"/>
      <c r="C541" s="1143"/>
      <c r="D541" s="1144"/>
      <c r="E541" s="1143"/>
      <c r="F541" s="1144"/>
    </row>
    <row r="542" spans="1:6" x14ac:dyDescent="0.3">
      <c r="A542" s="323"/>
      <c r="C542" s="1143"/>
      <c r="D542" s="1144"/>
      <c r="E542" s="1143"/>
      <c r="F542" s="1144"/>
    </row>
    <row r="543" spans="1:6" x14ac:dyDescent="0.3">
      <c r="A543" s="323"/>
      <c r="C543" s="328"/>
      <c r="D543" s="328"/>
      <c r="E543" s="328"/>
      <c r="F543" s="328"/>
    </row>
    <row r="544" spans="1:6" ht="15.6" x14ac:dyDescent="0.3">
      <c r="A544" s="323"/>
      <c r="D544" s="324"/>
    </row>
    <row r="545" spans="1:6" ht="24" customHeight="1" x14ac:dyDescent="0.3">
      <c r="A545" s="323"/>
      <c r="C545" s="325" t="s">
        <v>804</v>
      </c>
      <c r="D545" s="326">
        <f>_o46</f>
        <v>0</v>
      </c>
      <c r="E545" s="327"/>
      <c r="F545" s="327"/>
    </row>
    <row r="546" spans="1:6" x14ac:dyDescent="0.3">
      <c r="A546" s="323"/>
    </row>
    <row r="547" spans="1:6" x14ac:dyDescent="0.3">
      <c r="A547" s="323"/>
      <c r="C547" s="328"/>
      <c r="D547" s="328" t="str">
        <f ca="1">' '!$A$448</f>
        <v>Description/Remarques</v>
      </c>
      <c r="E547" s="328"/>
      <c r="F547" s="328"/>
    </row>
    <row r="548" spans="1:6" x14ac:dyDescent="0.3">
      <c r="A548" s="323"/>
      <c r="C548" s="1142"/>
      <c r="D548" s="1142"/>
      <c r="E548" s="1142"/>
      <c r="F548" s="1142"/>
    </row>
    <row r="549" spans="1:6" x14ac:dyDescent="0.3">
      <c r="A549" s="323"/>
      <c r="C549" s="328"/>
      <c r="D549" s="328" t="str">
        <f ca="1">' '!$A$447</f>
        <v>Calcul</v>
      </c>
      <c r="E549" s="328"/>
      <c r="F549" s="328"/>
    </row>
    <row r="550" spans="1:6" x14ac:dyDescent="0.3">
      <c r="A550" s="323"/>
      <c r="C550" s="1142"/>
      <c r="D550" s="1142"/>
      <c r="E550" s="1142" t="s">
        <v>857</v>
      </c>
      <c r="F550" s="1142"/>
    </row>
    <row r="551" spans="1:6" x14ac:dyDescent="0.3">
      <c r="A551" s="323"/>
      <c r="C551" s="328"/>
      <c r="D551" s="329" t="str">
        <f ca="1">' '!$A$449</f>
        <v>Source</v>
      </c>
      <c r="E551" s="328" t="str">
        <f ca="1">' '!$A$450</f>
        <v>Moment de l'enquête &amp; Comparaison avec la branche</v>
      </c>
      <c r="F551" s="328"/>
    </row>
    <row r="552" spans="1:6" x14ac:dyDescent="0.3">
      <c r="A552" s="323"/>
      <c r="C552" s="1143"/>
      <c r="D552" s="1144"/>
      <c r="E552" s="1143"/>
      <c r="F552" s="1144"/>
    </row>
    <row r="553" spans="1:6" x14ac:dyDescent="0.3">
      <c r="A553" s="323"/>
      <c r="C553" s="1143"/>
      <c r="D553" s="1144"/>
      <c r="E553" s="1143"/>
      <c r="F553" s="1144"/>
    </row>
    <row r="554" spans="1:6" x14ac:dyDescent="0.3">
      <c r="A554" s="323"/>
      <c r="C554" s="1143"/>
      <c r="D554" s="1144"/>
      <c r="E554" s="1143"/>
      <c r="F554" s="1144"/>
    </row>
    <row r="555" spans="1:6" x14ac:dyDescent="0.3">
      <c r="A555" s="323"/>
      <c r="C555" s="328"/>
      <c r="D555" s="328"/>
      <c r="E555" s="328"/>
      <c r="F555" s="328"/>
    </row>
    <row r="556" spans="1:6" ht="15.6" x14ac:dyDescent="0.3">
      <c r="A556" s="323"/>
      <c r="D556" s="324"/>
    </row>
    <row r="557" spans="1:6" ht="24" customHeight="1" x14ac:dyDescent="0.3">
      <c r="A557" s="323"/>
      <c r="C557" s="325" t="s">
        <v>806</v>
      </c>
      <c r="D557" s="326">
        <f>_o47</f>
        <v>0</v>
      </c>
      <c r="E557" s="327"/>
      <c r="F557" s="327"/>
    </row>
    <row r="558" spans="1:6" x14ac:dyDescent="0.3">
      <c r="A558" s="323"/>
    </row>
    <row r="559" spans="1:6" x14ac:dyDescent="0.3">
      <c r="A559" s="323"/>
      <c r="C559" s="328"/>
      <c r="D559" s="328" t="str">
        <f ca="1">' '!$A$448</f>
        <v>Description/Remarques</v>
      </c>
      <c r="E559" s="328"/>
      <c r="F559" s="328"/>
    </row>
    <row r="560" spans="1:6" x14ac:dyDescent="0.3">
      <c r="A560" s="323"/>
      <c r="C560" s="1142"/>
      <c r="D560" s="1142"/>
      <c r="E560" s="1142"/>
      <c r="F560" s="1142"/>
    </row>
    <row r="561" spans="1:6" x14ac:dyDescent="0.3">
      <c r="A561" s="323"/>
      <c r="C561" s="328"/>
      <c r="D561" s="328" t="str">
        <f ca="1">' '!$A$447</f>
        <v>Calcul</v>
      </c>
      <c r="E561" s="328"/>
      <c r="F561" s="328"/>
    </row>
    <row r="562" spans="1:6" x14ac:dyDescent="0.3">
      <c r="A562" s="323"/>
      <c r="C562" s="1142"/>
      <c r="D562" s="1142"/>
      <c r="E562" s="1142" t="s">
        <v>857</v>
      </c>
      <c r="F562" s="1142"/>
    </row>
    <row r="563" spans="1:6" x14ac:dyDescent="0.3">
      <c r="A563" s="323"/>
      <c r="C563" s="328"/>
      <c r="D563" s="329" t="str">
        <f ca="1">' '!$A$449</f>
        <v>Source</v>
      </c>
      <c r="E563" s="328" t="str">
        <f ca="1">' '!$A$450</f>
        <v>Moment de l'enquête &amp; Comparaison avec la branche</v>
      </c>
      <c r="F563" s="328"/>
    </row>
    <row r="564" spans="1:6" x14ac:dyDescent="0.3">
      <c r="A564" s="323"/>
      <c r="C564" s="1143"/>
      <c r="D564" s="1144"/>
      <c r="E564" s="1143"/>
      <c r="F564" s="1144"/>
    </row>
    <row r="565" spans="1:6" x14ac:dyDescent="0.3">
      <c r="A565" s="323"/>
      <c r="C565" s="1143"/>
      <c r="D565" s="1144"/>
      <c r="E565" s="1143"/>
      <c r="F565" s="1144"/>
    </row>
    <row r="566" spans="1:6" x14ac:dyDescent="0.3">
      <c r="A566" s="323"/>
      <c r="C566" s="1143"/>
      <c r="D566" s="1144"/>
      <c r="E566" s="1143"/>
      <c r="F566" s="1144"/>
    </row>
    <row r="567" spans="1:6" x14ac:dyDescent="0.3">
      <c r="A567" s="323"/>
      <c r="C567" s="328"/>
      <c r="D567" s="328"/>
      <c r="E567" s="328"/>
      <c r="F567" s="328"/>
    </row>
    <row r="568" spans="1:6" ht="15.6" x14ac:dyDescent="0.3">
      <c r="A568" s="323"/>
      <c r="D568" s="324"/>
    </row>
    <row r="569" spans="1:6" ht="24" customHeight="1" x14ac:dyDescent="0.3">
      <c r="A569" s="323"/>
      <c r="C569" s="325" t="s">
        <v>807</v>
      </c>
      <c r="D569" s="326">
        <f>_o48</f>
        <v>0</v>
      </c>
      <c r="E569" s="327"/>
      <c r="F569" s="327"/>
    </row>
    <row r="570" spans="1:6" x14ac:dyDescent="0.3">
      <c r="A570" s="323"/>
    </row>
    <row r="571" spans="1:6" x14ac:dyDescent="0.3">
      <c r="A571" s="323"/>
      <c r="C571" s="328"/>
      <c r="D571" s="328" t="str">
        <f ca="1">' '!$A$448</f>
        <v>Description/Remarques</v>
      </c>
      <c r="E571" s="328"/>
      <c r="F571" s="328"/>
    </row>
    <row r="572" spans="1:6" x14ac:dyDescent="0.3">
      <c r="A572" s="323"/>
      <c r="C572" s="1142"/>
      <c r="D572" s="1142"/>
      <c r="E572" s="1142"/>
      <c r="F572" s="1142"/>
    </row>
    <row r="573" spans="1:6" x14ac:dyDescent="0.3">
      <c r="A573" s="323"/>
      <c r="C573" s="328"/>
      <c r="D573" s="328" t="str">
        <f ca="1">' '!$A$447</f>
        <v>Calcul</v>
      </c>
      <c r="E573" s="328"/>
      <c r="F573" s="328"/>
    </row>
    <row r="574" spans="1:6" x14ac:dyDescent="0.3">
      <c r="A574" s="323"/>
      <c r="C574" s="1142"/>
      <c r="D574" s="1142"/>
      <c r="E574" s="1142" t="s">
        <v>857</v>
      </c>
      <c r="F574" s="1142"/>
    </row>
    <row r="575" spans="1:6" x14ac:dyDescent="0.3">
      <c r="A575" s="323"/>
      <c r="C575" s="328"/>
      <c r="D575" s="329" t="str">
        <f ca="1">' '!$A$449</f>
        <v>Source</v>
      </c>
      <c r="E575" s="328" t="str">
        <f ca="1">' '!$A$450</f>
        <v>Moment de l'enquête &amp; Comparaison avec la branche</v>
      </c>
      <c r="F575" s="328"/>
    </row>
    <row r="576" spans="1:6" x14ac:dyDescent="0.3">
      <c r="A576" s="323"/>
      <c r="C576" s="1143"/>
      <c r="D576" s="1144"/>
      <c r="E576" s="1143"/>
      <c r="F576" s="1144"/>
    </row>
    <row r="577" spans="1:6" x14ac:dyDescent="0.3">
      <c r="A577" s="323"/>
      <c r="C577" s="1143"/>
      <c r="D577" s="1144"/>
      <c r="E577" s="1143"/>
      <c r="F577" s="1144"/>
    </row>
    <row r="578" spans="1:6" x14ac:dyDescent="0.3">
      <c r="A578" s="323"/>
      <c r="C578" s="1143"/>
      <c r="D578" s="1144"/>
      <c r="E578" s="1143"/>
      <c r="F578" s="1144"/>
    </row>
    <row r="579" spans="1:6" x14ac:dyDescent="0.3">
      <c r="A579" s="323"/>
      <c r="C579" s="328"/>
      <c r="D579" s="328"/>
      <c r="E579" s="328"/>
      <c r="F579" s="328"/>
    </row>
    <row r="580" spans="1:6" ht="15.6" x14ac:dyDescent="0.3">
      <c r="A580" s="323"/>
      <c r="D580" s="324"/>
    </row>
    <row r="581" spans="1:6" ht="24" customHeight="1" x14ac:dyDescent="0.3">
      <c r="A581" s="323"/>
      <c r="C581" s="325" t="s">
        <v>809</v>
      </c>
      <c r="D581" s="326">
        <f>_o49</f>
        <v>0</v>
      </c>
      <c r="E581" s="327"/>
      <c r="F581" s="327"/>
    </row>
    <row r="582" spans="1:6" x14ac:dyDescent="0.3">
      <c r="A582" s="323"/>
    </row>
    <row r="583" spans="1:6" x14ac:dyDescent="0.3">
      <c r="A583" s="323"/>
      <c r="C583" s="328"/>
      <c r="D583" s="328" t="str">
        <f ca="1">' '!$A$448</f>
        <v>Description/Remarques</v>
      </c>
      <c r="E583" s="328"/>
      <c r="F583" s="328"/>
    </row>
    <row r="584" spans="1:6" x14ac:dyDescent="0.3">
      <c r="A584" s="323"/>
      <c r="C584" s="1142"/>
      <c r="D584" s="1142"/>
      <c r="E584" s="1142"/>
      <c r="F584" s="1142"/>
    </row>
    <row r="585" spans="1:6" x14ac:dyDescent="0.3">
      <c r="A585" s="323"/>
      <c r="C585" s="328"/>
      <c r="D585" s="328" t="str">
        <f ca="1">' '!$A$447</f>
        <v>Calcul</v>
      </c>
      <c r="E585" s="328"/>
      <c r="F585" s="328"/>
    </row>
    <row r="586" spans="1:6" x14ac:dyDescent="0.3">
      <c r="A586" s="323"/>
      <c r="C586" s="1142"/>
      <c r="D586" s="1142"/>
      <c r="E586" s="1142" t="s">
        <v>857</v>
      </c>
      <c r="F586" s="1142"/>
    </row>
    <row r="587" spans="1:6" x14ac:dyDescent="0.3">
      <c r="A587" s="323"/>
      <c r="C587" s="328"/>
      <c r="D587" s="329" t="str">
        <f ca="1">' '!$A$449</f>
        <v>Source</v>
      </c>
      <c r="E587" s="328" t="str">
        <f ca="1">' '!$A$450</f>
        <v>Moment de l'enquête &amp; Comparaison avec la branche</v>
      </c>
      <c r="F587" s="328"/>
    </row>
    <row r="588" spans="1:6" x14ac:dyDescent="0.3">
      <c r="A588" s="323"/>
      <c r="C588" s="1143"/>
      <c r="D588" s="1144"/>
      <c r="E588" s="1143"/>
      <c r="F588" s="1144"/>
    </row>
    <row r="589" spans="1:6" x14ac:dyDescent="0.3">
      <c r="A589" s="323"/>
      <c r="C589" s="1143"/>
      <c r="D589" s="1144"/>
      <c r="E589" s="1143"/>
      <c r="F589" s="1144"/>
    </row>
    <row r="590" spans="1:6" x14ac:dyDescent="0.3">
      <c r="A590" s="323"/>
      <c r="C590" s="1143"/>
      <c r="D590" s="1144"/>
      <c r="E590" s="1143"/>
      <c r="F590" s="1144"/>
    </row>
    <row r="591" spans="1:6" x14ac:dyDescent="0.3">
      <c r="A591" s="323"/>
      <c r="C591" s="328"/>
      <c r="D591" s="328"/>
      <c r="E591" s="328"/>
      <c r="F591" s="328"/>
    </row>
    <row r="592" spans="1:6" ht="15.6" x14ac:dyDescent="0.3">
      <c r="A592" s="323"/>
      <c r="D592" s="324"/>
    </row>
    <row r="593" spans="1:6" ht="24" customHeight="1" x14ac:dyDescent="0.3">
      <c r="A593" s="323"/>
      <c r="C593" s="325" t="s">
        <v>810</v>
      </c>
      <c r="D593" s="326">
        <f>_o50</f>
        <v>0</v>
      </c>
      <c r="E593" s="327"/>
      <c r="F593" s="327"/>
    </row>
    <row r="594" spans="1:6" x14ac:dyDescent="0.3">
      <c r="A594" s="323"/>
    </row>
    <row r="595" spans="1:6" x14ac:dyDescent="0.3">
      <c r="A595" s="323"/>
      <c r="C595" s="328"/>
      <c r="D595" s="328" t="str">
        <f ca="1">' '!$A$448</f>
        <v>Description/Remarques</v>
      </c>
      <c r="E595" s="328"/>
      <c r="F595" s="328"/>
    </row>
    <row r="596" spans="1:6" x14ac:dyDescent="0.3">
      <c r="A596" s="323"/>
      <c r="C596" s="1142"/>
      <c r="D596" s="1142"/>
      <c r="E596" s="1142"/>
      <c r="F596" s="1142"/>
    </row>
    <row r="597" spans="1:6" x14ac:dyDescent="0.3">
      <c r="A597" s="323"/>
      <c r="C597" s="328"/>
      <c r="D597" s="328" t="str">
        <f ca="1">' '!$A$447</f>
        <v>Calcul</v>
      </c>
      <c r="E597" s="328"/>
      <c r="F597" s="328"/>
    </row>
    <row r="598" spans="1:6" x14ac:dyDescent="0.3">
      <c r="A598" s="323"/>
      <c r="C598" s="1142"/>
      <c r="D598" s="1142"/>
      <c r="E598" s="1142" t="s">
        <v>857</v>
      </c>
      <c r="F598" s="1142"/>
    </row>
    <row r="599" spans="1:6" x14ac:dyDescent="0.3">
      <c r="A599" s="323"/>
      <c r="C599" s="328"/>
      <c r="D599" s="329" t="str">
        <f ca="1">' '!$A$449</f>
        <v>Source</v>
      </c>
      <c r="E599" s="328" t="str">
        <f ca="1">' '!$A$450</f>
        <v>Moment de l'enquête &amp; Comparaison avec la branche</v>
      </c>
      <c r="F599" s="328"/>
    </row>
    <row r="600" spans="1:6" x14ac:dyDescent="0.3">
      <c r="A600" s="323"/>
      <c r="C600" s="1143"/>
      <c r="D600" s="1144"/>
      <c r="E600" s="1143"/>
      <c r="F600" s="1144"/>
    </row>
    <row r="601" spans="1:6" x14ac:dyDescent="0.3">
      <c r="A601" s="323"/>
      <c r="C601" s="1143"/>
      <c r="D601" s="1144"/>
      <c r="E601" s="1143"/>
      <c r="F601" s="1144"/>
    </row>
    <row r="602" spans="1:6" x14ac:dyDescent="0.3">
      <c r="A602" s="323"/>
      <c r="C602" s="1143"/>
      <c r="D602" s="1144"/>
      <c r="E602" s="1143"/>
      <c r="F602" s="1144"/>
    </row>
    <row r="603" spans="1:6" x14ac:dyDescent="0.3">
      <c r="A603" s="323"/>
      <c r="C603" s="328"/>
      <c r="D603" s="328"/>
      <c r="E603" s="328"/>
      <c r="F603" s="328"/>
    </row>
    <row r="604" spans="1:6" ht="15.6" x14ac:dyDescent="0.3">
      <c r="A604" s="323"/>
      <c r="D604" s="324"/>
    </row>
    <row r="605" spans="1:6" ht="24" customHeight="1" x14ac:dyDescent="0.3">
      <c r="A605" s="323"/>
      <c r="C605" s="325" t="s">
        <v>812</v>
      </c>
      <c r="D605" s="326">
        <f>_o51</f>
        <v>0</v>
      </c>
      <c r="E605" s="327"/>
      <c r="F605" s="327"/>
    </row>
    <row r="606" spans="1:6" x14ac:dyDescent="0.3">
      <c r="A606" s="323"/>
    </row>
    <row r="607" spans="1:6" x14ac:dyDescent="0.3">
      <c r="A607" s="323"/>
      <c r="C607" s="328"/>
      <c r="D607" s="328" t="str">
        <f ca="1">' '!$A$448</f>
        <v>Description/Remarques</v>
      </c>
      <c r="E607" s="328"/>
      <c r="F607" s="328"/>
    </row>
    <row r="608" spans="1:6" x14ac:dyDescent="0.3">
      <c r="A608" s="323"/>
      <c r="C608" s="1142"/>
      <c r="D608" s="1142"/>
      <c r="E608" s="1142"/>
      <c r="F608" s="1142"/>
    </row>
    <row r="609" spans="1:6" x14ac:dyDescent="0.3">
      <c r="A609" s="323"/>
      <c r="C609" s="328"/>
      <c r="D609" s="328" t="str">
        <f ca="1">' '!$A$447</f>
        <v>Calcul</v>
      </c>
      <c r="E609" s="328"/>
      <c r="F609" s="328"/>
    </row>
    <row r="610" spans="1:6" x14ac:dyDescent="0.3">
      <c r="A610" s="323"/>
      <c r="C610" s="1142"/>
      <c r="D610" s="1142"/>
      <c r="E610" s="1142" t="s">
        <v>857</v>
      </c>
      <c r="F610" s="1142"/>
    </row>
    <row r="611" spans="1:6" x14ac:dyDescent="0.3">
      <c r="A611" s="323"/>
      <c r="C611" s="328"/>
      <c r="D611" s="329" t="str">
        <f ca="1">' '!$A$449</f>
        <v>Source</v>
      </c>
      <c r="E611" s="328" t="str">
        <f ca="1">' '!$A$450</f>
        <v>Moment de l'enquête &amp; Comparaison avec la branche</v>
      </c>
      <c r="F611" s="328"/>
    </row>
    <row r="612" spans="1:6" x14ac:dyDescent="0.3">
      <c r="A612" s="323"/>
      <c r="C612" s="1143"/>
      <c r="D612" s="1144"/>
      <c r="E612" s="1143"/>
      <c r="F612" s="1144"/>
    </row>
    <row r="613" spans="1:6" x14ac:dyDescent="0.3">
      <c r="A613" s="323"/>
      <c r="C613" s="1143"/>
      <c r="D613" s="1144"/>
      <c r="E613" s="1143"/>
      <c r="F613" s="1144"/>
    </row>
    <row r="614" spans="1:6" x14ac:dyDescent="0.3">
      <c r="A614" s="323"/>
      <c r="C614" s="1143"/>
      <c r="D614" s="1144"/>
      <c r="E614" s="1143"/>
      <c r="F614" s="1144"/>
    </row>
    <row r="615" spans="1:6" x14ac:dyDescent="0.3">
      <c r="A615" s="323"/>
      <c r="C615" s="328"/>
      <c r="D615" s="328"/>
      <c r="E615" s="328"/>
      <c r="F615" s="328"/>
    </row>
    <row r="616" spans="1:6" ht="15.6" x14ac:dyDescent="0.3">
      <c r="A616" s="323"/>
      <c r="D616" s="324"/>
    </row>
    <row r="617" spans="1:6" ht="24" customHeight="1" x14ac:dyDescent="0.3">
      <c r="A617" s="323"/>
      <c r="C617" s="325" t="s">
        <v>813</v>
      </c>
      <c r="D617" s="326">
        <f>_o52</f>
        <v>0</v>
      </c>
      <c r="E617" s="327"/>
      <c r="F617" s="327"/>
    </row>
    <row r="618" spans="1:6" x14ac:dyDescent="0.3">
      <c r="A618" s="323"/>
    </row>
    <row r="619" spans="1:6" x14ac:dyDescent="0.3">
      <c r="A619" s="323"/>
      <c r="C619" s="328"/>
      <c r="D619" s="328" t="str">
        <f ca="1">' '!$A$448</f>
        <v>Description/Remarques</v>
      </c>
      <c r="E619" s="328"/>
      <c r="F619" s="328"/>
    </row>
    <row r="620" spans="1:6" x14ac:dyDescent="0.3">
      <c r="A620" s="323"/>
      <c r="C620" s="1142"/>
      <c r="D620" s="1142"/>
      <c r="E620" s="1142"/>
      <c r="F620" s="1142"/>
    </row>
    <row r="621" spans="1:6" x14ac:dyDescent="0.3">
      <c r="A621" s="323"/>
      <c r="C621" s="328"/>
      <c r="D621" s="328" t="str">
        <f ca="1">' '!$A$447</f>
        <v>Calcul</v>
      </c>
      <c r="E621" s="328"/>
      <c r="F621" s="328"/>
    </row>
    <row r="622" spans="1:6" x14ac:dyDescent="0.3">
      <c r="A622" s="323"/>
      <c r="C622" s="1142"/>
      <c r="D622" s="1142"/>
      <c r="E622" s="1142" t="s">
        <v>857</v>
      </c>
      <c r="F622" s="1142"/>
    </row>
    <row r="623" spans="1:6" x14ac:dyDescent="0.3">
      <c r="A623" s="323"/>
      <c r="C623" s="328"/>
      <c r="D623" s="329" t="str">
        <f ca="1">' '!$A$449</f>
        <v>Source</v>
      </c>
      <c r="E623" s="328" t="str">
        <f ca="1">' '!$A$450</f>
        <v>Moment de l'enquête &amp; Comparaison avec la branche</v>
      </c>
      <c r="F623" s="328"/>
    </row>
    <row r="624" spans="1:6" x14ac:dyDescent="0.3">
      <c r="A624" s="323"/>
      <c r="C624" s="1143"/>
      <c r="D624" s="1144"/>
      <c r="E624" s="1143"/>
      <c r="F624" s="1144"/>
    </row>
    <row r="625" spans="1:6" x14ac:dyDescent="0.3">
      <c r="A625" s="323"/>
      <c r="C625" s="1143"/>
      <c r="D625" s="1144"/>
      <c r="E625" s="1143"/>
      <c r="F625" s="1144"/>
    </row>
    <row r="626" spans="1:6" x14ac:dyDescent="0.3">
      <c r="A626" s="323"/>
      <c r="C626" s="1143"/>
      <c r="D626" s="1144"/>
      <c r="E626" s="1143"/>
      <c r="F626" s="1144"/>
    </row>
    <row r="627" spans="1:6" x14ac:dyDescent="0.3">
      <c r="A627" s="323"/>
      <c r="C627" s="328"/>
      <c r="D627" s="328"/>
      <c r="E627" s="328"/>
      <c r="F627" s="328"/>
    </row>
    <row r="628" spans="1:6" ht="15.6" x14ac:dyDescent="0.3">
      <c r="A628" s="323"/>
      <c r="D628" s="324"/>
    </row>
    <row r="629" spans="1:6" ht="24" customHeight="1" x14ac:dyDescent="0.3">
      <c r="A629" s="323"/>
      <c r="C629" s="325" t="s">
        <v>815</v>
      </c>
      <c r="D629" s="326">
        <f>_o53</f>
        <v>0</v>
      </c>
      <c r="E629" s="327"/>
      <c r="F629" s="327"/>
    </row>
    <row r="630" spans="1:6" x14ac:dyDescent="0.3">
      <c r="A630" s="323"/>
    </row>
    <row r="631" spans="1:6" x14ac:dyDescent="0.3">
      <c r="A631" s="323"/>
      <c r="C631" s="328"/>
      <c r="D631" s="328" t="str">
        <f ca="1">' '!$A$448</f>
        <v>Description/Remarques</v>
      </c>
      <c r="E631" s="328"/>
      <c r="F631" s="328"/>
    </row>
    <row r="632" spans="1:6" x14ac:dyDescent="0.3">
      <c r="A632" s="323"/>
      <c r="C632" s="1142"/>
      <c r="D632" s="1142"/>
      <c r="E632" s="1142"/>
      <c r="F632" s="1142"/>
    </row>
    <row r="633" spans="1:6" x14ac:dyDescent="0.3">
      <c r="A633" s="323"/>
      <c r="C633" s="328"/>
      <c r="D633" s="328" t="str">
        <f ca="1">' '!$A$447</f>
        <v>Calcul</v>
      </c>
      <c r="E633" s="328"/>
      <c r="F633" s="328"/>
    </row>
    <row r="634" spans="1:6" x14ac:dyDescent="0.3">
      <c r="A634" s="323"/>
      <c r="C634" s="1142"/>
      <c r="D634" s="1142"/>
      <c r="E634" s="1142" t="s">
        <v>857</v>
      </c>
      <c r="F634" s="1142"/>
    </row>
    <row r="635" spans="1:6" x14ac:dyDescent="0.3">
      <c r="A635" s="323"/>
      <c r="C635" s="328"/>
      <c r="D635" s="329" t="str">
        <f ca="1">' '!$A$449</f>
        <v>Source</v>
      </c>
      <c r="E635" s="328" t="str">
        <f ca="1">' '!$A$450</f>
        <v>Moment de l'enquête &amp; Comparaison avec la branche</v>
      </c>
      <c r="F635" s="328"/>
    </row>
    <row r="636" spans="1:6" x14ac:dyDescent="0.3">
      <c r="A636" s="323"/>
      <c r="C636" s="1143"/>
      <c r="D636" s="1144"/>
      <c r="E636" s="1143"/>
      <c r="F636" s="1144"/>
    </row>
    <row r="637" spans="1:6" x14ac:dyDescent="0.3">
      <c r="A637" s="323"/>
      <c r="C637" s="1143"/>
      <c r="D637" s="1144"/>
      <c r="E637" s="1143"/>
      <c r="F637" s="1144"/>
    </row>
    <row r="638" spans="1:6" x14ac:dyDescent="0.3">
      <c r="A638" s="323"/>
      <c r="C638" s="1143"/>
      <c r="D638" s="1144"/>
      <c r="E638" s="1143"/>
      <c r="F638" s="1144"/>
    </row>
    <row r="639" spans="1:6" x14ac:dyDescent="0.3">
      <c r="A639" s="323"/>
      <c r="C639" s="328"/>
      <c r="D639" s="328"/>
      <c r="E639" s="328"/>
      <c r="F639" s="328"/>
    </row>
    <row r="640" spans="1:6" ht="15.6" x14ac:dyDescent="0.3">
      <c r="A640" s="323"/>
      <c r="D640" s="324"/>
    </row>
    <row r="641" spans="1:6" ht="24" customHeight="1" x14ac:dyDescent="0.3">
      <c r="A641" s="323"/>
      <c r="C641" s="325" t="s">
        <v>816</v>
      </c>
      <c r="D641" s="326">
        <f>_o54</f>
        <v>0</v>
      </c>
      <c r="E641" s="327"/>
      <c r="F641" s="327"/>
    </row>
    <row r="642" spans="1:6" x14ac:dyDescent="0.3">
      <c r="A642" s="323"/>
    </row>
    <row r="643" spans="1:6" x14ac:dyDescent="0.3">
      <c r="A643" s="323"/>
      <c r="C643" s="328"/>
      <c r="D643" s="328" t="str">
        <f ca="1">' '!$A$448</f>
        <v>Description/Remarques</v>
      </c>
      <c r="E643" s="328"/>
      <c r="F643" s="328"/>
    </row>
    <row r="644" spans="1:6" x14ac:dyDescent="0.3">
      <c r="A644" s="323"/>
      <c r="C644" s="1142"/>
      <c r="D644" s="1142"/>
      <c r="E644" s="1142"/>
      <c r="F644" s="1142"/>
    </row>
    <row r="645" spans="1:6" x14ac:dyDescent="0.3">
      <c r="A645" s="323"/>
      <c r="C645" s="328"/>
      <c r="D645" s="328" t="str">
        <f ca="1">' '!$A$447</f>
        <v>Calcul</v>
      </c>
      <c r="E645" s="328"/>
      <c r="F645" s="328"/>
    </row>
    <row r="646" spans="1:6" x14ac:dyDescent="0.3">
      <c r="A646" s="323"/>
      <c r="C646" s="1142"/>
      <c r="D646" s="1142"/>
      <c r="E646" s="1142" t="s">
        <v>857</v>
      </c>
      <c r="F646" s="1142"/>
    </row>
    <row r="647" spans="1:6" x14ac:dyDescent="0.3">
      <c r="A647" s="323"/>
      <c r="C647" s="328"/>
      <c r="D647" s="329" t="str">
        <f ca="1">' '!$A$449</f>
        <v>Source</v>
      </c>
      <c r="E647" s="328" t="str">
        <f ca="1">' '!$A$450</f>
        <v>Moment de l'enquête &amp; Comparaison avec la branche</v>
      </c>
      <c r="F647" s="328"/>
    </row>
    <row r="648" spans="1:6" x14ac:dyDescent="0.3">
      <c r="A648" s="323"/>
      <c r="C648" s="1143"/>
      <c r="D648" s="1144"/>
      <c r="E648" s="1143"/>
      <c r="F648" s="1144"/>
    </row>
    <row r="649" spans="1:6" x14ac:dyDescent="0.3">
      <c r="A649" s="323"/>
      <c r="C649" s="1143"/>
      <c r="D649" s="1144"/>
      <c r="E649" s="1143"/>
      <c r="F649" s="1144"/>
    </row>
    <row r="650" spans="1:6" x14ac:dyDescent="0.3">
      <c r="A650" s="323"/>
      <c r="C650" s="1143"/>
      <c r="D650" s="1144"/>
      <c r="E650" s="1143"/>
      <c r="F650" s="1144"/>
    </row>
    <row r="651" spans="1:6" x14ac:dyDescent="0.3">
      <c r="A651" s="323"/>
      <c r="C651" s="328"/>
      <c r="D651" s="328"/>
      <c r="E651" s="328"/>
      <c r="F651" s="328"/>
    </row>
    <row r="652" spans="1:6" ht="15.6" x14ac:dyDescent="0.3">
      <c r="A652" s="323"/>
      <c r="D652" s="324"/>
    </row>
    <row r="653" spans="1:6" ht="24" customHeight="1" x14ac:dyDescent="0.3">
      <c r="A653" s="323"/>
      <c r="C653" s="325" t="s">
        <v>818</v>
      </c>
      <c r="D653" s="326">
        <f>_o55</f>
        <v>0</v>
      </c>
      <c r="E653" s="327"/>
      <c r="F653" s="327"/>
    </row>
    <row r="654" spans="1:6" x14ac:dyDescent="0.3">
      <c r="A654" s="323"/>
    </row>
    <row r="655" spans="1:6" x14ac:dyDescent="0.3">
      <c r="A655" s="323"/>
      <c r="C655" s="328"/>
      <c r="D655" s="328" t="str">
        <f ca="1">' '!$A$448</f>
        <v>Description/Remarques</v>
      </c>
      <c r="E655" s="328"/>
      <c r="F655" s="328"/>
    </row>
    <row r="656" spans="1:6" x14ac:dyDescent="0.3">
      <c r="A656" s="323"/>
      <c r="C656" s="1142"/>
      <c r="D656" s="1142"/>
      <c r="E656" s="1142"/>
      <c r="F656" s="1142"/>
    </row>
    <row r="657" spans="1:6" x14ac:dyDescent="0.3">
      <c r="A657" s="323"/>
      <c r="C657" s="328"/>
      <c r="D657" s="328" t="str">
        <f ca="1">' '!$A$447</f>
        <v>Calcul</v>
      </c>
      <c r="E657" s="328"/>
      <c r="F657" s="328"/>
    </row>
    <row r="658" spans="1:6" x14ac:dyDescent="0.3">
      <c r="A658" s="323"/>
      <c r="C658" s="1142"/>
      <c r="D658" s="1142"/>
      <c r="E658" s="1142" t="s">
        <v>857</v>
      </c>
      <c r="F658" s="1142"/>
    </row>
    <row r="659" spans="1:6" x14ac:dyDescent="0.3">
      <c r="A659" s="323"/>
      <c r="C659" s="328"/>
      <c r="D659" s="329" t="str">
        <f ca="1">' '!$A$449</f>
        <v>Source</v>
      </c>
      <c r="E659" s="328" t="str">
        <f ca="1">' '!$A$450</f>
        <v>Moment de l'enquête &amp; Comparaison avec la branche</v>
      </c>
      <c r="F659" s="328"/>
    </row>
    <row r="660" spans="1:6" x14ac:dyDescent="0.3">
      <c r="A660" s="323"/>
      <c r="C660" s="1143"/>
      <c r="D660" s="1144"/>
      <c r="E660" s="1143"/>
      <c r="F660" s="1144"/>
    </row>
    <row r="661" spans="1:6" x14ac:dyDescent="0.3">
      <c r="A661" s="323"/>
      <c r="C661" s="1143"/>
      <c r="D661" s="1144"/>
      <c r="E661" s="1143"/>
      <c r="F661" s="1144"/>
    </row>
    <row r="662" spans="1:6" x14ac:dyDescent="0.3">
      <c r="A662" s="323"/>
      <c r="C662" s="1143"/>
      <c r="D662" s="1144"/>
      <c r="E662" s="1143"/>
      <c r="F662" s="1144"/>
    </row>
    <row r="663" spans="1:6" x14ac:dyDescent="0.3">
      <c r="A663" s="323"/>
      <c r="C663" s="328"/>
      <c r="D663" s="328"/>
      <c r="E663" s="328"/>
      <c r="F663" s="328"/>
    </row>
    <row r="664" spans="1:6" ht="15.6" x14ac:dyDescent="0.3">
      <c r="A664" s="323"/>
      <c r="D664" s="324"/>
    </row>
    <row r="665" spans="1:6" ht="24" customHeight="1" x14ac:dyDescent="0.3">
      <c r="A665" s="323"/>
      <c r="C665" s="325" t="s">
        <v>819</v>
      </c>
      <c r="D665" s="326">
        <f>_o56</f>
        <v>0</v>
      </c>
      <c r="E665" s="327"/>
      <c r="F665" s="327"/>
    </row>
    <row r="666" spans="1:6" x14ac:dyDescent="0.3">
      <c r="A666" s="323"/>
    </row>
    <row r="667" spans="1:6" x14ac:dyDescent="0.3">
      <c r="A667" s="323"/>
      <c r="C667" s="328"/>
      <c r="D667" s="328" t="str">
        <f ca="1">' '!$A$448</f>
        <v>Description/Remarques</v>
      </c>
      <c r="E667" s="328"/>
      <c r="F667" s="328"/>
    </row>
    <row r="668" spans="1:6" x14ac:dyDescent="0.3">
      <c r="A668" s="323"/>
      <c r="C668" s="1142"/>
      <c r="D668" s="1142"/>
      <c r="E668" s="1142"/>
      <c r="F668" s="1142"/>
    </row>
    <row r="669" spans="1:6" x14ac:dyDescent="0.3">
      <c r="A669" s="323"/>
      <c r="C669" s="328"/>
      <c r="D669" s="328" t="str">
        <f ca="1">' '!$A$447</f>
        <v>Calcul</v>
      </c>
      <c r="E669" s="328"/>
      <c r="F669" s="328"/>
    </row>
    <row r="670" spans="1:6" x14ac:dyDescent="0.3">
      <c r="A670" s="323"/>
      <c r="C670" s="1142"/>
      <c r="D670" s="1142"/>
      <c r="E670" s="1142" t="s">
        <v>857</v>
      </c>
      <c r="F670" s="1142"/>
    </row>
    <row r="671" spans="1:6" x14ac:dyDescent="0.3">
      <c r="A671" s="323"/>
      <c r="C671" s="328"/>
      <c r="D671" s="329" t="str">
        <f ca="1">' '!$A$449</f>
        <v>Source</v>
      </c>
      <c r="E671" s="328" t="str">
        <f ca="1">' '!$A$450</f>
        <v>Moment de l'enquête &amp; Comparaison avec la branche</v>
      </c>
      <c r="F671" s="328"/>
    </row>
    <row r="672" spans="1:6" x14ac:dyDescent="0.3">
      <c r="A672" s="323"/>
      <c r="C672" s="1143"/>
      <c r="D672" s="1144"/>
      <c r="E672" s="1143"/>
      <c r="F672" s="1144"/>
    </row>
    <row r="673" spans="1:6" x14ac:dyDescent="0.3">
      <c r="A673" s="323"/>
      <c r="C673" s="1143"/>
      <c r="D673" s="1144"/>
      <c r="E673" s="1143"/>
      <c r="F673" s="1144"/>
    </row>
    <row r="674" spans="1:6" x14ac:dyDescent="0.3">
      <c r="A674" s="323"/>
      <c r="C674" s="1143"/>
      <c r="D674" s="1144"/>
      <c r="E674" s="1143"/>
      <c r="F674" s="1144"/>
    </row>
    <row r="675" spans="1:6" x14ac:dyDescent="0.3">
      <c r="A675" s="323"/>
      <c r="C675" s="328"/>
      <c r="D675" s="328"/>
      <c r="E675" s="328"/>
      <c r="F675" s="328"/>
    </row>
    <row r="676" spans="1:6" ht="15.6" x14ac:dyDescent="0.3">
      <c r="A676" s="323"/>
      <c r="D676" s="324"/>
    </row>
    <row r="677" spans="1:6" ht="24" customHeight="1" x14ac:dyDescent="0.3">
      <c r="A677" s="323"/>
      <c r="C677" s="325" t="s">
        <v>821</v>
      </c>
      <c r="D677" s="326">
        <f>_o57</f>
        <v>0</v>
      </c>
      <c r="E677" s="327"/>
      <c r="F677" s="327"/>
    </row>
    <row r="678" spans="1:6" x14ac:dyDescent="0.3">
      <c r="A678" s="323"/>
    </row>
    <row r="679" spans="1:6" x14ac:dyDescent="0.3">
      <c r="A679" s="323"/>
      <c r="C679" s="328"/>
      <c r="D679" s="328" t="str">
        <f ca="1">' '!$A$448</f>
        <v>Description/Remarques</v>
      </c>
      <c r="E679" s="328"/>
      <c r="F679" s="328"/>
    </row>
    <row r="680" spans="1:6" x14ac:dyDescent="0.3">
      <c r="A680" s="323"/>
      <c r="C680" s="1142"/>
      <c r="D680" s="1142"/>
      <c r="E680" s="1142"/>
      <c r="F680" s="1142"/>
    </row>
    <row r="681" spans="1:6" x14ac:dyDescent="0.3">
      <c r="A681" s="323"/>
      <c r="C681" s="328"/>
      <c r="D681" s="328" t="str">
        <f ca="1">' '!$A$447</f>
        <v>Calcul</v>
      </c>
      <c r="E681" s="328"/>
      <c r="F681" s="328"/>
    </row>
    <row r="682" spans="1:6" x14ac:dyDescent="0.3">
      <c r="A682" s="323"/>
      <c r="C682" s="1142"/>
      <c r="D682" s="1142"/>
      <c r="E682" s="1142" t="s">
        <v>857</v>
      </c>
      <c r="F682" s="1142"/>
    </row>
    <row r="683" spans="1:6" x14ac:dyDescent="0.3">
      <c r="A683" s="323"/>
      <c r="C683" s="328"/>
      <c r="D683" s="329" t="str">
        <f ca="1">' '!$A$449</f>
        <v>Source</v>
      </c>
      <c r="E683" s="328" t="str">
        <f ca="1">' '!$A$450</f>
        <v>Moment de l'enquête &amp; Comparaison avec la branche</v>
      </c>
      <c r="F683" s="328"/>
    </row>
    <row r="684" spans="1:6" x14ac:dyDescent="0.3">
      <c r="A684" s="323"/>
      <c r="C684" s="1143"/>
      <c r="D684" s="1144"/>
      <c r="E684" s="1143"/>
      <c r="F684" s="1144"/>
    </row>
    <row r="685" spans="1:6" x14ac:dyDescent="0.3">
      <c r="A685" s="323"/>
      <c r="C685" s="1143"/>
      <c r="D685" s="1144"/>
      <c r="E685" s="1143"/>
      <c r="F685" s="1144"/>
    </row>
    <row r="686" spans="1:6" x14ac:dyDescent="0.3">
      <c r="A686" s="323"/>
      <c r="C686" s="1143"/>
      <c r="D686" s="1144"/>
      <c r="E686" s="1143"/>
      <c r="F686" s="1144"/>
    </row>
    <row r="687" spans="1:6" x14ac:dyDescent="0.3">
      <c r="A687" s="323"/>
      <c r="C687" s="328"/>
      <c r="D687" s="328"/>
      <c r="E687" s="328"/>
      <c r="F687" s="328"/>
    </row>
    <row r="688" spans="1:6" ht="15.6" x14ac:dyDescent="0.3">
      <c r="A688" s="323"/>
      <c r="D688" s="324"/>
    </row>
    <row r="689" spans="1:6" ht="24" customHeight="1" x14ac:dyDescent="0.3">
      <c r="A689" s="323"/>
      <c r="C689" s="325" t="s">
        <v>822</v>
      </c>
      <c r="D689" s="326">
        <f>_o58</f>
        <v>0</v>
      </c>
      <c r="E689" s="327"/>
      <c r="F689" s="327"/>
    </row>
    <row r="690" spans="1:6" x14ac:dyDescent="0.3">
      <c r="A690" s="323"/>
    </row>
    <row r="691" spans="1:6" x14ac:dyDescent="0.3">
      <c r="A691" s="323"/>
      <c r="C691" s="328"/>
      <c r="D691" s="328" t="str">
        <f ca="1">' '!$A$448</f>
        <v>Description/Remarques</v>
      </c>
      <c r="E691" s="328"/>
      <c r="F691" s="328"/>
    </row>
    <row r="692" spans="1:6" x14ac:dyDescent="0.3">
      <c r="A692" s="323"/>
      <c r="C692" s="1142"/>
      <c r="D692" s="1142"/>
      <c r="E692" s="1142"/>
      <c r="F692" s="1142"/>
    </row>
    <row r="693" spans="1:6" x14ac:dyDescent="0.3">
      <c r="A693" s="323"/>
      <c r="C693" s="328"/>
      <c r="D693" s="328" t="str">
        <f ca="1">' '!$A$447</f>
        <v>Calcul</v>
      </c>
      <c r="E693" s="328"/>
      <c r="F693" s="328"/>
    </row>
    <row r="694" spans="1:6" x14ac:dyDescent="0.3">
      <c r="A694" s="323"/>
      <c r="C694" s="1142"/>
      <c r="D694" s="1142"/>
      <c r="E694" s="1142" t="s">
        <v>857</v>
      </c>
      <c r="F694" s="1142"/>
    </row>
    <row r="695" spans="1:6" x14ac:dyDescent="0.3">
      <c r="A695" s="323"/>
      <c r="C695" s="328"/>
      <c r="D695" s="329" t="str">
        <f ca="1">' '!$A$449</f>
        <v>Source</v>
      </c>
      <c r="E695" s="328" t="str">
        <f ca="1">' '!$A$450</f>
        <v>Moment de l'enquête &amp; Comparaison avec la branche</v>
      </c>
      <c r="F695" s="328"/>
    </row>
    <row r="696" spans="1:6" x14ac:dyDescent="0.3">
      <c r="A696" s="323"/>
      <c r="C696" s="1143"/>
      <c r="D696" s="1144"/>
      <c r="E696" s="1143"/>
      <c r="F696" s="1144"/>
    </row>
    <row r="697" spans="1:6" x14ac:dyDescent="0.3">
      <c r="A697" s="323"/>
      <c r="C697" s="1143"/>
      <c r="D697" s="1144"/>
      <c r="E697" s="1143"/>
      <c r="F697" s="1144"/>
    </row>
    <row r="698" spans="1:6" x14ac:dyDescent="0.3">
      <c r="A698" s="323"/>
      <c r="C698" s="1143"/>
      <c r="D698" s="1144"/>
      <c r="E698" s="1143"/>
      <c r="F698" s="1144"/>
    </row>
    <row r="699" spans="1:6" x14ac:dyDescent="0.3">
      <c r="A699" s="323"/>
      <c r="C699" s="328"/>
      <c r="D699" s="328"/>
      <c r="E699" s="328"/>
      <c r="F699" s="328"/>
    </row>
    <row r="700" spans="1:6" ht="15.6" x14ac:dyDescent="0.3">
      <c r="A700" s="323"/>
      <c r="D700" s="324"/>
    </row>
    <row r="701" spans="1:6" ht="24" customHeight="1" x14ac:dyDescent="0.3">
      <c r="A701" s="323"/>
      <c r="C701" s="325" t="s">
        <v>824</v>
      </c>
      <c r="D701" s="326">
        <f>_o59</f>
        <v>0</v>
      </c>
      <c r="E701" s="327"/>
      <c r="F701" s="327"/>
    </row>
    <row r="702" spans="1:6" x14ac:dyDescent="0.3">
      <c r="A702" s="323"/>
    </row>
    <row r="703" spans="1:6" x14ac:dyDescent="0.3">
      <c r="A703" s="323"/>
      <c r="C703" s="328"/>
      <c r="D703" s="328" t="str">
        <f ca="1">' '!$A$448</f>
        <v>Description/Remarques</v>
      </c>
      <c r="E703" s="328"/>
      <c r="F703" s="328"/>
    </row>
    <row r="704" spans="1:6" x14ac:dyDescent="0.3">
      <c r="A704" s="323"/>
      <c r="C704" s="1142"/>
      <c r="D704" s="1142"/>
      <c r="E704" s="1142"/>
      <c r="F704" s="1142"/>
    </row>
    <row r="705" spans="1:6" x14ac:dyDescent="0.3">
      <c r="A705" s="323"/>
      <c r="C705" s="328"/>
      <c r="D705" s="328" t="str">
        <f ca="1">' '!$A$447</f>
        <v>Calcul</v>
      </c>
      <c r="E705" s="328"/>
      <c r="F705" s="328"/>
    </row>
    <row r="706" spans="1:6" x14ac:dyDescent="0.3">
      <c r="A706" s="323"/>
      <c r="C706" s="1142"/>
      <c r="D706" s="1142"/>
      <c r="E706" s="1142" t="s">
        <v>857</v>
      </c>
      <c r="F706" s="1142"/>
    </row>
    <row r="707" spans="1:6" x14ac:dyDescent="0.3">
      <c r="A707" s="323"/>
      <c r="C707" s="328"/>
      <c r="D707" s="329" t="str">
        <f ca="1">' '!$A$449</f>
        <v>Source</v>
      </c>
      <c r="E707" s="328" t="str">
        <f ca="1">' '!$A$450</f>
        <v>Moment de l'enquête &amp; Comparaison avec la branche</v>
      </c>
      <c r="F707" s="328"/>
    </row>
    <row r="708" spans="1:6" x14ac:dyDescent="0.3">
      <c r="A708" s="323"/>
      <c r="C708" s="1143"/>
      <c r="D708" s="1144"/>
      <c r="E708" s="1143"/>
      <c r="F708" s="1144"/>
    </row>
    <row r="709" spans="1:6" x14ac:dyDescent="0.3">
      <c r="A709" s="323"/>
      <c r="C709" s="1143"/>
      <c r="D709" s="1144"/>
      <c r="E709" s="1143"/>
      <c r="F709" s="1144"/>
    </row>
    <row r="710" spans="1:6" x14ac:dyDescent="0.3">
      <c r="A710" s="323"/>
      <c r="C710" s="1143"/>
      <c r="D710" s="1144"/>
      <c r="E710" s="1143"/>
      <c r="F710" s="1144"/>
    </row>
    <row r="711" spans="1:6" x14ac:dyDescent="0.3">
      <c r="A711" s="323"/>
      <c r="C711" s="328"/>
      <c r="D711" s="328"/>
      <c r="E711" s="328"/>
      <c r="F711" s="328"/>
    </row>
    <row r="712" spans="1:6" ht="15.6" x14ac:dyDescent="0.3">
      <c r="A712" s="323"/>
      <c r="D712" s="324"/>
    </row>
    <row r="713" spans="1:6" ht="24" customHeight="1" x14ac:dyDescent="0.3">
      <c r="A713" s="323"/>
      <c r="C713" s="325" t="s">
        <v>825</v>
      </c>
      <c r="D713" s="326">
        <f>_o60</f>
        <v>0</v>
      </c>
      <c r="E713" s="327"/>
      <c r="F713" s="327"/>
    </row>
    <row r="714" spans="1:6" x14ac:dyDescent="0.3">
      <c r="A714" s="323"/>
    </row>
    <row r="715" spans="1:6" x14ac:dyDescent="0.3">
      <c r="A715" s="323"/>
      <c r="C715" s="328"/>
      <c r="D715" s="328" t="str">
        <f ca="1">' '!$A$448</f>
        <v>Description/Remarques</v>
      </c>
      <c r="E715" s="328"/>
      <c r="F715" s="328"/>
    </row>
    <row r="716" spans="1:6" x14ac:dyDescent="0.3">
      <c r="A716" s="323"/>
      <c r="C716" s="1142"/>
      <c r="D716" s="1142"/>
      <c r="E716" s="1142"/>
      <c r="F716" s="1142"/>
    </row>
    <row r="717" spans="1:6" x14ac:dyDescent="0.3">
      <c r="A717" s="323"/>
      <c r="C717" s="328"/>
      <c r="D717" s="328" t="str">
        <f ca="1">' '!$A$447</f>
        <v>Calcul</v>
      </c>
      <c r="E717" s="328"/>
      <c r="F717" s="328"/>
    </row>
    <row r="718" spans="1:6" x14ac:dyDescent="0.3">
      <c r="A718" s="323"/>
      <c r="C718" s="1142"/>
      <c r="D718" s="1142"/>
      <c r="E718" s="1142" t="s">
        <v>857</v>
      </c>
      <c r="F718" s="1142"/>
    </row>
    <row r="719" spans="1:6" x14ac:dyDescent="0.3">
      <c r="A719" s="323"/>
      <c r="C719" s="328"/>
      <c r="D719" s="329" t="str">
        <f ca="1">' '!$A$449</f>
        <v>Source</v>
      </c>
      <c r="E719" s="328" t="str">
        <f ca="1">' '!$A$450</f>
        <v>Moment de l'enquête &amp; Comparaison avec la branche</v>
      </c>
      <c r="F719" s="328"/>
    </row>
    <row r="720" spans="1:6" x14ac:dyDescent="0.3">
      <c r="A720" s="323"/>
      <c r="C720" s="1143"/>
      <c r="D720" s="1144"/>
      <c r="E720" s="1143"/>
      <c r="F720" s="1144"/>
    </row>
    <row r="721" spans="1:6" x14ac:dyDescent="0.3">
      <c r="A721" s="323"/>
      <c r="C721" s="1143"/>
      <c r="D721" s="1144"/>
      <c r="E721" s="1143"/>
      <c r="F721" s="1144"/>
    </row>
    <row r="722" spans="1:6" x14ac:dyDescent="0.3">
      <c r="A722" s="323"/>
      <c r="C722" s="1143"/>
      <c r="D722" s="1144"/>
      <c r="E722" s="1143"/>
      <c r="F722" s="1144"/>
    </row>
    <row r="723" spans="1:6" x14ac:dyDescent="0.3">
      <c r="A723" s="323"/>
      <c r="C723" s="328"/>
      <c r="D723" s="328"/>
      <c r="E723" s="328"/>
      <c r="F723" s="328"/>
    </row>
    <row r="724" spans="1:6" ht="15.6" x14ac:dyDescent="0.3">
      <c r="A724" s="323"/>
      <c r="D724" s="324"/>
    </row>
    <row r="725" spans="1:6" ht="24" customHeight="1" x14ac:dyDescent="0.3">
      <c r="A725" s="323"/>
      <c r="C725" s="325" t="s">
        <v>827</v>
      </c>
      <c r="D725" s="326">
        <f>_o61</f>
        <v>0</v>
      </c>
      <c r="E725" s="327"/>
      <c r="F725" s="327"/>
    </row>
    <row r="726" spans="1:6" x14ac:dyDescent="0.3">
      <c r="A726" s="323"/>
    </row>
    <row r="727" spans="1:6" x14ac:dyDescent="0.3">
      <c r="A727" s="323"/>
      <c r="C727" s="328"/>
      <c r="D727" s="328" t="str">
        <f ca="1">' '!$A$448</f>
        <v>Description/Remarques</v>
      </c>
      <c r="E727" s="328"/>
      <c r="F727" s="328"/>
    </row>
    <row r="728" spans="1:6" x14ac:dyDescent="0.3">
      <c r="A728" s="323"/>
      <c r="C728" s="1142"/>
      <c r="D728" s="1142"/>
      <c r="E728" s="1142"/>
      <c r="F728" s="1142"/>
    </row>
    <row r="729" spans="1:6" x14ac:dyDescent="0.3">
      <c r="A729" s="323"/>
      <c r="C729" s="328"/>
      <c r="D729" s="328" t="str">
        <f ca="1">' '!$A$447</f>
        <v>Calcul</v>
      </c>
      <c r="E729" s="328"/>
      <c r="F729" s="328"/>
    </row>
    <row r="730" spans="1:6" x14ac:dyDescent="0.3">
      <c r="A730" s="323"/>
      <c r="C730" s="1142"/>
      <c r="D730" s="1142"/>
      <c r="E730" s="1142" t="s">
        <v>857</v>
      </c>
      <c r="F730" s="1142"/>
    </row>
    <row r="731" spans="1:6" x14ac:dyDescent="0.3">
      <c r="A731" s="323"/>
      <c r="C731" s="328"/>
      <c r="D731" s="329" t="str">
        <f ca="1">' '!$A$449</f>
        <v>Source</v>
      </c>
      <c r="E731" s="328" t="str">
        <f ca="1">' '!$A$450</f>
        <v>Moment de l'enquête &amp; Comparaison avec la branche</v>
      </c>
      <c r="F731" s="328"/>
    </row>
    <row r="732" spans="1:6" x14ac:dyDescent="0.3">
      <c r="A732" s="323"/>
      <c r="C732" s="1143"/>
      <c r="D732" s="1144"/>
      <c r="E732" s="1143"/>
      <c r="F732" s="1144"/>
    </row>
    <row r="733" spans="1:6" x14ac:dyDescent="0.3">
      <c r="A733" s="323"/>
      <c r="C733" s="1143"/>
      <c r="D733" s="1144"/>
      <c r="E733" s="1143"/>
      <c r="F733" s="1144"/>
    </row>
    <row r="734" spans="1:6" x14ac:dyDescent="0.3">
      <c r="A734" s="323"/>
      <c r="C734" s="1143"/>
      <c r="D734" s="1144"/>
      <c r="E734" s="1143"/>
      <c r="F734" s="1144"/>
    </row>
    <row r="735" spans="1:6" x14ac:dyDescent="0.3">
      <c r="A735" s="323"/>
      <c r="C735" s="328"/>
      <c r="D735" s="328"/>
      <c r="E735" s="328"/>
      <c r="F735" s="328"/>
    </row>
    <row r="736" spans="1:6" ht="15.6" x14ac:dyDescent="0.3">
      <c r="A736" s="323"/>
      <c r="D736" s="324"/>
    </row>
    <row r="737" spans="1:6" ht="24" customHeight="1" x14ac:dyDescent="0.3">
      <c r="A737" s="323"/>
      <c r="C737" s="325" t="s">
        <v>828</v>
      </c>
      <c r="D737" s="326">
        <f>_o62</f>
        <v>0</v>
      </c>
      <c r="E737" s="327"/>
      <c r="F737" s="327"/>
    </row>
    <row r="738" spans="1:6" x14ac:dyDescent="0.3">
      <c r="A738" s="323"/>
    </row>
    <row r="739" spans="1:6" x14ac:dyDescent="0.3">
      <c r="A739" s="323"/>
      <c r="C739" s="328"/>
      <c r="D739" s="328" t="str">
        <f ca="1">' '!$A$448</f>
        <v>Description/Remarques</v>
      </c>
      <c r="E739" s="328"/>
      <c r="F739" s="328"/>
    </row>
    <row r="740" spans="1:6" x14ac:dyDescent="0.3">
      <c r="A740" s="323"/>
      <c r="C740" s="1142"/>
      <c r="D740" s="1142"/>
      <c r="E740" s="1142"/>
      <c r="F740" s="1142"/>
    </row>
    <row r="741" spans="1:6" x14ac:dyDescent="0.3">
      <c r="A741" s="323"/>
      <c r="C741" s="328"/>
      <c r="D741" s="328" t="str">
        <f ca="1">' '!$A$447</f>
        <v>Calcul</v>
      </c>
      <c r="E741" s="328"/>
      <c r="F741" s="328"/>
    </row>
    <row r="742" spans="1:6" x14ac:dyDescent="0.3">
      <c r="A742" s="323"/>
      <c r="C742" s="1142"/>
      <c r="D742" s="1142"/>
      <c r="E742" s="1142" t="s">
        <v>857</v>
      </c>
      <c r="F742" s="1142"/>
    </row>
    <row r="743" spans="1:6" x14ac:dyDescent="0.3">
      <c r="A743" s="323"/>
      <c r="C743" s="328"/>
      <c r="D743" s="329" t="str">
        <f ca="1">' '!$A$449</f>
        <v>Source</v>
      </c>
      <c r="E743" s="328" t="str">
        <f ca="1">' '!$A$450</f>
        <v>Moment de l'enquête &amp; Comparaison avec la branche</v>
      </c>
      <c r="F743" s="328"/>
    </row>
    <row r="744" spans="1:6" x14ac:dyDescent="0.3">
      <c r="A744" s="323"/>
      <c r="C744" s="1143"/>
      <c r="D744" s="1144"/>
      <c r="E744" s="1143"/>
      <c r="F744" s="1144"/>
    </row>
    <row r="745" spans="1:6" x14ac:dyDescent="0.3">
      <c r="A745" s="323"/>
      <c r="C745" s="1143"/>
      <c r="D745" s="1144"/>
      <c r="E745" s="1143"/>
      <c r="F745" s="1144"/>
    </row>
    <row r="746" spans="1:6" x14ac:dyDescent="0.3">
      <c r="A746" s="323"/>
      <c r="C746" s="1143"/>
      <c r="D746" s="1144"/>
      <c r="E746" s="1143"/>
      <c r="F746" s="1144"/>
    </row>
    <row r="747" spans="1:6" x14ac:dyDescent="0.3">
      <c r="A747" s="323"/>
      <c r="C747" s="328"/>
      <c r="D747" s="328"/>
      <c r="E747" s="328"/>
      <c r="F747" s="328"/>
    </row>
    <row r="748" spans="1:6" ht="15.6" x14ac:dyDescent="0.3">
      <c r="A748" s="323"/>
      <c r="D748" s="324"/>
    </row>
    <row r="749" spans="1:6" ht="24" customHeight="1" x14ac:dyDescent="0.3">
      <c r="A749" s="323"/>
      <c r="C749" s="325" t="s">
        <v>830</v>
      </c>
      <c r="D749" s="326">
        <f>_o63</f>
        <v>0</v>
      </c>
      <c r="E749" s="327"/>
      <c r="F749" s="327"/>
    </row>
    <row r="750" spans="1:6" x14ac:dyDescent="0.3">
      <c r="A750" s="323"/>
    </row>
    <row r="751" spans="1:6" x14ac:dyDescent="0.3">
      <c r="A751" s="323"/>
      <c r="C751" s="328"/>
      <c r="D751" s="328" t="str">
        <f ca="1">' '!$A$448</f>
        <v>Description/Remarques</v>
      </c>
      <c r="E751" s="328"/>
      <c r="F751" s="328"/>
    </row>
    <row r="752" spans="1:6" x14ac:dyDescent="0.3">
      <c r="A752" s="323"/>
      <c r="C752" s="1142"/>
      <c r="D752" s="1142"/>
      <c r="E752" s="1142"/>
      <c r="F752" s="1142"/>
    </row>
    <row r="753" spans="1:6" x14ac:dyDescent="0.3">
      <c r="A753" s="323"/>
      <c r="C753" s="328"/>
      <c r="D753" s="328" t="str">
        <f ca="1">' '!$A$447</f>
        <v>Calcul</v>
      </c>
      <c r="E753" s="328"/>
      <c r="F753" s="328"/>
    </row>
    <row r="754" spans="1:6" x14ac:dyDescent="0.3">
      <c r="A754" s="323"/>
      <c r="C754" s="1142"/>
      <c r="D754" s="1142"/>
      <c r="E754" s="1142" t="s">
        <v>857</v>
      </c>
      <c r="F754" s="1142"/>
    </row>
    <row r="755" spans="1:6" x14ac:dyDescent="0.3">
      <c r="A755" s="323"/>
      <c r="C755" s="328"/>
      <c r="D755" s="329" t="str">
        <f ca="1">' '!$A$449</f>
        <v>Source</v>
      </c>
      <c r="E755" s="328" t="str">
        <f ca="1">' '!$A$450</f>
        <v>Moment de l'enquête &amp; Comparaison avec la branche</v>
      </c>
      <c r="F755" s="328"/>
    </row>
    <row r="756" spans="1:6" x14ac:dyDescent="0.3">
      <c r="A756" s="323"/>
      <c r="C756" s="1143"/>
      <c r="D756" s="1144"/>
      <c r="E756" s="1143"/>
      <c r="F756" s="1144"/>
    </row>
    <row r="757" spans="1:6" x14ac:dyDescent="0.3">
      <c r="A757" s="323"/>
      <c r="C757" s="1143"/>
      <c r="D757" s="1144"/>
      <c r="E757" s="1143"/>
      <c r="F757" s="1144"/>
    </row>
    <row r="758" spans="1:6" x14ac:dyDescent="0.3">
      <c r="A758" s="323"/>
      <c r="C758" s="1143"/>
      <c r="D758" s="1144"/>
      <c r="E758" s="1143"/>
      <c r="F758" s="1144"/>
    </row>
    <row r="759" spans="1:6" x14ac:dyDescent="0.3">
      <c r="A759" s="323"/>
      <c r="C759" s="328"/>
      <c r="D759" s="328"/>
      <c r="E759" s="328"/>
      <c r="F759" s="328"/>
    </row>
    <row r="760" spans="1:6" ht="15.6" x14ac:dyDescent="0.3">
      <c r="A760" s="323"/>
      <c r="D760" s="324"/>
    </row>
    <row r="761" spans="1:6" ht="24" customHeight="1" x14ac:dyDescent="0.3">
      <c r="A761" s="323"/>
      <c r="C761" s="325" t="s">
        <v>831</v>
      </c>
      <c r="D761" s="326">
        <f>_o64</f>
        <v>0</v>
      </c>
      <c r="E761" s="327"/>
      <c r="F761" s="327"/>
    </row>
    <row r="762" spans="1:6" x14ac:dyDescent="0.3">
      <c r="A762" s="323"/>
    </row>
    <row r="763" spans="1:6" x14ac:dyDescent="0.3">
      <c r="A763" s="323"/>
      <c r="C763" s="328"/>
      <c r="D763" s="328" t="str">
        <f ca="1">' '!$A$448</f>
        <v>Description/Remarques</v>
      </c>
      <c r="E763" s="328"/>
      <c r="F763" s="328"/>
    </row>
    <row r="764" spans="1:6" x14ac:dyDescent="0.3">
      <c r="A764" s="323"/>
      <c r="C764" s="1142"/>
      <c r="D764" s="1142"/>
      <c r="E764" s="1142"/>
      <c r="F764" s="1142"/>
    </row>
    <row r="765" spans="1:6" x14ac:dyDescent="0.3">
      <c r="A765" s="323"/>
      <c r="C765" s="328"/>
      <c r="D765" s="328" t="str">
        <f ca="1">' '!$A$447</f>
        <v>Calcul</v>
      </c>
      <c r="E765" s="328"/>
      <c r="F765" s="328"/>
    </row>
    <row r="766" spans="1:6" x14ac:dyDescent="0.3">
      <c r="A766" s="323"/>
      <c r="C766" s="1142"/>
      <c r="D766" s="1142"/>
      <c r="E766" s="1142" t="s">
        <v>857</v>
      </c>
      <c r="F766" s="1142"/>
    </row>
    <row r="767" spans="1:6" x14ac:dyDescent="0.3">
      <c r="A767" s="323"/>
      <c r="C767" s="328"/>
      <c r="D767" s="329" t="str">
        <f ca="1">' '!$A$449</f>
        <v>Source</v>
      </c>
      <c r="E767" s="328" t="str">
        <f ca="1">' '!$A$450</f>
        <v>Moment de l'enquête &amp; Comparaison avec la branche</v>
      </c>
      <c r="F767" s="328"/>
    </row>
    <row r="768" spans="1:6" x14ac:dyDescent="0.3">
      <c r="A768" s="323"/>
      <c r="C768" s="1143"/>
      <c r="D768" s="1144"/>
      <c r="E768" s="1143"/>
      <c r="F768" s="1144"/>
    </row>
    <row r="769" spans="1:6" x14ac:dyDescent="0.3">
      <c r="A769" s="323"/>
      <c r="C769" s="1143"/>
      <c r="D769" s="1144"/>
      <c r="E769" s="1143"/>
      <c r="F769" s="1144"/>
    </row>
    <row r="770" spans="1:6" x14ac:dyDescent="0.3">
      <c r="A770" s="323"/>
      <c r="C770" s="1143"/>
      <c r="D770" s="1144"/>
      <c r="E770" s="1143"/>
      <c r="F770" s="1144"/>
    </row>
    <row r="771" spans="1:6" x14ac:dyDescent="0.3">
      <c r="A771" s="323"/>
      <c r="C771" s="328"/>
      <c r="D771" s="328"/>
      <c r="E771" s="328"/>
      <c r="F771" s="328"/>
    </row>
    <row r="772" spans="1:6" ht="15.6" x14ac:dyDescent="0.3">
      <c r="A772" s="323"/>
      <c r="D772" s="324"/>
    </row>
    <row r="773" spans="1:6" ht="24" customHeight="1" x14ac:dyDescent="0.3">
      <c r="A773" s="323"/>
      <c r="C773" s="325" t="s">
        <v>833</v>
      </c>
      <c r="D773" s="326">
        <f>_o65</f>
        <v>0</v>
      </c>
      <c r="E773" s="327"/>
      <c r="F773" s="327"/>
    </row>
    <row r="774" spans="1:6" x14ac:dyDescent="0.3">
      <c r="A774" s="323"/>
    </row>
    <row r="775" spans="1:6" x14ac:dyDescent="0.3">
      <c r="A775" s="323"/>
      <c r="C775" s="328"/>
      <c r="D775" s="328" t="str">
        <f ca="1">' '!$A$448</f>
        <v>Description/Remarques</v>
      </c>
      <c r="E775" s="328"/>
      <c r="F775" s="328"/>
    </row>
    <row r="776" spans="1:6" x14ac:dyDescent="0.3">
      <c r="A776" s="323"/>
      <c r="C776" s="1142"/>
      <c r="D776" s="1142"/>
      <c r="E776" s="1142"/>
      <c r="F776" s="1142"/>
    </row>
    <row r="777" spans="1:6" x14ac:dyDescent="0.3">
      <c r="A777" s="323"/>
      <c r="C777" s="328"/>
      <c r="D777" s="328" t="str">
        <f ca="1">' '!$A$447</f>
        <v>Calcul</v>
      </c>
      <c r="E777" s="328"/>
      <c r="F777" s="328"/>
    </row>
    <row r="778" spans="1:6" x14ac:dyDescent="0.3">
      <c r="A778" s="323"/>
      <c r="C778" s="1142"/>
      <c r="D778" s="1142"/>
      <c r="E778" s="1142" t="s">
        <v>857</v>
      </c>
      <c r="F778" s="1142"/>
    </row>
    <row r="779" spans="1:6" x14ac:dyDescent="0.3">
      <c r="A779" s="323"/>
      <c r="C779" s="328"/>
      <c r="D779" s="329" t="str">
        <f ca="1">' '!$A$449</f>
        <v>Source</v>
      </c>
      <c r="E779" s="328" t="str">
        <f ca="1">' '!$A$450</f>
        <v>Moment de l'enquête &amp; Comparaison avec la branche</v>
      </c>
      <c r="F779" s="328"/>
    </row>
    <row r="780" spans="1:6" x14ac:dyDescent="0.3">
      <c r="A780" s="323"/>
      <c r="C780" s="1143"/>
      <c r="D780" s="1144"/>
      <c r="E780" s="1143"/>
      <c r="F780" s="1144"/>
    </row>
    <row r="781" spans="1:6" x14ac:dyDescent="0.3">
      <c r="A781" s="323"/>
      <c r="C781" s="1143"/>
      <c r="D781" s="1144"/>
      <c r="E781" s="1143"/>
      <c r="F781" s="1144"/>
    </row>
    <row r="782" spans="1:6" x14ac:dyDescent="0.3">
      <c r="A782" s="323"/>
      <c r="C782" s="1143"/>
      <c r="D782" s="1144"/>
      <c r="E782" s="1143"/>
      <c r="F782" s="1144"/>
    </row>
    <row r="783" spans="1:6" x14ac:dyDescent="0.3">
      <c r="A783" s="323"/>
      <c r="C783" s="328"/>
      <c r="D783" s="328"/>
      <c r="E783" s="328"/>
      <c r="F783" s="328"/>
    </row>
    <row r="784" spans="1:6" ht="15.6" x14ac:dyDescent="0.3">
      <c r="A784" s="323"/>
      <c r="D784" s="324"/>
    </row>
    <row r="785" spans="1:6" ht="24" customHeight="1" x14ac:dyDescent="0.3">
      <c r="A785" s="323"/>
      <c r="C785" s="325" t="s">
        <v>834</v>
      </c>
      <c r="D785" s="326">
        <f>_o66</f>
        <v>0</v>
      </c>
      <c r="E785" s="327"/>
      <c r="F785" s="327"/>
    </row>
    <row r="786" spans="1:6" x14ac:dyDescent="0.3">
      <c r="A786" s="323"/>
    </row>
    <row r="787" spans="1:6" x14ac:dyDescent="0.3">
      <c r="A787" s="323"/>
      <c r="C787" s="328"/>
      <c r="D787" s="328" t="str">
        <f ca="1">' '!$A$448</f>
        <v>Description/Remarques</v>
      </c>
      <c r="E787" s="328"/>
      <c r="F787" s="328"/>
    </row>
    <row r="788" spans="1:6" x14ac:dyDescent="0.3">
      <c r="A788" s="323"/>
      <c r="C788" s="1142"/>
      <c r="D788" s="1142"/>
      <c r="E788" s="1142"/>
      <c r="F788" s="1142"/>
    </row>
    <row r="789" spans="1:6" x14ac:dyDescent="0.3">
      <c r="A789" s="323"/>
      <c r="C789" s="328"/>
      <c r="D789" s="328" t="str">
        <f ca="1">' '!$A$447</f>
        <v>Calcul</v>
      </c>
      <c r="E789" s="328"/>
      <c r="F789" s="328"/>
    </row>
    <row r="790" spans="1:6" x14ac:dyDescent="0.3">
      <c r="A790" s="323"/>
      <c r="C790" s="1142"/>
      <c r="D790" s="1142"/>
      <c r="E790" s="1142" t="s">
        <v>857</v>
      </c>
      <c r="F790" s="1142"/>
    </row>
    <row r="791" spans="1:6" x14ac:dyDescent="0.3">
      <c r="A791" s="323"/>
      <c r="C791" s="328"/>
      <c r="D791" s="329" t="str">
        <f ca="1">' '!$A$449</f>
        <v>Source</v>
      </c>
      <c r="E791" s="328" t="str">
        <f ca="1">' '!$A$450</f>
        <v>Moment de l'enquête &amp; Comparaison avec la branche</v>
      </c>
      <c r="F791" s="328"/>
    </row>
    <row r="792" spans="1:6" x14ac:dyDescent="0.3">
      <c r="A792" s="323"/>
      <c r="C792" s="1143"/>
      <c r="D792" s="1144"/>
      <c r="E792" s="1143"/>
      <c r="F792" s="1144"/>
    </row>
    <row r="793" spans="1:6" x14ac:dyDescent="0.3">
      <c r="A793" s="323"/>
      <c r="C793" s="1143"/>
      <c r="D793" s="1144"/>
      <c r="E793" s="1143"/>
      <c r="F793" s="1144"/>
    </row>
    <row r="794" spans="1:6" x14ac:dyDescent="0.3">
      <c r="A794" s="323"/>
      <c r="C794" s="1143"/>
      <c r="D794" s="1144"/>
      <c r="E794" s="1143"/>
      <c r="F794" s="1144"/>
    </row>
    <row r="795" spans="1:6" x14ac:dyDescent="0.3">
      <c r="A795" s="323"/>
      <c r="C795" s="328"/>
      <c r="D795" s="328"/>
      <c r="E795" s="328"/>
      <c r="F795" s="328"/>
    </row>
    <row r="796" spans="1:6" ht="15.6" x14ac:dyDescent="0.3">
      <c r="A796" s="323"/>
      <c r="D796" s="324"/>
    </row>
    <row r="797" spans="1:6" ht="24" customHeight="1" x14ac:dyDescent="0.3">
      <c r="A797" s="323"/>
      <c r="C797" s="325" t="s">
        <v>836</v>
      </c>
      <c r="D797" s="326">
        <f>_o67</f>
        <v>0</v>
      </c>
      <c r="E797" s="327"/>
      <c r="F797" s="327"/>
    </row>
    <row r="798" spans="1:6" x14ac:dyDescent="0.3">
      <c r="A798" s="323"/>
    </row>
    <row r="799" spans="1:6" x14ac:dyDescent="0.3">
      <c r="A799" s="323"/>
      <c r="C799" s="328"/>
      <c r="D799" s="328" t="str">
        <f ca="1">' '!$A$448</f>
        <v>Description/Remarques</v>
      </c>
      <c r="E799" s="328"/>
      <c r="F799" s="328"/>
    </row>
    <row r="800" spans="1:6" x14ac:dyDescent="0.3">
      <c r="A800" s="323"/>
      <c r="C800" s="1142"/>
      <c r="D800" s="1142"/>
      <c r="E800" s="1142"/>
      <c r="F800" s="1142"/>
    </row>
    <row r="801" spans="1:6" x14ac:dyDescent="0.3">
      <c r="A801" s="323"/>
      <c r="C801" s="328"/>
      <c r="D801" s="328" t="str">
        <f ca="1">' '!$A$447</f>
        <v>Calcul</v>
      </c>
      <c r="E801" s="328"/>
      <c r="F801" s="328"/>
    </row>
    <row r="802" spans="1:6" x14ac:dyDescent="0.3">
      <c r="A802" s="323"/>
      <c r="C802" s="1142"/>
      <c r="D802" s="1142"/>
      <c r="E802" s="1142" t="s">
        <v>857</v>
      </c>
      <c r="F802" s="1142"/>
    </row>
    <row r="803" spans="1:6" x14ac:dyDescent="0.3">
      <c r="A803" s="323"/>
      <c r="C803" s="328"/>
      <c r="D803" s="329" t="str">
        <f ca="1">' '!$A$449</f>
        <v>Source</v>
      </c>
      <c r="E803" s="328" t="str">
        <f ca="1">' '!$A$450</f>
        <v>Moment de l'enquête &amp; Comparaison avec la branche</v>
      </c>
      <c r="F803" s="328"/>
    </row>
    <row r="804" spans="1:6" x14ac:dyDescent="0.3">
      <c r="A804" s="323"/>
      <c r="C804" s="1143"/>
      <c r="D804" s="1144"/>
      <c r="E804" s="1143"/>
      <c r="F804" s="1144"/>
    </row>
    <row r="805" spans="1:6" x14ac:dyDescent="0.3">
      <c r="A805" s="323"/>
      <c r="C805" s="1143"/>
      <c r="D805" s="1144"/>
      <c r="E805" s="1143"/>
      <c r="F805" s="1144"/>
    </row>
    <row r="806" spans="1:6" x14ac:dyDescent="0.3">
      <c r="A806" s="323"/>
      <c r="C806" s="1143"/>
      <c r="D806" s="1144"/>
      <c r="E806" s="1143"/>
      <c r="F806" s="1144"/>
    </row>
    <row r="807" spans="1:6" x14ac:dyDescent="0.3">
      <c r="A807" s="323"/>
      <c r="C807" s="328"/>
      <c r="D807" s="328"/>
      <c r="E807" s="328"/>
      <c r="F807" s="328"/>
    </row>
    <row r="808" spans="1:6" ht="15.6" x14ac:dyDescent="0.3">
      <c r="A808" s="323"/>
      <c r="D808" s="324"/>
    </row>
    <row r="809" spans="1:6" ht="24" customHeight="1" x14ac:dyDescent="0.3">
      <c r="A809" s="323"/>
      <c r="C809" s="325" t="s">
        <v>837</v>
      </c>
      <c r="D809" s="326">
        <f>_o68</f>
        <v>0</v>
      </c>
      <c r="E809" s="327"/>
      <c r="F809" s="327"/>
    </row>
    <row r="810" spans="1:6" x14ac:dyDescent="0.3">
      <c r="A810" s="323"/>
    </row>
    <row r="811" spans="1:6" x14ac:dyDescent="0.3">
      <c r="A811" s="323"/>
      <c r="C811" s="328"/>
      <c r="D811" s="328" t="str">
        <f ca="1">' '!$A$448</f>
        <v>Description/Remarques</v>
      </c>
      <c r="E811" s="328"/>
      <c r="F811" s="328"/>
    </row>
    <row r="812" spans="1:6" x14ac:dyDescent="0.3">
      <c r="A812" s="323"/>
      <c r="C812" s="1142"/>
      <c r="D812" s="1142"/>
      <c r="E812" s="1142"/>
      <c r="F812" s="1142"/>
    </row>
    <row r="813" spans="1:6" x14ac:dyDescent="0.3">
      <c r="A813" s="323"/>
      <c r="C813" s="328"/>
      <c r="D813" s="328" t="str">
        <f ca="1">' '!$A$447</f>
        <v>Calcul</v>
      </c>
      <c r="E813" s="328"/>
      <c r="F813" s="328"/>
    </row>
    <row r="814" spans="1:6" x14ac:dyDescent="0.3">
      <c r="A814" s="323"/>
      <c r="C814" s="1142"/>
      <c r="D814" s="1142"/>
      <c r="E814" s="1142" t="s">
        <v>857</v>
      </c>
      <c r="F814" s="1142"/>
    </row>
    <row r="815" spans="1:6" x14ac:dyDescent="0.3">
      <c r="A815" s="323"/>
      <c r="C815" s="328"/>
      <c r="D815" s="329" t="str">
        <f ca="1">' '!$A$449</f>
        <v>Source</v>
      </c>
      <c r="E815" s="328" t="str">
        <f ca="1">' '!$A$450</f>
        <v>Moment de l'enquête &amp; Comparaison avec la branche</v>
      </c>
      <c r="F815" s="328"/>
    </row>
    <row r="816" spans="1:6" x14ac:dyDescent="0.3">
      <c r="A816" s="323"/>
      <c r="C816" s="1143"/>
      <c r="D816" s="1144"/>
      <c r="E816" s="1143"/>
      <c r="F816" s="1144"/>
    </row>
    <row r="817" spans="1:6" x14ac:dyDescent="0.3">
      <c r="A817" s="323"/>
      <c r="C817" s="1143"/>
      <c r="D817" s="1144"/>
      <c r="E817" s="1143"/>
      <c r="F817" s="1144"/>
    </row>
    <row r="818" spans="1:6" x14ac:dyDescent="0.3">
      <c r="A818" s="323"/>
      <c r="C818" s="1143"/>
      <c r="D818" s="1144"/>
      <c r="E818" s="1143"/>
      <c r="F818" s="1144"/>
    </row>
    <row r="819" spans="1:6" x14ac:dyDescent="0.3">
      <c r="A819" s="323"/>
      <c r="C819" s="328"/>
      <c r="D819" s="328"/>
      <c r="E819" s="328"/>
      <c r="F819" s="328"/>
    </row>
    <row r="820" spans="1:6" ht="15.6" x14ac:dyDescent="0.3">
      <c r="A820" s="323"/>
      <c r="D820" s="324"/>
    </row>
    <row r="821" spans="1:6" ht="24" customHeight="1" x14ac:dyDescent="0.3">
      <c r="A821" s="323"/>
      <c r="C821" s="325" t="s">
        <v>839</v>
      </c>
      <c r="D821" s="326">
        <f>_o69</f>
        <v>0</v>
      </c>
      <c r="E821" s="327"/>
      <c r="F821" s="327"/>
    </row>
    <row r="822" spans="1:6" x14ac:dyDescent="0.3">
      <c r="A822" s="323"/>
    </row>
    <row r="823" spans="1:6" x14ac:dyDescent="0.3">
      <c r="A823" s="323"/>
      <c r="C823" s="328"/>
      <c r="D823" s="328" t="str">
        <f ca="1">' '!$A$448</f>
        <v>Description/Remarques</v>
      </c>
      <c r="E823" s="328"/>
      <c r="F823" s="328"/>
    </row>
    <row r="824" spans="1:6" x14ac:dyDescent="0.3">
      <c r="A824" s="323"/>
      <c r="C824" s="1142"/>
      <c r="D824" s="1142"/>
      <c r="E824" s="1142"/>
      <c r="F824" s="1142"/>
    </row>
    <row r="825" spans="1:6" x14ac:dyDescent="0.3">
      <c r="A825" s="323"/>
      <c r="C825" s="328"/>
      <c r="D825" s="328" t="str">
        <f ca="1">' '!$A$447</f>
        <v>Calcul</v>
      </c>
      <c r="E825" s="328"/>
      <c r="F825" s="328"/>
    </row>
    <row r="826" spans="1:6" x14ac:dyDescent="0.3">
      <c r="A826" s="323"/>
      <c r="C826" s="1142"/>
      <c r="D826" s="1142"/>
      <c r="E826" s="1142" t="s">
        <v>857</v>
      </c>
      <c r="F826" s="1142"/>
    </row>
    <row r="827" spans="1:6" x14ac:dyDescent="0.3">
      <c r="A827" s="323"/>
      <c r="C827" s="328"/>
      <c r="D827" s="329" t="str">
        <f ca="1">' '!$A$449</f>
        <v>Source</v>
      </c>
      <c r="E827" s="328" t="str">
        <f ca="1">' '!$A$450</f>
        <v>Moment de l'enquête &amp; Comparaison avec la branche</v>
      </c>
      <c r="F827" s="328"/>
    </row>
    <row r="828" spans="1:6" x14ac:dyDescent="0.3">
      <c r="A828" s="323"/>
      <c r="C828" s="1143"/>
      <c r="D828" s="1144"/>
      <c r="E828" s="1143"/>
      <c r="F828" s="1144"/>
    </row>
    <row r="829" spans="1:6" x14ac:dyDescent="0.3">
      <c r="A829" s="323"/>
      <c r="C829" s="1143"/>
      <c r="D829" s="1144"/>
      <c r="E829" s="1143"/>
      <c r="F829" s="1144"/>
    </row>
    <row r="830" spans="1:6" x14ac:dyDescent="0.3">
      <c r="A830" s="323"/>
      <c r="C830" s="1143"/>
      <c r="D830" s="1144"/>
      <c r="E830" s="1143"/>
      <c r="F830" s="1144"/>
    </row>
    <row r="831" spans="1:6" x14ac:dyDescent="0.3">
      <c r="A831" s="323"/>
      <c r="C831" s="328"/>
      <c r="D831" s="328"/>
      <c r="E831" s="328"/>
      <c r="F831" s="328"/>
    </row>
    <row r="832" spans="1:6" ht="15.6" x14ac:dyDescent="0.3">
      <c r="A832" s="323"/>
      <c r="D832" s="324"/>
    </row>
    <row r="833" spans="1:6" ht="24" customHeight="1" x14ac:dyDescent="0.3">
      <c r="A833" s="323"/>
      <c r="C833" s="325" t="s">
        <v>840</v>
      </c>
      <c r="D833" s="326">
        <f>_o70</f>
        <v>0</v>
      </c>
      <c r="E833" s="327"/>
      <c r="F833" s="327"/>
    </row>
    <row r="834" spans="1:6" x14ac:dyDescent="0.3">
      <c r="A834" s="323"/>
    </row>
    <row r="835" spans="1:6" x14ac:dyDescent="0.3">
      <c r="A835" s="323"/>
      <c r="C835" s="328"/>
      <c r="D835" s="328" t="str">
        <f ca="1">' '!$A$448</f>
        <v>Description/Remarques</v>
      </c>
      <c r="E835" s="328"/>
      <c r="F835" s="328"/>
    </row>
    <row r="836" spans="1:6" x14ac:dyDescent="0.3">
      <c r="A836" s="323"/>
      <c r="C836" s="1142"/>
      <c r="D836" s="1142"/>
      <c r="E836" s="1142"/>
      <c r="F836" s="1142"/>
    </row>
    <row r="837" spans="1:6" x14ac:dyDescent="0.3">
      <c r="A837" s="323"/>
      <c r="C837" s="328"/>
      <c r="D837" s="328" t="str">
        <f ca="1">' '!$A$447</f>
        <v>Calcul</v>
      </c>
      <c r="E837" s="328"/>
      <c r="F837" s="328"/>
    </row>
    <row r="838" spans="1:6" x14ac:dyDescent="0.3">
      <c r="A838" s="323"/>
      <c r="C838" s="1142"/>
      <c r="D838" s="1142"/>
      <c r="E838" s="1142" t="s">
        <v>857</v>
      </c>
      <c r="F838" s="1142"/>
    </row>
    <row r="839" spans="1:6" x14ac:dyDescent="0.3">
      <c r="A839" s="323"/>
      <c r="C839" s="328"/>
      <c r="D839" s="329" t="str">
        <f ca="1">' '!$A$449</f>
        <v>Source</v>
      </c>
      <c r="E839" s="328" t="str">
        <f ca="1">' '!$A$450</f>
        <v>Moment de l'enquête &amp; Comparaison avec la branche</v>
      </c>
      <c r="F839" s="328"/>
    </row>
    <row r="840" spans="1:6" x14ac:dyDescent="0.3">
      <c r="A840" s="323"/>
      <c r="C840" s="1143"/>
      <c r="D840" s="1144"/>
      <c r="E840" s="1143"/>
      <c r="F840" s="1144"/>
    </row>
    <row r="841" spans="1:6" x14ac:dyDescent="0.3">
      <c r="A841" s="323"/>
      <c r="C841" s="1143"/>
      <c r="D841" s="1144"/>
      <c r="E841" s="1143"/>
      <c r="F841" s="1144"/>
    </row>
    <row r="842" spans="1:6" x14ac:dyDescent="0.3">
      <c r="A842" s="323"/>
      <c r="C842" s="1143"/>
      <c r="D842" s="1144"/>
      <c r="E842" s="1143"/>
      <c r="F842" s="1144"/>
    </row>
    <row r="843" spans="1:6" x14ac:dyDescent="0.3">
      <c r="A843" s="323"/>
      <c r="C843" s="328"/>
      <c r="D843" s="328"/>
      <c r="E843" s="328"/>
      <c r="F843" s="328"/>
    </row>
    <row r="844" spans="1:6" ht="15.6" x14ac:dyDescent="0.3">
      <c r="A844" s="323"/>
      <c r="D844" s="324"/>
    </row>
    <row r="845" spans="1:6" ht="24" customHeight="1" x14ac:dyDescent="0.3">
      <c r="A845" s="323"/>
      <c r="C845" s="325" t="s">
        <v>842</v>
      </c>
      <c r="D845" s="326">
        <f>_o71</f>
        <v>0</v>
      </c>
      <c r="E845" s="327"/>
      <c r="F845" s="327"/>
    </row>
    <row r="846" spans="1:6" x14ac:dyDescent="0.3">
      <c r="A846" s="323"/>
    </row>
    <row r="847" spans="1:6" x14ac:dyDescent="0.3">
      <c r="A847" s="323"/>
      <c r="C847" s="328"/>
      <c r="D847" s="328" t="str">
        <f ca="1">' '!$A$448</f>
        <v>Description/Remarques</v>
      </c>
      <c r="E847" s="328"/>
      <c r="F847" s="328"/>
    </row>
    <row r="848" spans="1:6" x14ac:dyDescent="0.3">
      <c r="A848" s="323"/>
      <c r="C848" s="1142"/>
      <c r="D848" s="1142"/>
      <c r="E848" s="1142"/>
      <c r="F848" s="1142"/>
    </row>
    <row r="849" spans="1:6" x14ac:dyDescent="0.3">
      <c r="A849" s="323"/>
      <c r="C849" s="328"/>
      <c r="D849" s="328" t="str">
        <f ca="1">' '!$A$447</f>
        <v>Calcul</v>
      </c>
      <c r="E849" s="328"/>
      <c r="F849" s="328"/>
    </row>
    <row r="850" spans="1:6" x14ac:dyDescent="0.3">
      <c r="A850" s="323"/>
      <c r="C850" s="1142"/>
      <c r="D850" s="1142"/>
      <c r="E850" s="1142" t="s">
        <v>857</v>
      </c>
      <c r="F850" s="1142"/>
    </row>
    <row r="851" spans="1:6" x14ac:dyDescent="0.3">
      <c r="A851" s="323"/>
      <c r="C851" s="328"/>
      <c r="D851" s="329" t="str">
        <f ca="1">' '!$A$449</f>
        <v>Source</v>
      </c>
      <c r="E851" s="328" t="str">
        <f ca="1">' '!$A$450</f>
        <v>Moment de l'enquête &amp; Comparaison avec la branche</v>
      </c>
      <c r="F851" s="328"/>
    </row>
    <row r="852" spans="1:6" x14ac:dyDescent="0.3">
      <c r="A852" s="323"/>
      <c r="C852" s="1143"/>
      <c r="D852" s="1144"/>
      <c r="E852" s="1143"/>
      <c r="F852" s="1144"/>
    </row>
    <row r="853" spans="1:6" x14ac:dyDescent="0.3">
      <c r="A853" s="323"/>
      <c r="C853" s="1143"/>
      <c r="D853" s="1144"/>
      <c r="E853" s="1143"/>
      <c r="F853" s="1144"/>
    </row>
    <row r="854" spans="1:6" x14ac:dyDescent="0.3">
      <c r="A854" s="323"/>
      <c r="C854" s="1143"/>
      <c r="D854" s="1144"/>
      <c r="E854" s="1143"/>
      <c r="F854" s="1144"/>
    </row>
    <row r="855" spans="1:6" x14ac:dyDescent="0.3">
      <c r="A855" s="323"/>
      <c r="C855" s="328"/>
      <c r="D855" s="328"/>
      <c r="E855" s="328"/>
      <c r="F855" s="328"/>
    </row>
    <row r="856" spans="1:6" ht="15.6" x14ac:dyDescent="0.3">
      <c r="A856" s="323"/>
      <c r="D856" s="324"/>
    </row>
    <row r="857" spans="1:6" ht="24" customHeight="1" x14ac:dyDescent="0.3">
      <c r="A857" s="323"/>
      <c r="C857" s="325" t="s">
        <v>843</v>
      </c>
      <c r="D857" s="326">
        <f>_o72</f>
        <v>0</v>
      </c>
      <c r="E857" s="327"/>
      <c r="F857" s="327"/>
    </row>
    <row r="858" spans="1:6" x14ac:dyDescent="0.3">
      <c r="A858" s="323"/>
    </row>
    <row r="859" spans="1:6" x14ac:dyDescent="0.3">
      <c r="A859" s="323"/>
      <c r="C859" s="328"/>
      <c r="D859" s="328" t="str">
        <f ca="1">' '!$A$448</f>
        <v>Description/Remarques</v>
      </c>
      <c r="E859" s="328"/>
      <c r="F859" s="328"/>
    </row>
    <row r="860" spans="1:6" x14ac:dyDescent="0.3">
      <c r="A860" s="323"/>
      <c r="C860" s="1142"/>
      <c r="D860" s="1142"/>
      <c r="E860" s="1142"/>
      <c r="F860" s="1142"/>
    </row>
    <row r="861" spans="1:6" x14ac:dyDescent="0.3">
      <c r="A861" s="323"/>
      <c r="C861" s="328"/>
      <c r="D861" s="328" t="str">
        <f ca="1">' '!$A$447</f>
        <v>Calcul</v>
      </c>
      <c r="E861" s="328"/>
      <c r="F861" s="328"/>
    </row>
    <row r="862" spans="1:6" x14ac:dyDescent="0.3">
      <c r="A862" s="323"/>
      <c r="C862" s="1142"/>
      <c r="D862" s="1142"/>
      <c r="E862" s="1142" t="s">
        <v>857</v>
      </c>
      <c r="F862" s="1142"/>
    </row>
    <row r="863" spans="1:6" x14ac:dyDescent="0.3">
      <c r="A863" s="323"/>
      <c r="C863" s="328"/>
      <c r="D863" s="329" t="str">
        <f ca="1">' '!$A$449</f>
        <v>Source</v>
      </c>
      <c r="E863" s="328" t="str">
        <f ca="1">' '!$A$450</f>
        <v>Moment de l'enquête &amp; Comparaison avec la branche</v>
      </c>
      <c r="F863" s="328"/>
    </row>
    <row r="864" spans="1:6" x14ac:dyDescent="0.3">
      <c r="A864" s="323"/>
      <c r="C864" s="1143"/>
      <c r="D864" s="1144"/>
      <c r="E864" s="1143"/>
      <c r="F864" s="1144"/>
    </row>
    <row r="865" spans="1:6" x14ac:dyDescent="0.3">
      <c r="A865" s="323"/>
      <c r="C865" s="1143"/>
      <c r="D865" s="1144"/>
      <c r="E865" s="1143"/>
      <c r="F865" s="1144"/>
    </row>
    <row r="866" spans="1:6" x14ac:dyDescent="0.3">
      <c r="A866" s="323"/>
      <c r="C866" s="1143"/>
      <c r="D866" s="1144"/>
      <c r="E866" s="1143"/>
      <c r="F866" s="1144"/>
    </row>
    <row r="867" spans="1:6" x14ac:dyDescent="0.3">
      <c r="A867" s="323"/>
      <c r="C867" s="328"/>
      <c r="D867" s="328"/>
      <c r="E867" s="328"/>
      <c r="F867" s="328"/>
    </row>
    <row r="868" spans="1:6" ht="15.6" x14ac:dyDescent="0.3">
      <c r="A868" s="323"/>
      <c r="D868" s="324"/>
    </row>
    <row r="869" spans="1:6" ht="24" customHeight="1" x14ac:dyDescent="0.3">
      <c r="A869" s="323"/>
      <c r="C869" s="325" t="s">
        <v>845</v>
      </c>
      <c r="D869" s="326">
        <f>_o73</f>
        <v>0</v>
      </c>
      <c r="E869" s="327"/>
      <c r="F869" s="327"/>
    </row>
    <row r="870" spans="1:6" x14ac:dyDescent="0.3">
      <c r="A870" s="323"/>
    </row>
    <row r="871" spans="1:6" x14ac:dyDescent="0.3">
      <c r="A871" s="323"/>
      <c r="C871" s="328"/>
      <c r="D871" s="328" t="str">
        <f ca="1">' '!$A$448</f>
        <v>Description/Remarques</v>
      </c>
      <c r="E871" s="328"/>
      <c r="F871" s="328"/>
    </row>
    <row r="872" spans="1:6" x14ac:dyDescent="0.3">
      <c r="A872" s="323"/>
      <c r="C872" s="1142"/>
      <c r="D872" s="1142"/>
      <c r="E872" s="1142"/>
      <c r="F872" s="1142"/>
    </row>
    <row r="873" spans="1:6" x14ac:dyDescent="0.3">
      <c r="A873" s="323"/>
      <c r="C873" s="328"/>
      <c r="D873" s="328" t="str">
        <f ca="1">' '!$A$447</f>
        <v>Calcul</v>
      </c>
      <c r="E873" s="328"/>
      <c r="F873" s="328"/>
    </row>
    <row r="874" spans="1:6" x14ac:dyDescent="0.3">
      <c r="A874" s="323"/>
      <c r="C874" s="1142"/>
      <c r="D874" s="1142"/>
      <c r="E874" s="1142" t="s">
        <v>857</v>
      </c>
      <c r="F874" s="1142"/>
    </row>
    <row r="875" spans="1:6" x14ac:dyDescent="0.3">
      <c r="A875" s="323"/>
      <c r="C875" s="328"/>
      <c r="D875" s="329" t="str">
        <f ca="1">' '!$A$449</f>
        <v>Source</v>
      </c>
      <c r="E875" s="328" t="str">
        <f ca="1">' '!$A$450</f>
        <v>Moment de l'enquête &amp; Comparaison avec la branche</v>
      </c>
      <c r="F875" s="328"/>
    </row>
    <row r="876" spans="1:6" x14ac:dyDescent="0.3">
      <c r="A876" s="323"/>
      <c r="C876" s="1143"/>
      <c r="D876" s="1144"/>
      <c r="E876" s="1143"/>
      <c r="F876" s="1144"/>
    </row>
    <row r="877" spans="1:6" x14ac:dyDescent="0.3">
      <c r="A877" s="323"/>
      <c r="C877" s="1143"/>
      <c r="D877" s="1144"/>
      <c r="E877" s="1143"/>
      <c r="F877" s="1144"/>
    </row>
    <row r="878" spans="1:6" x14ac:dyDescent="0.3">
      <c r="A878" s="323"/>
      <c r="C878" s="1143"/>
      <c r="D878" s="1144"/>
      <c r="E878" s="1143"/>
      <c r="F878" s="1144"/>
    </row>
    <row r="879" spans="1:6" x14ac:dyDescent="0.3">
      <c r="A879" s="323"/>
      <c r="C879" s="328"/>
      <c r="D879" s="328"/>
      <c r="E879" s="328"/>
      <c r="F879" s="328"/>
    </row>
    <row r="880" spans="1:6" ht="15.6" x14ac:dyDescent="0.3">
      <c r="A880" s="323"/>
      <c r="D880" s="324"/>
    </row>
    <row r="881" spans="1:6" ht="24" customHeight="1" x14ac:dyDescent="0.3">
      <c r="A881" s="323"/>
      <c r="C881" s="325" t="s">
        <v>846</v>
      </c>
      <c r="D881" s="326">
        <f>_o74</f>
        <v>0</v>
      </c>
      <c r="E881" s="327"/>
      <c r="F881" s="327"/>
    </row>
    <row r="882" spans="1:6" x14ac:dyDescent="0.3">
      <c r="A882" s="323"/>
    </row>
    <row r="883" spans="1:6" x14ac:dyDescent="0.3">
      <c r="A883" s="323"/>
      <c r="C883" s="328"/>
      <c r="D883" s="328" t="str">
        <f ca="1">' '!$A$448</f>
        <v>Description/Remarques</v>
      </c>
      <c r="E883" s="328"/>
      <c r="F883" s="328"/>
    </row>
    <row r="884" spans="1:6" x14ac:dyDescent="0.3">
      <c r="A884" s="323"/>
      <c r="C884" s="1142"/>
      <c r="D884" s="1142"/>
      <c r="E884" s="1142"/>
      <c r="F884" s="1142"/>
    </row>
    <row r="885" spans="1:6" x14ac:dyDescent="0.3">
      <c r="A885" s="323"/>
      <c r="C885" s="328"/>
      <c r="D885" s="328" t="str">
        <f ca="1">' '!$A$447</f>
        <v>Calcul</v>
      </c>
      <c r="E885" s="328"/>
      <c r="F885" s="328"/>
    </row>
    <row r="886" spans="1:6" x14ac:dyDescent="0.3">
      <c r="A886" s="323"/>
      <c r="C886" s="1142"/>
      <c r="D886" s="1142"/>
      <c r="E886" s="1142" t="s">
        <v>857</v>
      </c>
      <c r="F886" s="1142"/>
    </row>
    <row r="887" spans="1:6" x14ac:dyDescent="0.3">
      <c r="A887" s="323"/>
      <c r="C887" s="328"/>
      <c r="D887" s="329" t="str">
        <f ca="1">' '!$A$449</f>
        <v>Source</v>
      </c>
      <c r="E887" s="328" t="str">
        <f ca="1">' '!$A$450</f>
        <v>Moment de l'enquête &amp; Comparaison avec la branche</v>
      </c>
      <c r="F887" s="328"/>
    </row>
    <row r="888" spans="1:6" x14ac:dyDescent="0.3">
      <c r="A888" s="323"/>
      <c r="C888" s="1143"/>
      <c r="D888" s="1144"/>
      <c r="E888" s="1143"/>
      <c r="F888" s="1144"/>
    </row>
    <row r="889" spans="1:6" x14ac:dyDescent="0.3">
      <c r="A889" s="323"/>
      <c r="C889" s="1143"/>
      <c r="D889" s="1144"/>
      <c r="E889" s="1143"/>
      <c r="F889" s="1144"/>
    </row>
    <row r="890" spans="1:6" x14ac:dyDescent="0.3">
      <c r="A890" s="323"/>
      <c r="C890" s="1143"/>
      <c r="D890" s="1144"/>
      <c r="E890" s="1143"/>
      <c r="F890" s="1144"/>
    </row>
    <row r="891" spans="1:6" x14ac:dyDescent="0.3">
      <c r="A891" s="323"/>
      <c r="C891" s="328"/>
      <c r="D891" s="328"/>
      <c r="E891" s="328"/>
      <c r="F891" s="328"/>
    </row>
    <row r="892" spans="1:6" ht="15.6" x14ac:dyDescent="0.3">
      <c r="A892" s="323"/>
      <c r="D892" s="324"/>
    </row>
    <row r="893" spans="1:6" ht="24" customHeight="1" x14ac:dyDescent="0.3">
      <c r="A893" s="323"/>
      <c r="C893" s="325" t="s">
        <v>848</v>
      </c>
      <c r="D893" s="326">
        <f>_o75</f>
        <v>0</v>
      </c>
      <c r="E893" s="327"/>
      <c r="F893" s="327"/>
    </row>
    <row r="894" spans="1:6" x14ac:dyDescent="0.3">
      <c r="A894" s="323"/>
    </row>
    <row r="895" spans="1:6" x14ac:dyDescent="0.3">
      <c r="A895" s="323"/>
      <c r="C895" s="328"/>
      <c r="D895" s="328" t="str">
        <f ca="1">' '!$A$448</f>
        <v>Description/Remarques</v>
      </c>
      <c r="E895" s="328"/>
      <c r="F895" s="328"/>
    </row>
    <row r="896" spans="1:6" x14ac:dyDescent="0.3">
      <c r="A896" s="323"/>
      <c r="C896" s="1142"/>
      <c r="D896" s="1142"/>
      <c r="E896" s="1142"/>
      <c r="F896" s="1142"/>
    </row>
    <row r="897" spans="1:6" x14ac:dyDescent="0.3">
      <c r="A897" s="323"/>
      <c r="C897" s="328"/>
      <c r="D897" s="328" t="str">
        <f ca="1">' '!$A$447</f>
        <v>Calcul</v>
      </c>
      <c r="E897" s="328"/>
      <c r="F897" s="328"/>
    </row>
    <row r="898" spans="1:6" x14ac:dyDescent="0.3">
      <c r="A898" s="323"/>
      <c r="C898" s="1142"/>
      <c r="D898" s="1142"/>
      <c r="E898" s="1142" t="s">
        <v>857</v>
      </c>
      <c r="F898" s="1142"/>
    </row>
    <row r="899" spans="1:6" x14ac:dyDescent="0.3">
      <c r="A899" s="323"/>
      <c r="C899" s="328"/>
      <c r="D899" s="329" t="str">
        <f ca="1">' '!$A$449</f>
        <v>Source</v>
      </c>
      <c r="E899" s="328" t="str">
        <f ca="1">' '!$A$450</f>
        <v>Moment de l'enquête &amp; Comparaison avec la branche</v>
      </c>
      <c r="F899" s="328"/>
    </row>
    <row r="900" spans="1:6" x14ac:dyDescent="0.3">
      <c r="A900" s="323"/>
      <c r="C900" s="1143"/>
      <c r="D900" s="1144"/>
      <c r="E900" s="1143"/>
      <c r="F900" s="1144"/>
    </row>
    <row r="901" spans="1:6" x14ac:dyDescent="0.3">
      <c r="A901" s="323"/>
      <c r="C901" s="1143"/>
      <c r="D901" s="1144"/>
      <c r="E901" s="1143"/>
      <c r="F901" s="1144"/>
    </row>
    <row r="902" spans="1:6" x14ac:dyDescent="0.3">
      <c r="A902" s="323"/>
      <c r="C902" s="1143"/>
      <c r="D902" s="1144"/>
      <c r="E902" s="1143"/>
      <c r="F902" s="1144"/>
    </row>
    <row r="903" spans="1:6" x14ac:dyDescent="0.3">
      <c r="A903" s="323"/>
      <c r="C903" s="328"/>
      <c r="D903" s="328"/>
      <c r="E903" s="328"/>
      <c r="F903" s="328"/>
    </row>
    <row r="904" spans="1:6" ht="15.6" x14ac:dyDescent="0.3">
      <c r="A904" s="323"/>
      <c r="D904" s="324"/>
    </row>
    <row r="905" spans="1:6" ht="24" customHeight="1" x14ac:dyDescent="0.3">
      <c r="A905" s="323"/>
      <c r="C905" s="325" t="s">
        <v>849</v>
      </c>
      <c r="D905" s="326">
        <f>_o76</f>
        <v>0</v>
      </c>
      <c r="E905" s="327"/>
      <c r="F905" s="327"/>
    </row>
    <row r="906" spans="1:6" x14ac:dyDescent="0.3">
      <c r="A906" s="323"/>
    </row>
    <row r="907" spans="1:6" x14ac:dyDescent="0.3">
      <c r="A907" s="323"/>
      <c r="C907" s="328"/>
      <c r="D907" s="328" t="str">
        <f ca="1">' '!$A$448</f>
        <v>Description/Remarques</v>
      </c>
      <c r="E907" s="328"/>
      <c r="F907" s="328"/>
    </row>
    <row r="908" spans="1:6" x14ac:dyDescent="0.3">
      <c r="A908" s="323"/>
      <c r="C908" s="1142"/>
      <c r="D908" s="1142"/>
      <c r="E908" s="1142"/>
      <c r="F908" s="1142"/>
    </row>
    <row r="909" spans="1:6" x14ac:dyDescent="0.3">
      <c r="A909" s="323"/>
      <c r="C909" s="328"/>
      <c r="D909" s="328" t="str">
        <f ca="1">' '!$A$447</f>
        <v>Calcul</v>
      </c>
      <c r="E909" s="328"/>
      <c r="F909" s="328"/>
    </row>
    <row r="910" spans="1:6" x14ac:dyDescent="0.3">
      <c r="A910" s="323"/>
      <c r="C910" s="1142"/>
      <c r="D910" s="1142"/>
      <c r="E910" s="1142" t="s">
        <v>857</v>
      </c>
      <c r="F910" s="1142"/>
    </row>
    <row r="911" spans="1:6" x14ac:dyDescent="0.3">
      <c r="A911" s="323"/>
      <c r="C911" s="328"/>
      <c r="D911" s="329" t="str">
        <f ca="1">' '!$A$449</f>
        <v>Source</v>
      </c>
      <c r="E911" s="328" t="str">
        <f ca="1">' '!$A$450</f>
        <v>Moment de l'enquête &amp; Comparaison avec la branche</v>
      </c>
      <c r="F911" s="328"/>
    </row>
    <row r="912" spans="1:6" x14ac:dyDescent="0.3">
      <c r="A912" s="323"/>
      <c r="C912" s="1143"/>
      <c r="D912" s="1144"/>
      <c r="E912" s="1143"/>
      <c r="F912" s="1144"/>
    </row>
    <row r="913" spans="1:6" x14ac:dyDescent="0.3">
      <c r="A913" s="323"/>
      <c r="C913" s="1143"/>
      <c r="D913" s="1144"/>
      <c r="E913" s="1143"/>
      <c r="F913" s="1144"/>
    </row>
    <row r="914" spans="1:6" x14ac:dyDescent="0.3">
      <c r="A914" s="323"/>
      <c r="C914" s="1143"/>
      <c r="D914" s="1144"/>
      <c r="E914" s="1143"/>
      <c r="F914" s="1144"/>
    </row>
    <row r="915" spans="1:6" x14ac:dyDescent="0.3">
      <c r="A915" s="323"/>
      <c r="C915" s="328"/>
      <c r="D915" s="328"/>
      <c r="E915" s="328"/>
      <c r="F915" s="328"/>
    </row>
    <row r="916" spans="1:6" ht="15.6" x14ac:dyDescent="0.3">
      <c r="A916" s="323"/>
      <c r="D916" s="324"/>
    </row>
    <row r="917" spans="1:6" ht="24" customHeight="1" x14ac:dyDescent="0.3">
      <c r="A917" s="323"/>
      <c r="C917" s="325" t="s">
        <v>851</v>
      </c>
      <c r="D917" s="326">
        <f>_o77</f>
        <v>0</v>
      </c>
      <c r="E917" s="327"/>
      <c r="F917" s="327"/>
    </row>
    <row r="918" spans="1:6" x14ac:dyDescent="0.3">
      <c r="A918" s="323"/>
    </row>
    <row r="919" spans="1:6" x14ac:dyDescent="0.3">
      <c r="A919" s="323"/>
      <c r="C919" s="328"/>
      <c r="D919" s="328" t="str">
        <f ca="1">' '!$A$448</f>
        <v>Description/Remarques</v>
      </c>
      <c r="E919" s="328"/>
      <c r="F919" s="328"/>
    </row>
    <row r="920" spans="1:6" x14ac:dyDescent="0.3">
      <c r="A920" s="323"/>
      <c r="C920" s="1142"/>
      <c r="D920" s="1142"/>
      <c r="E920" s="1142"/>
      <c r="F920" s="1142"/>
    </row>
    <row r="921" spans="1:6" x14ac:dyDescent="0.3">
      <c r="A921" s="323"/>
      <c r="C921" s="328"/>
      <c r="D921" s="328" t="str">
        <f ca="1">' '!$A$447</f>
        <v>Calcul</v>
      </c>
      <c r="E921" s="328"/>
      <c r="F921" s="328"/>
    </row>
    <row r="922" spans="1:6" x14ac:dyDescent="0.3">
      <c r="A922" s="323"/>
      <c r="C922" s="1142"/>
      <c r="D922" s="1142"/>
      <c r="E922" s="1142" t="s">
        <v>857</v>
      </c>
      <c r="F922" s="1142"/>
    </row>
    <row r="923" spans="1:6" x14ac:dyDescent="0.3">
      <c r="A923" s="323"/>
      <c r="C923" s="328"/>
      <c r="D923" s="329" t="str">
        <f ca="1">' '!$A$449</f>
        <v>Source</v>
      </c>
      <c r="E923" s="328" t="str">
        <f ca="1">' '!$A$450</f>
        <v>Moment de l'enquête &amp; Comparaison avec la branche</v>
      </c>
      <c r="F923" s="328"/>
    </row>
    <row r="924" spans="1:6" x14ac:dyDescent="0.3">
      <c r="A924" s="323"/>
      <c r="C924" s="1143"/>
      <c r="D924" s="1144"/>
      <c r="E924" s="1143"/>
      <c r="F924" s="1144"/>
    </row>
    <row r="925" spans="1:6" x14ac:dyDescent="0.3">
      <c r="A925" s="323"/>
      <c r="C925" s="1143"/>
      <c r="D925" s="1144"/>
      <c r="E925" s="1143"/>
      <c r="F925" s="1144"/>
    </row>
    <row r="926" spans="1:6" x14ac:dyDescent="0.3">
      <c r="A926" s="323"/>
      <c r="C926" s="1143"/>
      <c r="D926" s="1144"/>
      <c r="E926" s="1143"/>
      <c r="F926" s="1144"/>
    </row>
    <row r="927" spans="1:6" x14ac:dyDescent="0.3">
      <c r="A927" s="323"/>
      <c r="C927" s="328"/>
      <c r="D927" s="328"/>
      <c r="E927" s="328"/>
      <c r="F927" s="328"/>
    </row>
    <row r="928" spans="1:6" ht="15.6" x14ac:dyDescent="0.3">
      <c r="A928" s="323"/>
      <c r="D928" s="324"/>
    </row>
    <row r="929" spans="1:6" ht="24" customHeight="1" x14ac:dyDescent="0.3">
      <c r="A929" s="323"/>
      <c r="C929" s="325" t="s">
        <v>852</v>
      </c>
      <c r="D929" s="326">
        <f>_o78</f>
        <v>0</v>
      </c>
      <c r="E929" s="327"/>
      <c r="F929" s="327"/>
    </row>
    <row r="930" spans="1:6" x14ac:dyDescent="0.3">
      <c r="A930" s="323"/>
    </row>
    <row r="931" spans="1:6" x14ac:dyDescent="0.3">
      <c r="A931" s="323"/>
      <c r="C931" s="328"/>
      <c r="D931" s="328" t="str">
        <f ca="1">' '!$A$448</f>
        <v>Description/Remarques</v>
      </c>
      <c r="E931" s="328"/>
      <c r="F931" s="328"/>
    </row>
    <row r="932" spans="1:6" x14ac:dyDescent="0.3">
      <c r="A932" s="323"/>
      <c r="C932" s="1142"/>
      <c r="D932" s="1142"/>
      <c r="E932" s="1142"/>
      <c r="F932" s="1142"/>
    </row>
    <row r="933" spans="1:6" x14ac:dyDescent="0.3">
      <c r="A933" s="323"/>
      <c r="C933" s="328"/>
      <c r="D933" s="328" t="str">
        <f ca="1">' '!$A$447</f>
        <v>Calcul</v>
      </c>
      <c r="E933" s="328"/>
      <c r="F933" s="328"/>
    </row>
    <row r="934" spans="1:6" x14ac:dyDescent="0.3">
      <c r="A934" s="323"/>
      <c r="C934" s="1142"/>
      <c r="D934" s="1142"/>
      <c r="E934" s="1142" t="s">
        <v>857</v>
      </c>
      <c r="F934" s="1142"/>
    </row>
    <row r="935" spans="1:6" x14ac:dyDescent="0.3">
      <c r="A935" s="323"/>
      <c r="C935" s="328"/>
      <c r="D935" s="329" t="str">
        <f ca="1">' '!$A$449</f>
        <v>Source</v>
      </c>
      <c r="E935" s="328" t="str">
        <f ca="1">' '!$A$450</f>
        <v>Moment de l'enquête &amp; Comparaison avec la branche</v>
      </c>
      <c r="F935" s="328"/>
    </row>
    <row r="936" spans="1:6" x14ac:dyDescent="0.3">
      <c r="A936" s="323"/>
      <c r="C936" s="1143"/>
      <c r="D936" s="1144"/>
      <c r="E936" s="1143"/>
      <c r="F936" s="1144"/>
    </row>
    <row r="937" spans="1:6" x14ac:dyDescent="0.3">
      <c r="A937" s="323"/>
      <c r="C937" s="1143"/>
      <c r="D937" s="1144"/>
      <c r="E937" s="1143"/>
      <c r="F937" s="1144"/>
    </row>
    <row r="938" spans="1:6" x14ac:dyDescent="0.3">
      <c r="A938" s="323"/>
      <c r="C938" s="1143"/>
      <c r="D938" s="1144"/>
      <c r="E938" s="1143"/>
      <c r="F938" s="1144"/>
    </row>
    <row r="939" spans="1:6" x14ac:dyDescent="0.3">
      <c r="A939" s="323"/>
      <c r="C939" s="328"/>
      <c r="D939" s="328"/>
      <c r="E939" s="328"/>
      <c r="F939" s="328"/>
    </row>
    <row r="940" spans="1:6" ht="15.6" x14ac:dyDescent="0.3">
      <c r="A940" s="323"/>
      <c r="D940" s="324"/>
    </row>
    <row r="941" spans="1:6" ht="24" customHeight="1" x14ac:dyDescent="0.3">
      <c r="A941" s="323"/>
      <c r="C941" s="325" t="s">
        <v>854</v>
      </c>
      <c r="D941" s="326">
        <f>_o79</f>
        <v>0</v>
      </c>
      <c r="E941" s="327"/>
      <c r="F941" s="327"/>
    </row>
    <row r="942" spans="1:6" x14ac:dyDescent="0.3">
      <c r="A942" s="323"/>
    </row>
    <row r="943" spans="1:6" x14ac:dyDescent="0.3">
      <c r="A943" s="323"/>
      <c r="C943" s="328"/>
      <c r="D943" s="328" t="str">
        <f ca="1">' '!$A$448</f>
        <v>Description/Remarques</v>
      </c>
      <c r="E943" s="328"/>
      <c r="F943" s="328"/>
    </row>
    <row r="944" spans="1:6" x14ac:dyDescent="0.3">
      <c r="A944" s="323"/>
      <c r="C944" s="1142"/>
      <c r="D944" s="1142"/>
      <c r="E944" s="1142"/>
      <c r="F944" s="1142"/>
    </row>
    <row r="945" spans="1:6" x14ac:dyDescent="0.3">
      <c r="A945" s="323"/>
      <c r="C945" s="328"/>
      <c r="D945" s="328" t="str">
        <f ca="1">' '!$A$447</f>
        <v>Calcul</v>
      </c>
      <c r="E945" s="328"/>
      <c r="F945" s="328"/>
    </row>
    <row r="946" spans="1:6" x14ac:dyDescent="0.3">
      <c r="A946" s="323"/>
      <c r="C946" s="1142"/>
      <c r="D946" s="1142"/>
      <c r="E946" s="1142" t="s">
        <v>857</v>
      </c>
      <c r="F946" s="1142"/>
    </row>
    <row r="947" spans="1:6" x14ac:dyDescent="0.3">
      <c r="A947" s="323"/>
      <c r="C947" s="328"/>
      <c r="D947" s="329" t="str">
        <f ca="1">' '!$A$449</f>
        <v>Source</v>
      </c>
      <c r="E947" s="328" t="str">
        <f ca="1">' '!$A$450</f>
        <v>Moment de l'enquête &amp; Comparaison avec la branche</v>
      </c>
      <c r="F947" s="328"/>
    </row>
    <row r="948" spans="1:6" x14ac:dyDescent="0.3">
      <c r="A948" s="323"/>
      <c r="C948" s="1143"/>
      <c r="D948" s="1144"/>
      <c r="E948" s="1143"/>
      <c r="F948" s="1144"/>
    </row>
    <row r="949" spans="1:6" x14ac:dyDescent="0.3">
      <c r="A949" s="323"/>
      <c r="C949" s="1143"/>
      <c r="D949" s="1144"/>
      <c r="E949" s="1143"/>
      <c r="F949" s="1144"/>
    </row>
    <row r="950" spans="1:6" x14ac:dyDescent="0.3">
      <c r="A950" s="323"/>
      <c r="C950" s="1143"/>
      <c r="D950" s="1144"/>
      <c r="E950" s="1143"/>
      <c r="F950" s="1144"/>
    </row>
    <row r="951" spans="1:6" x14ac:dyDescent="0.3">
      <c r="A951" s="323"/>
      <c r="C951" s="328"/>
      <c r="D951" s="328"/>
      <c r="E951" s="328"/>
      <c r="F951" s="328"/>
    </row>
    <row r="952" spans="1:6" ht="15.6" x14ac:dyDescent="0.3">
      <c r="A952" s="323"/>
      <c r="D952" s="324"/>
    </row>
    <row r="953" spans="1:6" ht="24" customHeight="1" x14ac:dyDescent="0.3">
      <c r="A953" s="323"/>
      <c r="C953" s="325" t="s">
        <v>855</v>
      </c>
      <c r="D953" s="326">
        <f>_o79</f>
        <v>0</v>
      </c>
      <c r="E953" s="327"/>
      <c r="F953" s="327"/>
    </row>
    <row r="954" spans="1:6" x14ac:dyDescent="0.3">
      <c r="A954" s="323"/>
    </row>
    <row r="955" spans="1:6" x14ac:dyDescent="0.3">
      <c r="A955" s="323"/>
      <c r="C955" s="328"/>
      <c r="D955" s="328" t="str">
        <f ca="1">' '!$A$448</f>
        <v>Description/Remarques</v>
      </c>
      <c r="E955" s="328"/>
      <c r="F955" s="328"/>
    </row>
    <row r="956" spans="1:6" x14ac:dyDescent="0.3">
      <c r="A956" s="323"/>
      <c r="C956" s="1142"/>
      <c r="D956" s="1142"/>
      <c r="E956" s="1142"/>
      <c r="F956" s="1142"/>
    </row>
    <row r="957" spans="1:6" x14ac:dyDescent="0.3">
      <c r="A957" s="323"/>
      <c r="C957" s="328"/>
      <c r="D957" s="328" t="str">
        <f ca="1">' '!$A$447</f>
        <v>Calcul</v>
      </c>
      <c r="E957" s="328"/>
      <c r="F957" s="328"/>
    </row>
    <row r="958" spans="1:6" x14ac:dyDescent="0.3">
      <c r="A958" s="323"/>
      <c r="C958" s="1142"/>
      <c r="D958" s="1142"/>
      <c r="E958" s="1142" t="s">
        <v>857</v>
      </c>
      <c r="F958" s="1142"/>
    </row>
    <row r="959" spans="1:6" x14ac:dyDescent="0.3">
      <c r="A959" s="323"/>
      <c r="C959" s="328"/>
      <c r="D959" s="329" t="str">
        <f ca="1">' '!$A$449</f>
        <v>Source</v>
      </c>
      <c r="E959" s="328" t="str">
        <f ca="1">' '!$A$450</f>
        <v>Moment de l'enquête &amp; Comparaison avec la branche</v>
      </c>
      <c r="F959" s="328"/>
    </row>
    <row r="960" spans="1:6" x14ac:dyDescent="0.3">
      <c r="A960" s="323"/>
      <c r="C960" s="1143"/>
      <c r="D960" s="1144"/>
      <c r="E960" s="1143"/>
      <c r="F960" s="1144"/>
    </row>
    <row r="961" spans="1:6" x14ac:dyDescent="0.3">
      <c r="A961" s="323"/>
      <c r="C961" s="1143"/>
      <c r="D961" s="1144"/>
      <c r="E961" s="1143"/>
      <c r="F961" s="1144"/>
    </row>
    <row r="962" spans="1:6" x14ac:dyDescent="0.3">
      <c r="A962" s="323"/>
      <c r="C962" s="1143"/>
      <c r="D962" s="1144"/>
      <c r="E962" s="1143"/>
      <c r="F962" s="1144"/>
    </row>
    <row r="963" spans="1:6" x14ac:dyDescent="0.3">
      <c r="A963" s="323"/>
      <c r="C963" s="328"/>
      <c r="D963" s="328"/>
      <c r="E963" s="328"/>
      <c r="F963" s="328"/>
    </row>
    <row r="964" spans="1:6" x14ac:dyDescent="0.3">
      <c r="C964" s="335" t="s">
        <v>1776</v>
      </c>
      <c r="D964"/>
    </row>
  </sheetData>
  <sheetProtection sheet="1" objects="1" scenarios="1" formatCells="0" formatColumns="0" formatRows="0" insertHyperlinks="0" selectLockedCells="1" sort="0" autoFilter="0"/>
  <mergeCells count="320">
    <mergeCell ref="C960:D962"/>
    <mergeCell ref="E960:F962"/>
    <mergeCell ref="C944:F944"/>
    <mergeCell ref="C946:F946"/>
    <mergeCell ref="C948:D950"/>
    <mergeCell ref="E948:F950"/>
    <mergeCell ref="C956:F956"/>
    <mergeCell ref="C958:F958"/>
    <mergeCell ref="C924:D926"/>
    <mergeCell ref="E924:F926"/>
    <mergeCell ref="C932:F932"/>
    <mergeCell ref="C934:F934"/>
    <mergeCell ref="C936:D938"/>
    <mergeCell ref="E936:F938"/>
    <mergeCell ref="C908:F908"/>
    <mergeCell ref="C910:F910"/>
    <mergeCell ref="C912:D914"/>
    <mergeCell ref="E912:F914"/>
    <mergeCell ref="C920:F920"/>
    <mergeCell ref="C922:F922"/>
    <mergeCell ref="C888:D890"/>
    <mergeCell ref="E888:F890"/>
    <mergeCell ref="C896:F896"/>
    <mergeCell ref="C898:F898"/>
    <mergeCell ref="C900:D902"/>
    <mergeCell ref="E900:F902"/>
    <mergeCell ref="C872:F872"/>
    <mergeCell ref="C874:F874"/>
    <mergeCell ref="C876:D878"/>
    <mergeCell ref="E876:F878"/>
    <mergeCell ref="C884:F884"/>
    <mergeCell ref="C886:F886"/>
    <mergeCell ref="C852:D854"/>
    <mergeCell ref="E852:F854"/>
    <mergeCell ref="C860:F860"/>
    <mergeCell ref="C862:F862"/>
    <mergeCell ref="C864:D866"/>
    <mergeCell ref="E864:F866"/>
    <mergeCell ref="C836:F836"/>
    <mergeCell ref="C838:F838"/>
    <mergeCell ref="C840:D842"/>
    <mergeCell ref="E840:F842"/>
    <mergeCell ref="C848:F848"/>
    <mergeCell ref="C850:F850"/>
    <mergeCell ref="C816:D818"/>
    <mergeCell ref="E816:F818"/>
    <mergeCell ref="C824:F824"/>
    <mergeCell ref="C826:F826"/>
    <mergeCell ref="C828:D830"/>
    <mergeCell ref="E828:F830"/>
    <mergeCell ref="C800:F800"/>
    <mergeCell ref="C802:F802"/>
    <mergeCell ref="C804:D806"/>
    <mergeCell ref="E804:F806"/>
    <mergeCell ref="C812:F812"/>
    <mergeCell ref="C814:F814"/>
    <mergeCell ref="C780:D782"/>
    <mergeCell ref="E780:F782"/>
    <mergeCell ref="C788:F788"/>
    <mergeCell ref="C790:F790"/>
    <mergeCell ref="C792:D794"/>
    <mergeCell ref="E792:F794"/>
    <mergeCell ref="C764:F764"/>
    <mergeCell ref="C766:F766"/>
    <mergeCell ref="C768:D770"/>
    <mergeCell ref="E768:F770"/>
    <mergeCell ref="C776:F776"/>
    <mergeCell ref="C778:F778"/>
    <mergeCell ref="C744:D746"/>
    <mergeCell ref="E744:F746"/>
    <mergeCell ref="C752:F752"/>
    <mergeCell ref="C754:F754"/>
    <mergeCell ref="C756:D758"/>
    <mergeCell ref="E756:F758"/>
    <mergeCell ref="C728:F728"/>
    <mergeCell ref="C730:F730"/>
    <mergeCell ref="C732:D734"/>
    <mergeCell ref="E732:F734"/>
    <mergeCell ref="C740:F740"/>
    <mergeCell ref="C742:F742"/>
    <mergeCell ref="C708:D710"/>
    <mergeCell ref="E708:F710"/>
    <mergeCell ref="C716:F716"/>
    <mergeCell ref="C718:F718"/>
    <mergeCell ref="C720:D722"/>
    <mergeCell ref="E720:F722"/>
    <mergeCell ref="C692:F692"/>
    <mergeCell ref="C694:F694"/>
    <mergeCell ref="C696:D698"/>
    <mergeCell ref="E696:F698"/>
    <mergeCell ref="C704:F704"/>
    <mergeCell ref="C706:F706"/>
    <mergeCell ref="C672:D674"/>
    <mergeCell ref="E672:F674"/>
    <mergeCell ref="C680:F680"/>
    <mergeCell ref="C682:F682"/>
    <mergeCell ref="C684:D686"/>
    <mergeCell ref="E684:F686"/>
    <mergeCell ref="C656:F656"/>
    <mergeCell ref="C658:F658"/>
    <mergeCell ref="C660:D662"/>
    <mergeCell ref="E660:F662"/>
    <mergeCell ref="C668:F668"/>
    <mergeCell ref="C670:F670"/>
    <mergeCell ref="C636:D638"/>
    <mergeCell ref="E636:F638"/>
    <mergeCell ref="C644:F644"/>
    <mergeCell ref="C646:F646"/>
    <mergeCell ref="C648:D650"/>
    <mergeCell ref="E648:F650"/>
    <mergeCell ref="C620:F620"/>
    <mergeCell ref="C622:F622"/>
    <mergeCell ref="C624:D626"/>
    <mergeCell ref="E624:F626"/>
    <mergeCell ref="C632:F632"/>
    <mergeCell ref="C634:F634"/>
    <mergeCell ref="C600:D602"/>
    <mergeCell ref="E600:F602"/>
    <mergeCell ref="C608:F608"/>
    <mergeCell ref="C610:F610"/>
    <mergeCell ref="C612:D614"/>
    <mergeCell ref="E612:F614"/>
    <mergeCell ref="C584:F584"/>
    <mergeCell ref="C586:F586"/>
    <mergeCell ref="C588:D590"/>
    <mergeCell ref="E588:F590"/>
    <mergeCell ref="C596:F596"/>
    <mergeCell ref="C598:F598"/>
    <mergeCell ref="C564:D566"/>
    <mergeCell ref="E564:F566"/>
    <mergeCell ref="C572:F572"/>
    <mergeCell ref="C574:F574"/>
    <mergeCell ref="C576:D578"/>
    <mergeCell ref="E576:F578"/>
    <mergeCell ref="C548:F548"/>
    <mergeCell ref="C550:F550"/>
    <mergeCell ref="C552:D554"/>
    <mergeCell ref="E552:F554"/>
    <mergeCell ref="C560:F560"/>
    <mergeCell ref="C562:F562"/>
    <mergeCell ref="C528:D530"/>
    <mergeCell ref="E528:F530"/>
    <mergeCell ref="C536:F536"/>
    <mergeCell ref="C538:F538"/>
    <mergeCell ref="C540:D542"/>
    <mergeCell ref="E540:F542"/>
    <mergeCell ref="C512:F512"/>
    <mergeCell ref="C514:F514"/>
    <mergeCell ref="C516:D518"/>
    <mergeCell ref="E516:F518"/>
    <mergeCell ref="C524:F524"/>
    <mergeCell ref="C526:F526"/>
    <mergeCell ref="C492:D494"/>
    <mergeCell ref="E492:F494"/>
    <mergeCell ref="C500:F500"/>
    <mergeCell ref="C502:F502"/>
    <mergeCell ref="C504:D506"/>
    <mergeCell ref="E504:F506"/>
    <mergeCell ref="C476:F476"/>
    <mergeCell ref="C478:F478"/>
    <mergeCell ref="C480:D482"/>
    <mergeCell ref="E480:F482"/>
    <mergeCell ref="C488:F488"/>
    <mergeCell ref="C490:F490"/>
    <mergeCell ref="C456:D458"/>
    <mergeCell ref="E456:F458"/>
    <mergeCell ref="C464:F464"/>
    <mergeCell ref="C466:F466"/>
    <mergeCell ref="C468:D470"/>
    <mergeCell ref="E468:F470"/>
    <mergeCell ref="C440:F440"/>
    <mergeCell ref="C442:F442"/>
    <mergeCell ref="C444:D446"/>
    <mergeCell ref="E444:F446"/>
    <mergeCell ref="C452:F452"/>
    <mergeCell ref="C454:F454"/>
    <mergeCell ref="C420:D422"/>
    <mergeCell ref="E420:F422"/>
    <mergeCell ref="C428:F428"/>
    <mergeCell ref="C430:F430"/>
    <mergeCell ref="C432:D434"/>
    <mergeCell ref="E432:F434"/>
    <mergeCell ref="C404:F404"/>
    <mergeCell ref="C406:F406"/>
    <mergeCell ref="C408:D410"/>
    <mergeCell ref="E408:F410"/>
    <mergeCell ref="C416:F416"/>
    <mergeCell ref="C418:F418"/>
    <mergeCell ref="C384:D386"/>
    <mergeCell ref="E384:F386"/>
    <mergeCell ref="C392:F392"/>
    <mergeCell ref="C394:F394"/>
    <mergeCell ref="C396:D398"/>
    <mergeCell ref="E396:F398"/>
    <mergeCell ref="C368:F368"/>
    <mergeCell ref="C370:F370"/>
    <mergeCell ref="C372:D374"/>
    <mergeCell ref="E372:F374"/>
    <mergeCell ref="C380:F380"/>
    <mergeCell ref="C382:F382"/>
    <mergeCell ref="C348:D350"/>
    <mergeCell ref="E348:F350"/>
    <mergeCell ref="C356:F356"/>
    <mergeCell ref="C358:F358"/>
    <mergeCell ref="C360:D362"/>
    <mergeCell ref="E360:F362"/>
    <mergeCell ref="C332:F332"/>
    <mergeCell ref="C334:F334"/>
    <mergeCell ref="C336:D338"/>
    <mergeCell ref="E336:F338"/>
    <mergeCell ref="C344:F344"/>
    <mergeCell ref="C346:F346"/>
    <mergeCell ref="C312:D314"/>
    <mergeCell ref="E312:F314"/>
    <mergeCell ref="C320:F320"/>
    <mergeCell ref="C322:F322"/>
    <mergeCell ref="C324:D326"/>
    <mergeCell ref="E324:F326"/>
    <mergeCell ref="C296:F296"/>
    <mergeCell ref="C298:F298"/>
    <mergeCell ref="C300:D302"/>
    <mergeCell ref="E300:F302"/>
    <mergeCell ref="C308:F308"/>
    <mergeCell ref="C310:F310"/>
    <mergeCell ref="C276:D278"/>
    <mergeCell ref="E276:F278"/>
    <mergeCell ref="C284:F284"/>
    <mergeCell ref="C286:F286"/>
    <mergeCell ref="C288:D290"/>
    <mergeCell ref="E288:F290"/>
    <mergeCell ref="C260:F260"/>
    <mergeCell ref="C262:F262"/>
    <mergeCell ref="C264:D266"/>
    <mergeCell ref="E264:F266"/>
    <mergeCell ref="C272:F272"/>
    <mergeCell ref="C274:F274"/>
    <mergeCell ref="C240:D242"/>
    <mergeCell ref="E240:F242"/>
    <mergeCell ref="C248:F248"/>
    <mergeCell ref="C250:F250"/>
    <mergeCell ref="C252:D254"/>
    <mergeCell ref="E252:F254"/>
    <mergeCell ref="C224:F224"/>
    <mergeCell ref="C226:F226"/>
    <mergeCell ref="C228:D230"/>
    <mergeCell ref="E228:F230"/>
    <mergeCell ref="C236:F236"/>
    <mergeCell ref="C238:F238"/>
    <mergeCell ref="C204:D206"/>
    <mergeCell ref="E204:F206"/>
    <mergeCell ref="C212:F212"/>
    <mergeCell ref="C214:F214"/>
    <mergeCell ref="C216:D218"/>
    <mergeCell ref="E216:F218"/>
    <mergeCell ref="C188:F188"/>
    <mergeCell ref="C190:F190"/>
    <mergeCell ref="C192:D194"/>
    <mergeCell ref="E192:F194"/>
    <mergeCell ref="C200:F200"/>
    <mergeCell ref="C202:F202"/>
    <mergeCell ref="C168:D170"/>
    <mergeCell ref="E168:F170"/>
    <mergeCell ref="C176:F176"/>
    <mergeCell ref="C178:F178"/>
    <mergeCell ref="C180:D182"/>
    <mergeCell ref="E180:F182"/>
    <mergeCell ref="C152:F152"/>
    <mergeCell ref="C154:F154"/>
    <mergeCell ref="C156:D158"/>
    <mergeCell ref="E156:F158"/>
    <mergeCell ref="C164:F164"/>
    <mergeCell ref="C166:F166"/>
    <mergeCell ref="C132:D134"/>
    <mergeCell ref="E132:F134"/>
    <mergeCell ref="C140:F140"/>
    <mergeCell ref="C142:F142"/>
    <mergeCell ref="C144:D146"/>
    <mergeCell ref="E144:F146"/>
    <mergeCell ref="C116:F116"/>
    <mergeCell ref="C118:F118"/>
    <mergeCell ref="C120:D122"/>
    <mergeCell ref="E120:F122"/>
    <mergeCell ref="C128:F128"/>
    <mergeCell ref="C130:F130"/>
    <mergeCell ref="C96:D98"/>
    <mergeCell ref="E96:F98"/>
    <mergeCell ref="C104:F104"/>
    <mergeCell ref="C106:F106"/>
    <mergeCell ref="C108:D110"/>
    <mergeCell ref="E108:F110"/>
    <mergeCell ref="C82:F82"/>
    <mergeCell ref="C84:D86"/>
    <mergeCell ref="E84:F86"/>
    <mergeCell ref="C92:F92"/>
    <mergeCell ref="C94:F94"/>
    <mergeCell ref="C60:D62"/>
    <mergeCell ref="E60:F62"/>
    <mergeCell ref="C68:F68"/>
    <mergeCell ref="C70:F70"/>
    <mergeCell ref="C72:D74"/>
    <mergeCell ref="E72:F74"/>
    <mergeCell ref="C56:F56"/>
    <mergeCell ref="C58:F58"/>
    <mergeCell ref="C24:D26"/>
    <mergeCell ref="E24:F26"/>
    <mergeCell ref="C32:F32"/>
    <mergeCell ref="C34:F34"/>
    <mergeCell ref="C36:D38"/>
    <mergeCell ref="E36:F38"/>
    <mergeCell ref="C80:F80"/>
    <mergeCell ref="C8:F8"/>
    <mergeCell ref="C10:F10"/>
    <mergeCell ref="C12:D14"/>
    <mergeCell ref="E12:F14"/>
    <mergeCell ref="C20:F20"/>
    <mergeCell ref="C22:F22"/>
    <mergeCell ref="C44:F44"/>
    <mergeCell ref="C46:F46"/>
    <mergeCell ref="C48:D50"/>
    <mergeCell ref="E48:F50"/>
  </mergeCells>
  <pageMargins left="0.7" right="0.7" top="0.78740157499999996" bottom="0.78740157499999996" header="0.3" footer="0.3"/>
  <pageSetup paperSize="9" orientation="portrait" horizontalDpi="300" verticalDpi="300" r:id="rId1"/>
  <drawing r:id="rId2"/>
  <legacyDrawing r:id="rId3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Tabelle29">
    <tabColor theme="0" tint="-0.249977111117893"/>
  </sheetPr>
  <dimension ref="A1:R484"/>
  <sheetViews>
    <sheetView showGridLines="0" zoomScaleNormal="100" workbookViewId="0">
      <pane ySplit="1" topLeftCell="A2" activePane="bottomLeft" state="frozen"/>
      <selection activeCell="K1" sqref="K1"/>
      <selection pane="bottomLeft" activeCell="A2" sqref="A2"/>
    </sheetView>
  </sheetViews>
  <sheetFormatPr baseColWidth="10" defaultColWidth="11.44140625" defaultRowHeight="13.8" x14ac:dyDescent="0.3"/>
  <cols>
    <col min="1" max="1" width="0.109375" style="315" customWidth="1"/>
    <col min="2" max="2" width="6.44140625" style="320" customWidth="1"/>
    <col min="3" max="3" width="4.44140625" style="320" customWidth="1"/>
    <col min="4" max="4" width="49.44140625" style="320" customWidth="1"/>
    <col min="5" max="5" width="51.44140625" style="320" customWidth="1"/>
    <col min="6" max="6" width="4" style="320" customWidth="1"/>
    <col min="7" max="16384" width="11.44140625" style="320"/>
  </cols>
  <sheetData>
    <row r="1" spans="1:18" s="316" customFormat="1" ht="44.4" customHeight="1" x14ac:dyDescent="0.3">
      <c r="A1" s="315"/>
      <c r="C1" s="198" t="str">
        <f ca="1">' '!A451</f>
        <v>I N D I C A T E U R S   O B J E C T I F S</v>
      </c>
      <c r="D1" s="198"/>
      <c r="E1" s="198"/>
      <c r="F1" s="317"/>
      <c r="G1" s="199"/>
      <c r="H1" s="318"/>
      <c r="O1" s="248"/>
      <c r="P1" s="248"/>
      <c r="Q1" s="248"/>
      <c r="R1" s="248"/>
    </row>
    <row r="2" spans="1:18" ht="15.6" x14ac:dyDescent="0.25">
      <c r="A2" s="319"/>
      <c r="C2" s="322"/>
      <c r="D2" s="321"/>
      <c r="O2" s="248"/>
      <c r="P2" s="248"/>
      <c r="Q2" s="248"/>
      <c r="R2" s="248"/>
    </row>
    <row r="3" spans="1:18" ht="3.9" customHeight="1" x14ac:dyDescent="0.25">
      <c r="A3" s="249"/>
    </row>
    <row r="4" spans="1:18" ht="6.6" customHeight="1" x14ac:dyDescent="0.3">
      <c r="A4" s="323"/>
      <c r="D4" s="324"/>
    </row>
    <row r="5" spans="1:18" ht="24" customHeight="1" x14ac:dyDescent="0.3">
      <c r="A5" s="323"/>
      <c r="C5" s="330" t="s">
        <v>992</v>
      </c>
      <c r="D5" s="331" t="str">
        <f>__s1</f>
        <v>Indikator 1</v>
      </c>
      <c r="E5" s="332"/>
      <c r="F5" s="332"/>
    </row>
    <row r="6" spans="1:18" ht="4.5" customHeight="1" x14ac:dyDescent="0.3">
      <c r="A6" s="323"/>
    </row>
    <row r="7" spans="1:18" x14ac:dyDescent="0.3">
      <c r="A7" s="323"/>
      <c r="C7" s="333"/>
      <c r="D7" s="333" t="str">
        <f ca="1">' '!$A$448</f>
        <v>Description/Remarques</v>
      </c>
      <c r="E7" s="333"/>
      <c r="F7" s="333"/>
    </row>
    <row r="8" spans="1:18" ht="51" customHeight="1" x14ac:dyDescent="0.3">
      <c r="A8" s="323"/>
      <c r="C8" s="1142"/>
      <c r="D8" s="1142"/>
      <c r="E8" s="1142"/>
      <c r="F8" s="1142"/>
    </row>
    <row r="9" spans="1:18" x14ac:dyDescent="0.3">
      <c r="A9" s="323"/>
      <c r="C9" s="333"/>
      <c r="D9" s="333" t="str">
        <f ca="1">' '!$A$447</f>
        <v>Calcul</v>
      </c>
      <c r="E9" s="333"/>
      <c r="F9" s="333"/>
    </row>
    <row r="10" spans="1:18" ht="57.9" customHeight="1" x14ac:dyDescent="0.3">
      <c r="A10" s="323"/>
      <c r="C10" s="1142"/>
      <c r="D10" s="1142"/>
      <c r="E10" s="1142" t="s">
        <v>857</v>
      </c>
      <c r="F10" s="1142"/>
    </row>
    <row r="11" spans="1:18" x14ac:dyDescent="0.3">
      <c r="A11" s="323"/>
      <c r="C11" s="333"/>
      <c r="D11" s="334" t="str">
        <f ca="1">' '!$A$449</f>
        <v>Source</v>
      </c>
      <c r="E11" s="333" t="str">
        <f ca="1">' '!$A$450</f>
        <v>Moment de l'enquête &amp; Comparaison avec la branche</v>
      </c>
      <c r="F11" s="333"/>
    </row>
    <row r="12" spans="1:18" x14ac:dyDescent="0.3">
      <c r="A12" s="323"/>
      <c r="C12" s="1143"/>
      <c r="D12" s="1144"/>
      <c r="E12" s="1143"/>
      <c r="F12" s="1144"/>
    </row>
    <row r="13" spans="1:18" x14ac:dyDescent="0.3">
      <c r="A13" s="323"/>
      <c r="C13" s="1143"/>
      <c r="D13" s="1144"/>
      <c r="E13" s="1143"/>
      <c r="F13" s="1144"/>
    </row>
    <row r="14" spans="1:18" x14ac:dyDescent="0.3">
      <c r="A14" s="323"/>
      <c r="C14" s="1143"/>
      <c r="D14" s="1144"/>
      <c r="E14" s="1143"/>
      <c r="F14" s="1144"/>
    </row>
    <row r="15" spans="1:18" ht="4.5" customHeight="1" x14ac:dyDescent="0.3">
      <c r="A15" s="323"/>
      <c r="C15" s="333"/>
      <c r="D15" s="333"/>
      <c r="E15" s="333"/>
      <c r="F15" s="333"/>
    </row>
    <row r="16" spans="1:18" ht="8.4" customHeight="1" x14ac:dyDescent="0.3">
      <c r="A16" s="323"/>
      <c r="D16" s="324"/>
    </row>
    <row r="17" spans="1:6" ht="24" customHeight="1" x14ac:dyDescent="0.3">
      <c r="A17" s="323"/>
      <c r="C17" s="330" t="s">
        <v>993</v>
      </c>
      <c r="D17" s="331">
        <f>Massnahmen!E9</f>
        <v>0</v>
      </c>
      <c r="E17" s="332"/>
      <c r="F17" s="332"/>
    </row>
    <row r="18" spans="1:6" x14ac:dyDescent="0.3">
      <c r="A18" s="323"/>
    </row>
    <row r="19" spans="1:6" x14ac:dyDescent="0.3">
      <c r="A19" s="323"/>
      <c r="C19" s="333"/>
      <c r="D19" s="333" t="str">
        <f ca="1">' '!$A$448</f>
        <v>Description/Remarques</v>
      </c>
      <c r="E19" s="333"/>
      <c r="F19" s="333"/>
    </row>
    <row r="20" spans="1:6" x14ac:dyDescent="0.3">
      <c r="A20" s="323"/>
      <c r="C20" s="1142"/>
      <c r="D20" s="1142"/>
      <c r="E20" s="1142"/>
      <c r="F20" s="1142"/>
    </row>
    <row r="21" spans="1:6" x14ac:dyDescent="0.3">
      <c r="A21" s="323"/>
      <c r="C21" s="333"/>
      <c r="D21" s="333" t="str">
        <f ca="1">' '!$A$447</f>
        <v>Calcul</v>
      </c>
      <c r="E21" s="333"/>
      <c r="F21" s="333"/>
    </row>
    <row r="22" spans="1:6" x14ac:dyDescent="0.3">
      <c r="A22" s="323"/>
      <c r="C22" s="1142"/>
      <c r="D22" s="1142"/>
      <c r="E22" s="1142" t="s">
        <v>857</v>
      </c>
      <c r="F22" s="1142"/>
    </row>
    <row r="23" spans="1:6" x14ac:dyDescent="0.3">
      <c r="A23" s="323"/>
      <c r="C23" s="333"/>
      <c r="D23" s="334" t="str">
        <f ca="1">' '!$A$449</f>
        <v>Source</v>
      </c>
      <c r="E23" s="333" t="str">
        <f ca="1">' '!$A$450</f>
        <v>Moment de l'enquête &amp; Comparaison avec la branche</v>
      </c>
      <c r="F23" s="333"/>
    </row>
    <row r="24" spans="1:6" x14ac:dyDescent="0.3">
      <c r="A24" s="323"/>
      <c r="C24" s="1143"/>
      <c r="D24" s="1144"/>
      <c r="E24" s="1143"/>
      <c r="F24" s="1144"/>
    </row>
    <row r="25" spans="1:6" x14ac:dyDescent="0.3">
      <c r="A25" s="323"/>
      <c r="C25" s="1143"/>
      <c r="D25" s="1144"/>
      <c r="E25" s="1143"/>
      <c r="F25" s="1144"/>
    </row>
    <row r="26" spans="1:6" x14ac:dyDescent="0.3">
      <c r="A26" s="323"/>
      <c r="C26" s="1143"/>
      <c r="D26" s="1144"/>
      <c r="E26" s="1143"/>
      <c r="F26" s="1144"/>
    </row>
    <row r="27" spans="1:6" x14ac:dyDescent="0.3">
      <c r="A27" s="323"/>
      <c r="C27" s="333"/>
      <c r="D27" s="333"/>
      <c r="E27" s="333"/>
      <c r="F27" s="333"/>
    </row>
    <row r="28" spans="1:6" ht="15.6" x14ac:dyDescent="0.3">
      <c r="A28" s="323"/>
      <c r="D28" s="324"/>
    </row>
    <row r="29" spans="1:6" ht="24" customHeight="1" x14ac:dyDescent="0.3">
      <c r="A29" s="323"/>
      <c r="C29" s="330" t="s">
        <v>994</v>
      </c>
      <c r="D29" s="331">
        <f>__s3</f>
        <v>0</v>
      </c>
      <c r="E29" s="332"/>
      <c r="F29" s="332"/>
    </row>
    <row r="30" spans="1:6" x14ac:dyDescent="0.3">
      <c r="A30" s="323"/>
    </row>
    <row r="31" spans="1:6" x14ac:dyDescent="0.3">
      <c r="A31" s="323"/>
      <c r="C31" s="333"/>
      <c r="D31" s="333" t="str">
        <f ca="1">' '!$A$448</f>
        <v>Description/Remarques</v>
      </c>
      <c r="E31" s="333"/>
      <c r="F31" s="333"/>
    </row>
    <row r="32" spans="1:6" x14ac:dyDescent="0.3">
      <c r="A32" s="323"/>
      <c r="C32" s="1142"/>
      <c r="D32" s="1142"/>
      <c r="E32" s="1142"/>
      <c r="F32" s="1142"/>
    </row>
    <row r="33" spans="1:6" x14ac:dyDescent="0.3">
      <c r="A33" s="323"/>
      <c r="C33" s="333"/>
      <c r="D33" s="333" t="str">
        <f ca="1">' '!$A$447</f>
        <v>Calcul</v>
      </c>
      <c r="E33" s="333"/>
      <c r="F33" s="333"/>
    </row>
    <row r="34" spans="1:6" x14ac:dyDescent="0.3">
      <c r="A34" s="323"/>
      <c r="C34" s="1142"/>
      <c r="D34" s="1142"/>
      <c r="E34" s="1142" t="s">
        <v>857</v>
      </c>
      <c r="F34" s="1142"/>
    </row>
    <row r="35" spans="1:6" x14ac:dyDescent="0.3">
      <c r="A35" s="323"/>
      <c r="C35" s="333"/>
      <c r="D35" s="334" t="str">
        <f ca="1">' '!$A$449</f>
        <v>Source</v>
      </c>
      <c r="E35" s="333" t="str">
        <f ca="1">' '!$A$450</f>
        <v>Moment de l'enquête &amp; Comparaison avec la branche</v>
      </c>
      <c r="F35" s="333"/>
    </row>
    <row r="36" spans="1:6" x14ac:dyDescent="0.3">
      <c r="A36" s="323"/>
      <c r="C36" s="1143"/>
      <c r="D36" s="1144"/>
      <c r="E36" s="1143"/>
      <c r="F36" s="1144"/>
    </row>
    <row r="37" spans="1:6" x14ac:dyDescent="0.3">
      <c r="A37" s="323"/>
      <c r="C37" s="1143"/>
      <c r="D37" s="1144"/>
      <c r="E37" s="1143"/>
      <c r="F37" s="1144"/>
    </row>
    <row r="38" spans="1:6" x14ac:dyDescent="0.3">
      <c r="A38" s="323"/>
      <c r="C38" s="1143"/>
      <c r="D38" s="1144"/>
      <c r="E38" s="1143"/>
      <c r="F38" s="1144"/>
    </row>
    <row r="39" spans="1:6" x14ac:dyDescent="0.3">
      <c r="A39" s="323"/>
      <c r="C39" s="333"/>
      <c r="D39" s="333"/>
      <c r="E39" s="333"/>
      <c r="F39" s="333"/>
    </row>
    <row r="40" spans="1:6" ht="15.6" x14ac:dyDescent="0.3">
      <c r="A40" s="323"/>
      <c r="D40" s="324"/>
    </row>
    <row r="41" spans="1:6" ht="24" customHeight="1" x14ac:dyDescent="0.3">
      <c r="A41" s="323"/>
      <c r="C41" s="330" t="s">
        <v>995</v>
      </c>
      <c r="D41" s="331">
        <f>__s4</f>
        <v>0</v>
      </c>
      <c r="E41" s="332"/>
      <c r="F41" s="332"/>
    </row>
    <row r="42" spans="1:6" x14ac:dyDescent="0.3">
      <c r="A42" s="323"/>
    </row>
    <row r="43" spans="1:6" x14ac:dyDescent="0.3">
      <c r="A43" s="323"/>
      <c r="C43" s="333"/>
      <c r="D43" s="333" t="str">
        <f ca="1">' '!$A$448</f>
        <v>Description/Remarques</v>
      </c>
      <c r="E43" s="333"/>
      <c r="F43" s="333"/>
    </row>
    <row r="44" spans="1:6" x14ac:dyDescent="0.3">
      <c r="A44" s="323"/>
      <c r="C44" s="1142"/>
      <c r="D44" s="1142"/>
      <c r="E44" s="1142"/>
      <c r="F44" s="1142"/>
    </row>
    <row r="45" spans="1:6" x14ac:dyDescent="0.3">
      <c r="A45" s="323"/>
      <c r="C45" s="333"/>
      <c r="D45" s="333" t="str">
        <f ca="1">' '!$A$447</f>
        <v>Calcul</v>
      </c>
      <c r="E45" s="333"/>
      <c r="F45" s="333"/>
    </row>
    <row r="46" spans="1:6" x14ac:dyDescent="0.3">
      <c r="A46" s="323"/>
      <c r="C46" s="1142"/>
      <c r="D46" s="1142"/>
      <c r="E46" s="1142" t="s">
        <v>857</v>
      </c>
      <c r="F46" s="1142"/>
    </row>
    <row r="47" spans="1:6" x14ac:dyDescent="0.3">
      <c r="A47" s="323"/>
      <c r="C47" s="333"/>
      <c r="D47" s="334" t="str">
        <f ca="1">' '!$A$449</f>
        <v>Source</v>
      </c>
      <c r="E47" s="333" t="str">
        <f ca="1">' '!$A$450</f>
        <v>Moment de l'enquête &amp; Comparaison avec la branche</v>
      </c>
      <c r="F47" s="333"/>
    </row>
    <row r="48" spans="1:6" x14ac:dyDescent="0.3">
      <c r="A48" s="323"/>
      <c r="C48" s="1143"/>
      <c r="D48" s="1144"/>
      <c r="E48" s="1143"/>
      <c r="F48" s="1144"/>
    </row>
    <row r="49" spans="1:6" x14ac:dyDescent="0.3">
      <c r="A49" s="323"/>
      <c r="C49" s="1143"/>
      <c r="D49" s="1144"/>
      <c r="E49" s="1143"/>
      <c r="F49" s="1144"/>
    </row>
    <row r="50" spans="1:6" x14ac:dyDescent="0.3">
      <c r="A50" s="323"/>
      <c r="C50" s="1143"/>
      <c r="D50" s="1144"/>
      <c r="E50" s="1143"/>
      <c r="F50" s="1144"/>
    </row>
    <row r="51" spans="1:6" x14ac:dyDescent="0.3">
      <c r="A51" s="323"/>
      <c r="C51" s="333"/>
      <c r="D51" s="333"/>
      <c r="E51" s="333"/>
      <c r="F51" s="333"/>
    </row>
    <row r="52" spans="1:6" ht="15.6" x14ac:dyDescent="0.3">
      <c r="A52" s="323"/>
      <c r="D52" s="324"/>
    </row>
    <row r="53" spans="1:6" ht="24" customHeight="1" x14ac:dyDescent="0.3">
      <c r="A53" s="323"/>
      <c r="C53" s="330" t="s">
        <v>996</v>
      </c>
      <c r="D53" s="331">
        <f>__s5</f>
        <v>0</v>
      </c>
      <c r="E53" s="332"/>
      <c r="F53" s="332"/>
    </row>
    <row r="54" spans="1:6" x14ac:dyDescent="0.3">
      <c r="A54" s="323"/>
    </row>
    <row r="55" spans="1:6" x14ac:dyDescent="0.3">
      <c r="A55" s="323"/>
      <c r="C55" s="333"/>
      <c r="D55" s="333" t="str">
        <f ca="1">' '!$A$448</f>
        <v>Description/Remarques</v>
      </c>
      <c r="E55" s="333"/>
      <c r="F55" s="333"/>
    </row>
    <row r="56" spans="1:6" x14ac:dyDescent="0.3">
      <c r="A56" s="323"/>
      <c r="C56" s="1142"/>
      <c r="D56" s="1142"/>
      <c r="E56" s="1142"/>
      <c r="F56" s="1142"/>
    </row>
    <row r="57" spans="1:6" x14ac:dyDescent="0.3">
      <c r="A57" s="323"/>
      <c r="C57" s="333"/>
      <c r="D57" s="333" t="str">
        <f ca="1">' '!$A$447</f>
        <v>Calcul</v>
      </c>
      <c r="E57" s="333"/>
      <c r="F57" s="333"/>
    </row>
    <row r="58" spans="1:6" x14ac:dyDescent="0.3">
      <c r="A58" s="323"/>
      <c r="C58" s="1142"/>
      <c r="D58" s="1142"/>
      <c r="E58" s="1142" t="s">
        <v>857</v>
      </c>
      <c r="F58" s="1142"/>
    </row>
    <row r="59" spans="1:6" x14ac:dyDescent="0.3">
      <c r="A59" s="323"/>
      <c r="C59" s="333"/>
      <c r="D59" s="334" t="str">
        <f ca="1">' '!$A$449</f>
        <v>Source</v>
      </c>
      <c r="E59" s="333" t="str">
        <f ca="1">' '!$A$450</f>
        <v>Moment de l'enquête &amp; Comparaison avec la branche</v>
      </c>
      <c r="F59" s="333"/>
    </row>
    <row r="60" spans="1:6" x14ac:dyDescent="0.3">
      <c r="A60" s="323"/>
      <c r="C60" s="1143"/>
      <c r="D60" s="1144"/>
      <c r="E60" s="1143"/>
      <c r="F60" s="1144"/>
    </row>
    <row r="61" spans="1:6" x14ac:dyDescent="0.3">
      <c r="A61" s="323"/>
      <c r="C61" s="1143"/>
      <c r="D61" s="1144"/>
      <c r="E61" s="1143"/>
      <c r="F61" s="1144"/>
    </row>
    <row r="62" spans="1:6" x14ac:dyDescent="0.3">
      <c r="A62" s="323"/>
      <c r="C62" s="1143"/>
      <c r="D62" s="1144"/>
      <c r="E62" s="1143"/>
      <c r="F62" s="1144"/>
    </row>
    <row r="63" spans="1:6" x14ac:dyDescent="0.3">
      <c r="A63" s="323"/>
      <c r="C63" s="333"/>
      <c r="D63" s="333"/>
      <c r="E63" s="333"/>
      <c r="F63" s="333"/>
    </row>
    <row r="64" spans="1:6" ht="15.6" x14ac:dyDescent="0.3">
      <c r="A64" s="323"/>
      <c r="D64" s="324"/>
    </row>
    <row r="65" spans="1:6" ht="24" customHeight="1" x14ac:dyDescent="0.3">
      <c r="A65" s="323"/>
      <c r="C65" s="330" t="s">
        <v>997</v>
      </c>
      <c r="D65" s="331">
        <f>__s6</f>
        <v>0</v>
      </c>
      <c r="E65" s="332"/>
      <c r="F65" s="332"/>
    </row>
    <row r="66" spans="1:6" x14ac:dyDescent="0.3">
      <c r="A66" s="323"/>
    </row>
    <row r="67" spans="1:6" x14ac:dyDescent="0.3">
      <c r="A67" s="323"/>
      <c r="C67" s="333"/>
      <c r="D67" s="333" t="str">
        <f ca="1">' '!$A$448</f>
        <v>Description/Remarques</v>
      </c>
      <c r="E67" s="333"/>
      <c r="F67" s="333"/>
    </row>
    <row r="68" spans="1:6" x14ac:dyDescent="0.3">
      <c r="A68" s="323"/>
      <c r="C68" s="1142"/>
      <c r="D68" s="1142"/>
      <c r="E68" s="1142"/>
      <c r="F68" s="1142"/>
    </row>
    <row r="69" spans="1:6" x14ac:dyDescent="0.3">
      <c r="A69" s="323"/>
      <c r="C69" s="333"/>
      <c r="D69" s="333" t="str">
        <f ca="1">' '!$A$447</f>
        <v>Calcul</v>
      </c>
      <c r="E69" s="333"/>
      <c r="F69" s="333"/>
    </row>
    <row r="70" spans="1:6" x14ac:dyDescent="0.3">
      <c r="A70" s="323"/>
      <c r="C70" s="1142"/>
      <c r="D70" s="1142"/>
      <c r="E70" s="1142" t="s">
        <v>857</v>
      </c>
      <c r="F70" s="1142"/>
    </row>
    <row r="71" spans="1:6" x14ac:dyDescent="0.3">
      <c r="A71" s="323"/>
      <c r="C71" s="333"/>
      <c r="D71" s="334" t="str">
        <f ca="1">' '!$A$449</f>
        <v>Source</v>
      </c>
      <c r="E71" s="333" t="str">
        <f ca="1">' '!$A$450</f>
        <v>Moment de l'enquête &amp; Comparaison avec la branche</v>
      </c>
      <c r="F71" s="333"/>
    </row>
    <row r="72" spans="1:6" x14ac:dyDescent="0.3">
      <c r="A72" s="323"/>
      <c r="C72" s="1143"/>
      <c r="D72" s="1144"/>
      <c r="E72" s="1143"/>
      <c r="F72" s="1144"/>
    </row>
    <row r="73" spans="1:6" x14ac:dyDescent="0.3">
      <c r="A73" s="323"/>
      <c r="C73" s="1143"/>
      <c r="D73" s="1144"/>
      <c r="E73" s="1143"/>
      <c r="F73" s="1144"/>
    </row>
    <row r="74" spans="1:6" x14ac:dyDescent="0.3">
      <c r="A74" s="323"/>
      <c r="C74" s="1143"/>
      <c r="D74" s="1144"/>
      <c r="E74" s="1143"/>
      <c r="F74" s="1144"/>
    </row>
    <row r="75" spans="1:6" x14ac:dyDescent="0.3">
      <c r="A75" s="323"/>
      <c r="C75" s="333"/>
      <c r="D75" s="333"/>
      <c r="E75" s="333"/>
      <c r="F75" s="333"/>
    </row>
    <row r="76" spans="1:6" ht="15.6" x14ac:dyDescent="0.3">
      <c r="A76" s="323"/>
      <c r="D76" s="324"/>
    </row>
    <row r="77" spans="1:6" ht="24" customHeight="1" x14ac:dyDescent="0.3">
      <c r="A77" s="323"/>
      <c r="C77" s="330" t="s">
        <v>998</v>
      </c>
      <c r="D77" s="331">
        <f>__s7</f>
        <v>0</v>
      </c>
      <c r="E77" s="332"/>
      <c r="F77" s="332"/>
    </row>
    <row r="78" spans="1:6" x14ac:dyDescent="0.3">
      <c r="A78" s="323"/>
    </row>
    <row r="79" spans="1:6" x14ac:dyDescent="0.3">
      <c r="A79" s="323"/>
      <c r="C79" s="333"/>
      <c r="D79" s="333" t="str">
        <f ca="1">' '!$A$448</f>
        <v>Description/Remarques</v>
      </c>
      <c r="E79" s="333"/>
      <c r="F79" s="333"/>
    </row>
    <row r="80" spans="1:6" x14ac:dyDescent="0.3">
      <c r="A80" s="323"/>
      <c r="C80" s="1142"/>
      <c r="D80" s="1142"/>
      <c r="E80" s="1142"/>
      <c r="F80" s="1142"/>
    </row>
    <row r="81" spans="1:6" x14ac:dyDescent="0.3">
      <c r="A81" s="323"/>
      <c r="C81" s="333"/>
      <c r="D81" s="333" t="str">
        <f ca="1">' '!$A$447</f>
        <v>Calcul</v>
      </c>
      <c r="E81" s="333"/>
      <c r="F81" s="333"/>
    </row>
    <row r="82" spans="1:6" x14ac:dyDescent="0.3">
      <c r="A82" s="323"/>
      <c r="C82" s="1142"/>
      <c r="D82" s="1142"/>
      <c r="E82" s="1142" t="s">
        <v>857</v>
      </c>
      <c r="F82" s="1142"/>
    </row>
    <row r="83" spans="1:6" x14ac:dyDescent="0.3">
      <c r="A83" s="323"/>
      <c r="C83" s="333"/>
      <c r="D83" s="334" t="str">
        <f ca="1">' '!$A$449</f>
        <v>Source</v>
      </c>
      <c r="E83" s="333" t="str">
        <f ca="1">' '!$A$450</f>
        <v>Moment de l'enquête &amp; Comparaison avec la branche</v>
      </c>
      <c r="F83" s="333"/>
    </row>
    <row r="84" spans="1:6" x14ac:dyDescent="0.3">
      <c r="A84" s="323"/>
      <c r="C84" s="1143"/>
      <c r="D84" s="1144"/>
      <c r="E84" s="1143"/>
      <c r="F84" s="1144"/>
    </row>
    <row r="85" spans="1:6" x14ac:dyDescent="0.3">
      <c r="A85" s="323"/>
      <c r="C85" s="1143"/>
      <c r="D85" s="1144"/>
      <c r="E85" s="1143"/>
      <c r="F85" s="1144"/>
    </row>
    <row r="86" spans="1:6" x14ac:dyDescent="0.3">
      <c r="A86" s="323"/>
      <c r="C86" s="1143"/>
      <c r="D86" s="1144"/>
      <c r="E86" s="1143"/>
      <c r="F86" s="1144"/>
    </row>
    <row r="87" spans="1:6" x14ac:dyDescent="0.3">
      <c r="A87" s="323"/>
      <c r="C87" s="333"/>
      <c r="D87" s="333"/>
      <c r="E87" s="333"/>
      <c r="F87" s="333"/>
    </row>
    <row r="88" spans="1:6" ht="15.6" x14ac:dyDescent="0.3">
      <c r="A88" s="323"/>
      <c r="D88" s="324"/>
    </row>
    <row r="89" spans="1:6" ht="24" customHeight="1" x14ac:dyDescent="0.3">
      <c r="A89" s="323"/>
      <c r="C89" s="330" t="s">
        <v>999</v>
      </c>
      <c r="D89" s="331">
        <f>__s8</f>
        <v>0</v>
      </c>
      <c r="E89" s="332"/>
      <c r="F89" s="332"/>
    </row>
    <row r="90" spans="1:6" x14ac:dyDescent="0.3">
      <c r="A90" s="323"/>
    </row>
    <row r="91" spans="1:6" x14ac:dyDescent="0.3">
      <c r="A91" s="323"/>
      <c r="C91" s="333"/>
      <c r="D91" s="333" t="str">
        <f ca="1">' '!$A$448</f>
        <v>Description/Remarques</v>
      </c>
      <c r="E91" s="333"/>
      <c r="F91" s="333"/>
    </row>
    <row r="92" spans="1:6" x14ac:dyDescent="0.3">
      <c r="A92" s="323"/>
      <c r="C92" s="1142"/>
      <c r="D92" s="1142"/>
      <c r="E92" s="1142"/>
      <c r="F92" s="1142"/>
    </row>
    <row r="93" spans="1:6" x14ac:dyDescent="0.3">
      <c r="A93" s="323"/>
      <c r="C93" s="333"/>
      <c r="D93" s="333" t="str">
        <f ca="1">' '!$A$447</f>
        <v>Calcul</v>
      </c>
      <c r="E93" s="333"/>
      <c r="F93" s="333"/>
    </row>
    <row r="94" spans="1:6" x14ac:dyDescent="0.3">
      <c r="A94" s="323"/>
      <c r="C94" s="1142"/>
      <c r="D94" s="1142"/>
      <c r="E94" s="1142" t="s">
        <v>857</v>
      </c>
      <c r="F94" s="1142"/>
    </row>
    <row r="95" spans="1:6" x14ac:dyDescent="0.3">
      <c r="A95" s="323"/>
      <c r="C95" s="333"/>
      <c r="D95" s="334" t="str">
        <f ca="1">' '!$A$449</f>
        <v>Source</v>
      </c>
      <c r="E95" s="333" t="str">
        <f ca="1">' '!$A$450</f>
        <v>Moment de l'enquête &amp; Comparaison avec la branche</v>
      </c>
      <c r="F95" s="333"/>
    </row>
    <row r="96" spans="1:6" x14ac:dyDescent="0.3">
      <c r="A96" s="323"/>
      <c r="C96" s="1143"/>
      <c r="D96" s="1144"/>
      <c r="E96" s="1143"/>
      <c r="F96" s="1144"/>
    </row>
    <row r="97" spans="1:6" x14ac:dyDescent="0.3">
      <c r="A97" s="323"/>
      <c r="C97" s="1143"/>
      <c r="D97" s="1144"/>
      <c r="E97" s="1143"/>
      <c r="F97" s="1144"/>
    </row>
    <row r="98" spans="1:6" x14ac:dyDescent="0.3">
      <c r="A98" s="323"/>
      <c r="C98" s="1143"/>
      <c r="D98" s="1144"/>
      <c r="E98" s="1143"/>
      <c r="F98" s="1144"/>
    </row>
    <row r="99" spans="1:6" x14ac:dyDescent="0.3">
      <c r="A99" s="323"/>
      <c r="C99" s="333"/>
      <c r="D99" s="333"/>
      <c r="E99" s="333"/>
      <c r="F99" s="333"/>
    </row>
    <row r="100" spans="1:6" ht="15.6" x14ac:dyDescent="0.3">
      <c r="A100" s="323"/>
      <c r="D100" s="324"/>
    </row>
    <row r="101" spans="1:6" ht="24" customHeight="1" x14ac:dyDescent="0.3">
      <c r="A101" s="323"/>
      <c r="C101" s="330" t="s">
        <v>1000</v>
      </c>
      <c r="D101" s="331">
        <f>__s9</f>
        <v>0</v>
      </c>
      <c r="E101" s="332"/>
      <c r="F101" s="332"/>
    </row>
    <row r="102" spans="1:6" x14ac:dyDescent="0.3">
      <c r="A102" s="323"/>
    </row>
    <row r="103" spans="1:6" x14ac:dyDescent="0.3">
      <c r="A103" s="323"/>
      <c r="C103" s="333"/>
      <c r="D103" s="333" t="str">
        <f ca="1">' '!$A$448</f>
        <v>Description/Remarques</v>
      </c>
      <c r="E103" s="333"/>
      <c r="F103" s="333"/>
    </row>
    <row r="104" spans="1:6" x14ac:dyDescent="0.3">
      <c r="A104" s="323"/>
      <c r="C104" s="1142"/>
      <c r="D104" s="1142"/>
      <c r="E104" s="1142"/>
      <c r="F104" s="1142"/>
    </row>
    <row r="105" spans="1:6" x14ac:dyDescent="0.3">
      <c r="A105" s="323"/>
      <c r="C105" s="333"/>
      <c r="D105" s="333" t="str">
        <f ca="1">' '!$A$447</f>
        <v>Calcul</v>
      </c>
      <c r="E105" s="333"/>
      <c r="F105" s="333"/>
    </row>
    <row r="106" spans="1:6" x14ac:dyDescent="0.3">
      <c r="A106" s="323"/>
      <c r="C106" s="1142"/>
      <c r="D106" s="1142"/>
      <c r="E106" s="1142" t="s">
        <v>857</v>
      </c>
      <c r="F106" s="1142"/>
    </row>
    <row r="107" spans="1:6" x14ac:dyDescent="0.3">
      <c r="A107" s="323"/>
      <c r="C107" s="333"/>
      <c r="D107" s="334" t="str">
        <f ca="1">' '!$A$449</f>
        <v>Source</v>
      </c>
      <c r="E107" s="333" t="str">
        <f ca="1">' '!$A$450</f>
        <v>Moment de l'enquête &amp; Comparaison avec la branche</v>
      </c>
      <c r="F107" s="333"/>
    </row>
    <row r="108" spans="1:6" x14ac:dyDescent="0.3">
      <c r="A108" s="323"/>
      <c r="C108" s="1143"/>
      <c r="D108" s="1144"/>
      <c r="E108" s="1143"/>
      <c r="F108" s="1144"/>
    </row>
    <row r="109" spans="1:6" x14ac:dyDescent="0.3">
      <c r="A109" s="323"/>
      <c r="C109" s="1143"/>
      <c r="D109" s="1144"/>
      <c r="E109" s="1143"/>
      <c r="F109" s="1144"/>
    </row>
    <row r="110" spans="1:6" x14ac:dyDescent="0.3">
      <c r="A110" s="323"/>
      <c r="C110" s="1143"/>
      <c r="D110" s="1144"/>
      <c r="E110" s="1143"/>
      <c r="F110" s="1144"/>
    </row>
    <row r="111" spans="1:6" x14ac:dyDescent="0.3">
      <c r="A111" s="323"/>
      <c r="C111" s="333"/>
      <c r="D111" s="333"/>
      <c r="E111" s="333"/>
      <c r="F111" s="333"/>
    </row>
    <row r="112" spans="1:6" ht="15.6" x14ac:dyDescent="0.3">
      <c r="A112" s="323"/>
      <c r="D112" s="324"/>
    </row>
    <row r="113" spans="1:6" ht="24" customHeight="1" x14ac:dyDescent="0.3">
      <c r="A113" s="323"/>
      <c r="C113" s="330" t="s">
        <v>1001</v>
      </c>
      <c r="D113" s="331">
        <f>__s10</f>
        <v>0</v>
      </c>
      <c r="E113" s="332"/>
      <c r="F113" s="332"/>
    </row>
    <row r="114" spans="1:6" x14ac:dyDescent="0.3">
      <c r="A114" s="323"/>
    </row>
    <row r="115" spans="1:6" x14ac:dyDescent="0.3">
      <c r="A115" s="323"/>
      <c r="C115" s="333"/>
      <c r="D115" s="333" t="str">
        <f ca="1">' '!$A$448</f>
        <v>Description/Remarques</v>
      </c>
      <c r="E115" s="333"/>
      <c r="F115" s="333"/>
    </row>
    <row r="116" spans="1:6" x14ac:dyDescent="0.3">
      <c r="A116" s="323"/>
      <c r="C116" s="1142"/>
      <c r="D116" s="1142"/>
      <c r="E116" s="1142"/>
      <c r="F116" s="1142"/>
    </row>
    <row r="117" spans="1:6" x14ac:dyDescent="0.3">
      <c r="A117" s="323"/>
      <c r="C117" s="333"/>
      <c r="D117" s="333" t="str">
        <f ca="1">' '!$A$447</f>
        <v>Calcul</v>
      </c>
      <c r="E117" s="333"/>
      <c r="F117" s="333"/>
    </row>
    <row r="118" spans="1:6" x14ac:dyDescent="0.3">
      <c r="A118" s="323"/>
      <c r="C118" s="1142"/>
      <c r="D118" s="1142"/>
      <c r="E118" s="1142" t="s">
        <v>857</v>
      </c>
      <c r="F118" s="1142"/>
    </row>
    <row r="119" spans="1:6" x14ac:dyDescent="0.3">
      <c r="A119" s="323"/>
      <c r="C119" s="333"/>
      <c r="D119" s="334" t="str">
        <f ca="1">' '!$A$449</f>
        <v>Source</v>
      </c>
      <c r="E119" s="333" t="str">
        <f ca="1">' '!$A$450</f>
        <v>Moment de l'enquête &amp; Comparaison avec la branche</v>
      </c>
      <c r="F119" s="333"/>
    </row>
    <row r="120" spans="1:6" x14ac:dyDescent="0.3">
      <c r="A120" s="323"/>
      <c r="C120" s="1143"/>
      <c r="D120" s="1144"/>
      <c r="E120" s="1143"/>
      <c r="F120" s="1144"/>
    </row>
    <row r="121" spans="1:6" x14ac:dyDescent="0.3">
      <c r="A121" s="323"/>
      <c r="C121" s="1143"/>
      <c r="D121" s="1144"/>
      <c r="E121" s="1143"/>
      <c r="F121" s="1144"/>
    </row>
    <row r="122" spans="1:6" x14ac:dyDescent="0.3">
      <c r="A122" s="323"/>
      <c r="C122" s="1143"/>
      <c r="D122" s="1144"/>
      <c r="E122" s="1143"/>
      <c r="F122" s="1144"/>
    </row>
    <row r="123" spans="1:6" x14ac:dyDescent="0.3">
      <c r="A123" s="323"/>
      <c r="C123" s="333"/>
      <c r="D123" s="333"/>
      <c r="E123" s="333"/>
      <c r="F123" s="333"/>
    </row>
    <row r="124" spans="1:6" ht="15.6" x14ac:dyDescent="0.3">
      <c r="A124" s="323"/>
      <c r="D124" s="324"/>
    </row>
    <row r="125" spans="1:6" ht="24" customHeight="1" x14ac:dyDescent="0.3">
      <c r="A125" s="323"/>
      <c r="C125" s="330" t="s">
        <v>1002</v>
      </c>
      <c r="D125" s="331">
        <f>__s11</f>
        <v>0</v>
      </c>
      <c r="E125" s="332"/>
      <c r="F125" s="332"/>
    </row>
    <row r="126" spans="1:6" x14ac:dyDescent="0.3">
      <c r="A126" s="323"/>
    </row>
    <row r="127" spans="1:6" x14ac:dyDescent="0.3">
      <c r="A127" s="323"/>
      <c r="C127" s="333"/>
      <c r="D127" s="333" t="str">
        <f ca="1">' '!$A$448</f>
        <v>Description/Remarques</v>
      </c>
      <c r="E127" s="333"/>
      <c r="F127" s="333"/>
    </row>
    <row r="128" spans="1:6" x14ac:dyDescent="0.3">
      <c r="A128" s="323"/>
      <c r="C128" s="1142"/>
      <c r="D128" s="1142"/>
      <c r="E128" s="1142"/>
      <c r="F128" s="1142"/>
    </row>
    <row r="129" spans="1:6" x14ac:dyDescent="0.3">
      <c r="A129" s="323"/>
      <c r="C129" s="333"/>
      <c r="D129" s="333" t="str">
        <f ca="1">' '!$A$447</f>
        <v>Calcul</v>
      </c>
      <c r="E129" s="333"/>
      <c r="F129" s="333"/>
    </row>
    <row r="130" spans="1:6" x14ac:dyDescent="0.3">
      <c r="A130" s="323"/>
      <c r="C130" s="1142"/>
      <c r="D130" s="1142"/>
      <c r="E130" s="1142" t="s">
        <v>857</v>
      </c>
      <c r="F130" s="1142"/>
    </row>
    <row r="131" spans="1:6" x14ac:dyDescent="0.3">
      <c r="A131" s="323"/>
      <c r="C131" s="333"/>
      <c r="D131" s="334" t="str">
        <f ca="1">' '!$A$449</f>
        <v>Source</v>
      </c>
      <c r="E131" s="333" t="str">
        <f ca="1">' '!$A$450</f>
        <v>Moment de l'enquête &amp; Comparaison avec la branche</v>
      </c>
      <c r="F131" s="333"/>
    </row>
    <row r="132" spans="1:6" x14ac:dyDescent="0.3">
      <c r="A132" s="323"/>
      <c r="C132" s="1143"/>
      <c r="D132" s="1144"/>
      <c r="E132" s="1143"/>
      <c r="F132" s="1144"/>
    </row>
    <row r="133" spans="1:6" x14ac:dyDescent="0.3">
      <c r="A133" s="323"/>
      <c r="C133" s="1143"/>
      <c r="D133" s="1144"/>
      <c r="E133" s="1143"/>
      <c r="F133" s="1144"/>
    </row>
    <row r="134" spans="1:6" x14ac:dyDescent="0.3">
      <c r="A134" s="323"/>
      <c r="C134" s="1143"/>
      <c r="D134" s="1144"/>
      <c r="E134" s="1143"/>
      <c r="F134" s="1144"/>
    </row>
    <row r="135" spans="1:6" x14ac:dyDescent="0.3">
      <c r="A135" s="323"/>
      <c r="C135" s="333"/>
      <c r="D135" s="333"/>
      <c r="E135" s="333"/>
      <c r="F135" s="333"/>
    </row>
    <row r="136" spans="1:6" ht="15.6" x14ac:dyDescent="0.3">
      <c r="A136" s="323"/>
      <c r="D136" s="324"/>
    </row>
    <row r="137" spans="1:6" ht="24" customHeight="1" x14ac:dyDescent="0.3">
      <c r="A137" s="323"/>
      <c r="C137" s="330" t="s">
        <v>1003</v>
      </c>
      <c r="D137" s="331">
        <f>__s12</f>
        <v>0</v>
      </c>
      <c r="E137" s="332"/>
      <c r="F137" s="332"/>
    </row>
    <row r="138" spans="1:6" x14ac:dyDescent="0.3">
      <c r="A138" s="323"/>
    </row>
    <row r="139" spans="1:6" x14ac:dyDescent="0.3">
      <c r="A139" s="323"/>
      <c r="C139" s="333"/>
      <c r="D139" s="333" t="str">
        <f ca="1">' '!$A$448</f>
        <v>Description/Remarques</v>
      </c>
      <c r="E139" s="333"/>
      <c r="F139" s="333"/>
    </row>
    <row r="140" spans="1:6" x14ac:dyDescent="0.3">
      <c r="A140" s="323"/>
      <c r="C140" s="1142"/>
      <c r="D140" s="1142"/>
      <c r="E140" s="1142"/>
      <c r="F140" s="1142"/>
    </row>
    <row r="141" spans="1:6" x14ac:dyDescent="0.3">
      <c r="A141" s="323"/>
      <c r="C141" s="333"/>
      <c r="D141" s="333" t="str">
        <f ca="1">' '!$A$447</f>
        <v>Calcul</v>
      </c>
      <c r="E141" s="333"/>
      <c r="F141" s="333"/>
    </row>
    <row r="142" spans="1:6" x14ac:dyDescent="0.3">
      <c r="A142" s="323"/>
      <c r="C142" s="1142"/>
      <c r="D142" s="1142"/>
      <c r="E142" s="1142" t="s">
        <v>857</v>
      </c>
      <c r="F142" s="1142"/>
    </row>
    <row r="143" spans="1:6" x14ac:dyDescent="0.3">
      <c r="A143" s="323"/>
      <c r="C143" s="333"/>
      <c r="D143" s="334" t="str">
        <f ca="1">' '!$A$449</f>
        <v>Source</v>
      </c>
      <c r="E143" s="333" t="str">
        <f ca="1">' '!$A$450</f>
        <v>Moment de l'enquête &amp; Comparaison avec la branche</v>
      </c>
      <c r="F143" s="333"/>
    </row>
    <row r="144" spans="1:6" x14ac:dyDescent="0.3">
      <c r="A144" s="323"/>
      <c r="C144" s="1143"/>
      <c r="D144" s="1144"/>
      <c r="E144" s="1143"/>
      <c r="F144" s="1144"/>
    </row>
    <row r="145" spans="1:6" x14ac:dyDescent="0.3">
      <c r="A145" s="323"/>
      <c r="C145" s="1143"/>
      <c r="D145" s="1144"/>
      <c r="E145" s="1143"/>
      <c r="F145" s="1144"/>
    </row>
    <row r="146" spans="1:6" x14ac:dyDescent="0.3">
      <c r="A146" s="323"/>
      <c r="C146" s="1143"/>
      <c r="D146" s="1144"/>
      <c r="E146" s="1143"/>
      <c r="F146" s="1144"/>
    </row>
    <row r="147" spans="1:6" x14ac:dyDescent="0.3">
      <c r="A147" s="323"/>
      <c r="C147" s="333"/>
      <c r="D147" s="333"/>
      <c r="E147" s="333"/>
      <c r="F147" s="333"/>
    </row>
    <row r="148" spans="1:6" ht="15.6" x14ac:dyDescent="0.3">
      <c r="A148" s="323"/>
      <c r="D148" s="324"/>
    </row>
    <row r="149" spans="1:6" ht="24" customHeight="1" x14ac:dyDescent="0.3">
      <c r="A149" s="323"/>
      <c r="C149" s="330" t="s">
        <v>1004</v>
      </c>
      <c r="D149" s="331">
        <f>__s13</f>
        <v>0</v>
      </c>
      <c r="E149" s="332"/>
      <c r="F149" s="332"/>
    </row>
    <row r="150" spans="1:6" x14ac:dyDescent="0.3">
      <c r="A150" s="323"/>
    </row>
    <row r="151" spans="1:6" x14ac:dyDescent="0.3">
      <c r="A151" s="323"/>
      <c r="C151" s="333"/>
      <c r="D151" s="333" t="str">
        <f ca="1">' '!$A$448</f>
        <v>Description/Remarques</v>
      </c>
      <c r="E151" s="333"/>
      <c r="F151" s="333"/>
    </row>
    <row r="152" spans="1:6" x14ac:dyDescent="0.3">
      <c r="A152" s="323"/>
      <c r="C152" s="1142"/>
      <c r="D152" s="1142"/>
      <c r="E152" s="1142"/>
      <c r="F152" s="1142"/>
    </row>
    <row r="153" spans="1:6" x14ac:dyDescent="0.3">
      <c r="A153" s="323"/>
      <c r="C153" s="333"/>
      <c r="D153" s="333" t="str">
        <f ca="1">' '!$A$447</f>
        <v>Calcul</v>
      </c>
      <c r="E153" s="333"/>
      <c r="F153" s="333"/>
    </row>
    <row r="154" spans="1:6" x14ac:dyDescent="0.3">
      <c r="A154" s="323"/>
      <c r="C154" s="1142"/>
      <c r="D154" s="1142"/>
      <c r="E154" s="1142" t="s">
        <v>857</v>
      </c>
      <c r="F154" s="1142"/>
    </row>
    <row r="155" spans="1:6" x14ac:dyDescent="0.3">
      <c r="A155" s="323"/>
      <c r="C155" s="333"/>
      <c r="D155" s="334" t="str">
        <f ca="1">' '!$A$449</f>
        <v>Source</v>
      </c>
      <c r="E155" s="333" t="str">
        <f ca="1">' '!$A$450</f>
        <v>Moment de l'enquête &amp; Comparaison avec la branche</v>
      </c>
      <c r="F155" s="333"/>
    </row>
    <row r="156" spans="1:6" x14ac:dyDescent="0.3">
      <c r="A156" s="323"/>
      <c r="C156" s="1143"/>
      <c r="D156" s="1144"/>
      <c r="E156" s="1143"/>
      <c r="F156" s="1144"/>
    </row>
    <row r="157" spans="1:6" x14ac:dyDescent="0.3">
      <c r="A157" s="323"/>
      <c r="C157" s="1143"/>
      <c r="D157" s="1144"/>
      <c r="E157" s="1143"/>
      <c r="F157" s="1144"/>
    </row>
    <row r="158" spans="1:6" x14ac:dyDescent="0.3">
      <c r="A158" s="323"/>
      <c r="C158" s="1143"/>
      <c r="D158" s="1144"/>
      <c r="E158" s="1143"/>
      <c r="F158" s="1144"/>
    </row>
    <row r="159" spans="1:6" x14ac:dyDescent="0.3">
      <c r="A159" s="323"/>
      <c r="C159" s="333"/>
      <c r="D159" s="333"/>
      <c r="E159" s="333"/>
      <c r="F159" s="333"/>
    </row>
    <row r="160" spans="1:6" ht="15.6" x14ac:dyDescent="0.3">
      <c r="A160" s="323"/>
      <c r="D160" s="324"/>
    </row>
    <row r="161" spans="1:6" ht="24" customHeight="1" x14ac:dyDescent="0.3">
      <c r="A161" s="323"/>
      <c r="C161" s="330" t="s">
        <v>1005</v>
      </c>
      <c r="D161" s="331">
        <f>__s14</f>
        <v>0</v>
      </c>
      <c r="E161" s="332"/>
      <c r="F161" s="332"/>
    </row>
    <row r="162" spans="1:6" x14ac:dyDescent="0.3">
      <c r="A162" s="323"/>
    </row>
    <row r="163" spans="1:6" x14ac:dyDescent="0.3">
      <c r="A163" s="323"/>
      <c r="C163" s="333"/>
      <c r="D163" s="333" t="str">
        <f ca="1">' '!$A$448</f>
        <v>Description/Remarques</v>
      </c>
      <c r="E163" s="333"/>
      <c r="F163" s="333"/>
    </row>
    <row r="164" spans="1:6" x14ac:dyDescent="0.3">
      <c r="A164" s="323"/>
      <c r="C164" s="1142"/>
      <c r="D164" s="1142"/>
      <c r="E164" s="1142"/>
      <c r="F164" s="1142"/>
    </row>
    <row r="165" spans="1:6" x14ac:dyDescent="0.3">
      <c r="A165" s="323"/>
      <c r="C165" s="333"/>
      <c r="D165" s="333" t="str">
        <f ca="1">' '!$A$447</f>
        <v>Calcul</v>
      </c>
      <c r="E165" s="333"/>
      <c r="F165" s="333"/>
    </row>
    <row r="166" spans="1:6" x14ac:dyDescent="0.3">
      <c r="A166" s="323"/>
      <c r="C166" s="1142"/>
      <c r="D166" s="1142"/>
      <c r="E166" s="1142" t="s">
        <v>857</v>
      </c>
      <c r="F166" s="1142"/>
    </row>
    <row r="167" spans="1:6" x14ac:dyDescent="0.3">
      <c r="A167" s="323"/>
      <c r="C167" s="333"/>
      <c r="D167" s="334" t="str">
        <f ca="1">' '!$A$449</f>
        <v>Source</v>
      </c>
      <c r="E167" s="333" t="str">
        <f ca="1">' '!$A$450</f>
        <v>Moment de l'enquête &amp; Comparaison avec la branche</v>
      </c>
      <c r="F167" s="333"/>
    </row>
    <row r="168" spans="1:6" x14ac:dyDescent="0.3">
      <c r="A168" s="323"/>
      <c r="C168" s="1143"/>
      <c r="D168" s="1144"/>
      <c r="E168" s="1143"/>
      <c r="F168" s="1144"/>
    </row>
    <row r="169" spans="1:6" x14ac:dyDescent="0.3">
      <c r="A169" s="323"/>
      <c r="C169" s="1143"/>
      <c r="D169" s="1144"/>
      <c r="E169" s="1143"/>
      <c r="F169" s="1144"/>
    </row>
    <row r="170" spans="1:6" x14ac:dyDescent="0.3">
      <c r="A170" s="323"/>
      <c r="C170" s="1143"/>
      <c r="D170" s="1144"/>
      <c r="E170" s="1143"/>
      <c r="F170" s="1144"/>
    </row>
    <row r="171" spans="1:6" x14ac:dyDescent="0.3">
      <c r="A171" s="323"/>
      <c r="C171" s="333"/>
      <c r="D171" s="333"/>
      <c r="E171" s="333"/>
      <c r="F171" s="333"/>
    </row>
    <row r="172" spans="1:6" ht="15.6" x14ac:dyDescent="0.3">
      <c r="A172" s="323"/>
      <c r="D172" s="324"/>
    </row>
    <row r="173" spans="1:6" ht="24" customHeight="1" x14ac:dyDescent="0.3">
      <c r="A173" s="323"/>
      <c r="C173" s="330" t="s">
        <v>1006</v>
      </c>
      <c r="D173" s="331">
        <f>__s15</f>
        <v>0</v>
      </c>
      <c r="E173" s="332"/>
      <c r="F173" s="332"/>
    </row>
    <row r="174" spans="1:6" x14ac:dyDescent="0.3">
      <c r="A174" s="323"/>
    </row>
    <row r="175" spans="1:6" x14ac:dyDescent="0.3">
      <c r="A175" s="323"/>
      <c r="C175" s="333"/>
      <c r="D175" s="333" t="str">
        <f ca="1">' '!$A$448</f>
        <v>Description/Remarques</v>
      </c>
      <c r="E175" s="333"/>
      <c r="F175" s="333"/>
    </row>
    <row r="176" spans="1:6" x14ac:dyDescent="0.3">
      <c r="A176" s="323"/>
      <c r="C176" s="1142"/>
      <c r="D176" s="1142"/>
      <c r="E176" s="1142"/>
      <c r="F176" s="1142"/>
    </row>
    <row r="177" spans="1:6" x14ac:dyDescent="0.3">
      <c r="A177" s="323"/>
      <c r="C177" s="333"/>
      <c r="D177" s="333" t="str">
        <f ca="1">' '!$A$447</f>
        <v>Calcul</v>
      </c>
      <c r="E177" s="333"/>
      <c r="F177" s="333"/>
    </row>
    <row r="178" spans="1:6" x14ac:dyDescent="0.3">
      <c r="A178" s="323"/>
      <c r="C178" s="1142"/>
      <c r="D178" s="1142"/>
      <c r="E178" s="1142" t="s">
        <v>857</v>
      </c>
      <c r="F178" s="1142"/>
    </row>
    <row r="179" spans="1:6" x14ac:dyDescent="0.3">
      <c r="A179" s="323"/>
      <c r="C179" s="333"/>
      <c r="D179" s="334" t="str">
        <f ca="1">' '!$A$449</f>
        <v>Source</v>
      </c>
      <c r="E179" s="333" t="str">
        <f ca="1">' '!$A$450</f>
        <v>Moment de l'enquête &amp; Comparaison avec la branche</v>
      </c>
      <c r="F179" s="333"/>
    </row>
    <row r="180" spans="1:6" x14ac:dyDescent="0.3">
      <c r="A180" s="323"/>
      <c r="C180" s="1143"/>
      <c r="D180" s="1144"/>
      <c r="E180" s="1143"/>
      <c r="F180" s="1144"/>
    </row>
    <row r="181" spans="1:6" x14ac:dyDescent="0.3">
      <c r="A181" s="323"/>
      <c r="C181" s="1143"/>
      <c r="D181" s="1144"/>
      <c r="E181" s="1143"/>
      <c r="F181" s="1144"/>
    </row>
    <row r="182" spans="1:6" x14ac:dyDescent="0.3">
      <c r="A182" s="323"/>
      <c r="C182" s="1143"/>
      <c r="D182" s="1144"/>
      <c r="E182" s="1143"/>
      <c r="F182" s="1144"/>
    </row>
    <row r="183" spans="1:6" x14ac:dyDescent="0.3">
      <c r="A183" s="323"/>
      <c r="C183" s="333"/>
      <c r="D183" s="333"/>
      <c r="E183" s="333"/>
      <c r="F183" s="333"/>
    </row>
    <row r="184" spans="1:6" ht="15.6" x14ac:dyDescent="0.3">
      <c r="A184" s="323"/>
      <c r="D184" s="324"/>
    </row>
    <row r="185" spans="1:6" ht="24" customHeight="1" x14ac:dyDescent="0.3">
      <c r="A185" s="323"/>
      <c r="C185" s="330" t="s">
        <v>1900</v>
      </c>
      <c r="D185" s="331">
        <f>__s16</f>
        <v>0</v>
      </c>
      <c r="E185" s="332"/>
      <c r="F185" s="332"/>
    </row>
    <row r="186" spans="1:6" x14ac:dyDescent="0.3">
      <c r="A186" s="323"/>
    </row>
    <row r="187" spans="1:6" x14ac:dyDescent="0.3">
      <c r="A187" s="323"/>
      <c r="C187" s="333"/>
      <c r="D187" s="333" t="str">
        <f ca="1">' '!$A$448</f>
        <v>Description/Remarques</v>
      </c>
      <c r="E187" s="333"/>
      <c r="F187" s="333"/>
    </row>
    <row r="188" spans="1:6" x14ac:dyDescent="0.3">
      <c r="A188" s="323"/>
      <c r="C188" s="1142"/>
      <c r="D188" s="1142"/>
      <c r="E188" s="1142"/>
      <c r="F188" s="1142"/>
    </row>
    <row r="189" spans="1:6" x14ac:dyDescent="0.3">
      <c r="A189" s="323"/>
      <c r="C189" s="333"/>
      <c r="D189" s="333" t="str">
        <f ca="1">' '!$A$447</f>
        <v>Calcul</v>
      </c>
      <c r="E189" s="333"/>
      <c r="F189" s="333"/>
    </row>
    <row r="190" spans="1:6" x14ac:dyDescent="0.3">
      <c r="A190" s="323"/>
      <c r="C190" s="1142"/>
      <c r="D190" s="1142"/>
      <c r="E190" s="1142" t="s">
        <v>857</v>
      </c>
      <c r="F190" s="1142"/>
    </row>
    <row r="191" spans="1:6" x14ac:dyDescent="0.3">
      <c r="A191" s="323"/>
      <c r="C191" s="333"/>
      <c r="D191" s="334" t="str">
        <f ca="1">' '!$A$449</f>
        <v>Source</v>
      </c>
      <c r="E191" s="333" t="str">
        <f ca="1">' '!$A$450</f>
        <v>Moment de l'enquête &amp; Comparaison avec la branche</v>
      </c>
      <c r="F191" s="333"/>
    </row>
    <row r="192" spans="1:6" x14ac:dyDescent="0.3">
      <c r="A192" s="323"/>
      <c r="C192" s="1143"/>
      <c r="D192" s="1144"/>
      <c r="E192" s="1143"/>
      <c r="F192" s="1144"/>
    </row>
    <row r="193" spans="1:6" x14ac:dyDescent="0.3">
      <c r="A193" s="323"/>
      <c r="C193" s="1143"/>
      <c r="D193" s="1144"/>
      <c r="E193" s="1143"/>
      <c r="F193" s="1144"/>
    </row>
    <row r="194" spans="1:6" x14ac:dyDescent="0.3">
      <c r="A194" s="323"/>
      <c r="C194" s="1143"/>
      <c r="D194" s="1144"/>
      <c r="E194" s="1143"/>
      <c r="F194" s="1144"/>
    </row>
    <row r="195" spans="1:6" x14ac:dyDescent="0.3">
      <c r="A195" s="323"/>
      <c r="C195" s="333"/>
      <c r="D195" s="333"/>
      <c r="E195" s="333"/>
      <c r="F195" s="333"/>
    </row>
    <row r="196" spans="1:6" ht="15.6" x14ac:dyDescent="0.3">
      <c r="A196" s="323"/>
      <c r="D196" s="324"/>
    </row>
    <row r="197" spans="1:6" ht="24" customHeight="1" x14ac:dyDescent="0.3">
      <c r="A197" s="323"/>
      <c r="C197" s="330" t="s">
        <v>1901</v>
      </c>
      <c r="D197" s="331">
        <f>__s17</f>
        <v>0</v>
      </c>
      <c r="E197" s="332"/>
      <c r="F197" s="332"/>
    </row>
    <row r="198" spans="1:6" x14ac:dyDescent="0.3">
      <c r="A198" s="323"/>
    </row>
    <row r="199" spans="1:6" x14ac:dyDescent="0.3">
      <c r="A199" s="323"/>
      <c r="C199" s="333"/>
      <c r="D199" s="333" t="str">
        <f ca="1">' '!$A$448</f>
        <v>Description/Remarques</v>
      </c>
      <c r="E199" s="333"/>
      <c r="F199" s="333"/>
    </row>
    <row r="200" spans="1:6" x14ac:dyDescent="0.3">
      <c r="A200" s="323"/>
      <c r="C200" s="1142"/>
      <c r="D200" s="1142"/>
      <c r="E200" s="1142"/>
      <c r="F200" s="1142"/>
    </row>
    <row r="201" spans="1:6" x14ac:dyDescent="0.3">
      <c r="A201" s="323"/>
      <c r="C201" s="333"/>
      <c r="D201" s="333" t="str">
        <f ca="1">' '!$A$447</f>
        <v>Calcul</v>
      </c>
      <c r="E201" s="333"/>
      <c r="F201" s="333"/>
    </row>
    <row r="202" spans="1:6" x14ac:dyDescent="0.3">
      <c r="A202" s="323"/>
      <c r="C202" s="1142"/>
      <c r="D202" s="1142"/>
      <c r="E202" s="1142" t="s">
        <v>857</v>
      </c>
      <c r="F202" s="1142"/>
    </row>
    <row r="203" spans="1:6" x14ac:dyDescent="0.3">
      <c r="A203" s="323"/>
      <c r="C203" s="333"/>
      <c r="D203" s="334" t="str">
        <f ca="1">' '!$A$449</f>
        <v>Source</v>
      </c>
      <c r="E203" s="333" t="str">
        <f ca="1">' '!$A$450</f>
        <v>Moment de l'enquête &amp; Comparaison avec la branche</v>
      </c>
      <c r="F203" s="333"/>
    </row>
    <row r="204" spans="1:6" x14ac:dyDescent="0.3">
      <c r="A204" s="323"/>
      <c r="C204" s="1143"/>
      <c r="D204" s="1144"/>
      <c r="E204" s="1143"/>
      <c r="F204" s="1144"/>
    </row>
    <row r="205" spans="1:6" x14ac:dyDescent="0.3">
      <c r="A205" s="323"/>
      <c r="C205" s="1143"/>
      <c r="D205" s="1144"/>
      <c r="E205" s="1143"/>
      <c r="F205" s="1144"/>
    </row>
    <row r="206" spans="1:6" x14ac:dyDescent="0.3">
      <c r="A206" s="323"/>
      <c r="C206" s="1143"/>
      <c r="D206" s="1144"/>
      <c r="E206" s="1143"/>
      <c r="F206" s="1144"/>
    </row>
    <row r="207" spans="1:6" x14ac:dyDescent="0.3">
      <c r="A207" s="323"/>
      <c r="C207" s="333"/>
      <c r="D207" s="333"/>
      <c r="E207" s="333"/>
      <c r="F207" s="333"/>
    </row>
    <row r="208" spans="1:6" ht="15.6" x14ac:dyDescent="0.3">
      <c r="A208" s="323"/>
      <c r="D208" s="324"/>
    </row>
    <row r="209" spans="1:6" ht="24" customHeight="1" x14ac:dyDescent="0.3">
      <c r="A209" s="323"/>
      <c r="C209" s="330" t="s">
        <v>1902</v>
      </c>
      <c r="D209" s="331">
        <f>__s18</f>
        <v>0</v>
      </c>
      <c r="E209" s="332"/>
      <c r="F209" s="332"/>
    </row>
    <row r="210" spans="1:6" x14ac:dyDescent="0.3">
      <c r="A210" s="323"/>
    </row>
    <row r="211" spans="1:6" x14ac:dyDescent="0.3">
      <c r="A211" s="323"/>
      <c r="C211" s="333"/>
      <c r="D211" s="333" t="str">
        <f ca="1">' '!$A$448</f>
        <v>Description/Remarques</v>
      </c>
      <c r="E211" s="333"/>
      <c r="F211" s="333"/>
    </row>
    <row r="212" spans="1:6" x14ac:dyDescent="0.3">
      <c r="A212" s="323"/>
      <c r="C212" s="1142"/>
      <c r="D212" s="1142"/>
      <c r="E212" s="1142"/>
      <c r="F212" s="1142"/>
    </row>
    <row r="213" spans="1:6" x14ac:dyDescent="0.3">
      <c r="A213" s="323"/>
      <c r="C213" s="333"/>
      <c r="D213" s="333" t="str">
        <f ca="1">' '!$A$447</f>
        <v>Calcul</v>
      </c>
      <c r="E213" s="333"/>
      <c r="F213" s="333"/>
    </row>
    <row r="214" spans="1:6" x14ac:dyDescent="0.3">
      <c r="A214" s="323"/>
      <c r="C214" s="1142"/>
      <c r="D214" s="1142"/>
      <c r="E214" s="1142" t="s">
        <v>857</v>
      </c>
      <c r="F214" s="1142"/>
    </row>
    <row r="215" spans="1:6" x14ac:dyDescent="0.3">
      <c r="A215" s="323"/>
      <c r="C215" s="333"/>
      <c r="D215" s="334" t="str">
        <f ca="1">' '!$A$449</f>
        <v>Source</v>
      </c>
      <c r="E215" s="333" t="str">
        <f ca="1">' '!$A$450</f>
        <v>Moment de l'enquête &amp; Comparaison avec la branche</v>
      </c>
      <c r="F215" s="333"/>
    </row>
    <row r="216" spans="1:6" x14ac:dyDescent="0.3">
      <c r="A216" s="323"/>
      <c r="C216" s="1143"/>
      <c r="D216" s="1144"/>
      <c r="E216" s="1143"/>
      <c r="F216" s="1144"/>
    </row>
    <row r="217" spans="1:6" x14ac:dyDescent="0.3">
      <c r="A217" s="323"/>
      <c r="C217" s="1143"/>
      <c r="D217" s="1144"/>
      <c r="E217" s="1143"/>
      <c r="F217" s="1144"/>
    </row>
    <row r="218" spans="1:6" x14ac:dyDescent="0.3">
      <c r="A218" s="323"/>
      <c r="C218" s="1143"/>
      <c r="D218" s="1144"/>
      <c r="E218" s="1143"/>
      <c r="F218" s="1144"/>
    </row>
    <row r="219" spans="1:6" x14ac:dyDescent="0.3">
      <c r="A219" s="323"/>
      <c r="C219" s="333"/>
      <c r="D219" s="333"/>
      <c r="E219" s="333"/>
      <c r="F219" s="333"/>
    </row>
    <row r="220" spans="1:6" ht="15.6" x14ac:dyDescent="0.3">
      <c r="A220" s="323"/>
      <c r="D220" s="324"/>
    </row>
    <row r="221" spans="1:6" ht="24" customHeight="1" x14ac:dyDescent="0.3">
      <c r="A221" s="323"/>
      <c r="C221" s="330" t="s">
        <v>1903</v>
      </c>
      <c r="D221" s="331">
        <f>__s19</f>
        <v>0</v>
      </c>
      <c r="E221" s="332"/>
      <c r="F221" s="332"/>
    </row>
    <row r="222" spans="1:6" x14ac:dyDescent="0.3">
      <c r="A222" s="323"/>
    </row>
    <row r="223" spans="1:6" x14ac:dyDescent="0.3">
      <c r="A223" s="323"/>
      <c r="C223" s="333"/>
      <c r="D223" s="333" t="str">
        <f ca="1">' '!$A$448</f>
        <v>Description/Remarques</v>
      </c>
      <c r="E223" s="333"/>
      <c r="F223" s="333"/>
    </row>
    <row r="224" spans="1:6" x14ac:dyDescent="0.3">
      <c r="A224" s="323"/>
      <c r="C224" s="1142"/>
      <c r="D224" s="1142"/>
      <c r="E224" s="1142"/>
      <c r="F224" s="1142"/>
    </row>
    <row r="225" spans="1:6" x14ac:dyDescent="0.3">
      <c r="A225" s="323"/>
      <c r="C225" s="333"/>
      <c r="D225" s="333" t="str">
        <f ca="1">' '!$A$447</f>
        <v>Calcul</v>
      </c>
      <c r="E225" s="333"/>
      <c r="F225" s="333"/>
    </row>
    <row r="226" spans="1:6" x14ac:dyDescent="0.3">
      <c r="A226" s="323"/>
      <c r="C226" s="1142"/>
      <c r="D226" s="1142"/>
      <c r="E226" s="1142" t="s">
        <v>857</v>
      </c>
      <c r="F226" s="1142"/>
    </row>
    <row r="227" spans="1:6" x14ac:dyDescent="0.3">
      <c r="A227" s="323"/>
      <c r="C227" s="333"/>
      <c r="D227" s="334" t="str">
        <f ca="1">' '!$A$449</f>
        <v>Source</v>
      </c>
      <c r="E227" s="333" t="str">
        <f ca="1">' '!$A$450</f>
        <v>Moment de l'enquête &amp; Comparaison avec la branche</v>
      </c>
      <c r="F227" s="333"/>
    </row>
    <row r="228" spans="1:6" x14ac:dyDescent="0.3">
      <c r="A228" s="323"/>
      <c r="C228" s="1143"/>
      <c r="D228" s="1144"/>
      <c r="E228" s="1143"/>
      <c r="F228" s="1144"/>
    </row>
    <row r="229" spans="1:6" x14ac:dyDescent="0.3">
      <c r="A229" s="323"/>
      <c r="C229" s="1143"/>
      <c r="D229" s="1144"/>
      <c r="E229" s="1143"/>
      <c r="F229" s="1144"/>
    </row>
    <row r="230" spans="1:6" x14ac:dyDescent="0.3">
      <c r="A230" s="323"/>
      <c r="C230" s="1143"/>
      <c r="D230" s="1144"/>
      <c r="E230" s="1143"/>
      <c r="F230" s="1144"/>
    </row>
    <row r="231" spans="1:6" x14ac:dyDescent="0.3">
      <c r="A231" s="323"/>
      <c r="C231" s="333"/>
      <c r="D231" s="333"/>
      <c r="E231" s="333"/>
      <c r="F231" s="333"/>
    </row>
    <row r="232" spans="1:6" ht="15.6" x14ac:dyDescent="0.3">
      <c r="A232" s="323"/>
      <c r="D232" s="324"/>
    </row>
    <row r="233" spans="1:6" ht="24" customHeight="1" x14ac:dyDescent="0.3">
      <c r="A233" s="323"/>
      <c r="C233" s="330" t="s">
        <v>1904</v>
      </c>
      <c r="D233" s="331">
        <f>__s20</f>
        <v>0</v>
      </c>
      <c r="E233" s="332"/>
      <c r="F233" s="332"/>
    </row>
    <row r="234" spans="1:6" x14ac:dyDescent="0.3">
      <c r="A234" s="323"/>
    </row>
    <row r="235" spans="1:6" x14ac:dyDescent="0.3">
      <c r="A235" s="323"/>
      <c r="C235" s="333"/>
      <c r="D235" s="333" t="str">
        <f ca="1">' '!$A$448</f>
        <v>Description/Remarques</v>
      </c>
      <c r="E235" s="333"/>
      <c r="F235" s="333"/>
    </row>
    <row r="236" spans="1:6" x14ac:dyDescent="0.3">
      <c r="A236" s="323"/>
      <c r="C236" s="1142"/>
      <c r="D236" s="1142"/>
      <c r="E236" s="1142"/>
      <c r="F236" s="1142"/>
    </row>
    <row r="237" spans="1:6" x14ac:dyDescent="0.3">
      <c r="A237" s="323"/>
      <c r="C237" s="333"/>
      <c r="D237" s="333" t="str">
        <f ca="1">' '!$A$447</f>
        <v>Calcul</v>
      </c>
      <c r="E237" s="333"/>
      <c r="F237" s="333"/>
    </row>
    <row r="238" spans="1:6" x14ac:dyDescent="0.3">
      <c r="A238" s="323"/>
      <c r="C238" s="1142"/>
      <c r="D238" s="1142"/>
      <c r="E238" s="1142" t="s">
        <v>857</v>
      </c>
      <c r="F238" s="1142"/>
    </row>
    <row r="239" spans="1:6" x14ac:dyDescent="0.3">
      <c r="A239" s="323"/>
      <c r="C239" s="333"/>
      <c r="D239" s="334" t="str">
        <f ca="1">' '!$A$449</f>
        <v>Source</v>
      </c>
      <c r="E239" s="333" t="str">
        <f ca="1">' '!$A$450</f>
        <v>Moment de l'enquête &amp; Comparaison avec la branche</v>
      </c>
      <c r="F239" s="333"/>
    </row>
    <row r="240" spans="1:6" x14ac:dyDescent="0.3">
      <c r="A240" s="323"/>
      <c r="C240" s="1143"/>
      <c r="D240" s="1144"/>
      <c r="E240" s="1143"/>
      <c r="F240" s="1144"/>
    </row>
    <row r="241" spans="1:6" x14ac:dyDescent="0.3">
      <c r="A241" s="323"/>
      <c r="C241" s="1143"/>
      <c r="D241" s="1144"/>
      <c r="E241" s="1143"/>
      <c r="F241" s="1144"/>
    </row>
    <row r="242" spans="1:6" x14ac:dyDescent="0.3">
      <c r="A242" s="323"/>
      <c r="C242" s="1143"/>
      <c r="D242" s="1144"/>
      <c r="E242" s="1143"/>
      <c r="F242" s="1144"/>
    </row>
    <row r="243" spans="1:6" x14ac:dyDescent="0.3">
      <c r="A243" s="323"/>
      <c r="C243" s="333"/>
      <c r="D243" s="333"/>
      <c r="E243" s="333"/>
      <c r="F243" s="333"/>
    </row>
    <row r="244" spans="1:6" ht="15.6" x14ac:dyDescent="0.3">
      <c r="A244" s="323"/>
      <c r="D244" s="324"/>
    </row>
    <row r="245" spans="1:6" ht="24" customHeight="1" x14ac:dyDescent="0.3">
      <c r="A245" s="323"/>
      <c r="C245" s="330" t="s">
        <v>1905</v>
      </c>
      <c r="D245" s="331">
        <f>__s21</f>
        <v>0</v>
      </c>
      <c r="E245" s="332"/>
      <c r="F245" s="332"/>
    </row>
    <row r="246" spans="1:6" x14ac:dyDescent="0.3">
      <c r="A246" s="323"/>
    </row>
    <row r="247" spans="1:6" x14ac:dyDescent="0.3">
      <c r="A247" s="323"/>
      <c r="C247" s="333"/>
      <c r="D247" s="333" t="str">
        <f ca="1">' '!$A$448</f>
        <v>Description/Remarques</v>
      </c>
      <c r="E247" s="333"/>
      <c r="F247" s="333"/>
    </row>
    <row r="248" spans="1:6" x14ac:dyDescent="0.3">
      <c r="A248" s="323"/>
      <c r="C248" s="1142"/>
      <c r="D248" s="1142"/>
      <c r="E248" s="1142"/>
      <c r="F248" s="1142"/>
    </row>
    <row r="249" spans="1:6" x14ac:dyDescent="0.3">
      <c r="A249" s="323"/>
      <c r="C249" s="333"/>
      <c r="D249" s="333" t="str">
        <f ca="1">' '!$A$447</f>
        <v>Calcul</v>
      </c>
      <c r="E249" s="333"/>
      <c r="F249" s="333"/>
    </row>
    <row r="250" spans="1:6" x14ac:dyDescent="0.3">
      <c r="A250" s="323"/>
      <c r="C250" s="1142"/>
      <c r="D250" s="1142"/>
      <c r="E250" s="1142" t="s">
        <v>857</v>
      </c>
      <c r="F250" s="1142"/>
    </row>
    <row r="251" spans="1:6" x14ac:dyDescent="0.3">
      <c r="A251" s="323"/>
      <c r="C251" s="333"/>
      <c r="D251" s="334" t="str">
        <f ca="1">' '!$A$449</f>
        <v>Source</v>
      </c>
      <c r="E251" s="333" t="str">
        <f ca="1">' '!$A$450</f>
        <v>Moment de l'enquête &amp; Comparaison avec la branche</v>
      </c>
      <c r="F251" s="333"/>
    </row>
    <row r="252" spans="1:6" x14ac:dyDescent="0.3">
      <c r="A252" s="323"/>
      <c r="C252" s="1143"/>
      <c r="D252" s="1144"/>
      <c r="E252" s="1143"/>
      <c r="F252" s="1144"/>
    </row>
    <row r="253" spans="1:6" x14ac:dyDescent="0.3">
      <c r="A253" s="323"/>
      <c r="C253" s="1143"/>
      <c r="D253" s="1144"/>
      <c r="E253" s="1143"/>
      <c r="F253" s="1144"/>
    </row>
    <row r="254" spans="1:6" x14ac:dyDescent="0.3">
      <c r="A254" s="323"/>
      <c r="C254" s="1143"/>
      <c r="D254" s="1144"/>
      <c r="E254" s="1143"/>
      <c r="F254" s="1144"/>
    </row>
    <row r="255" spans="1:6" x14ac:dyDescent="0.3">
      <c r="A255" s="323"/>
      <c r="C255" s="333"/>
      <c r="D255" s="333"/>
      <c r="E255" s="333"/>
      <c r="F255" s="333"/>
    </row>
    <row r="256" spans="1:6" ht="15.6" x14ac:dyDescent="0.3">
      <c r="A256" s="323"/>
      <c r="D256" s="324"/>
    </row>
    <row r="257" spans="1:6" ht="24" customHeight="1" x14ac:dyDescent="0.3">
      <c r="A257" s="323"/>
      <c r="C257" s="330" t="s">
        <v>1906</v>
      </c>
      <c r="D257" s="331">
        <f>__s22</f>
        <v>0</v>
      </c>
      <c r="E257" s="332"/>
      <c r="F257" s="332"/>
    </row>
    <row r="258" spans="1:6" x14ac:dyDescent="0.3">
      <c r="A258" s="323"/>
    </row>
    <row r="259" spans="1:6" x14ac:dyDescent="0.3">
      <c r="A259" s="323"/>
      <c r="C259" s="333"/>
      <c r="D259" s="333" t="str">
        <f ca="1">' '!$A$448</f>
        <v>Description/Remarques</v>
      </c>
      <c r="E259" s="333"/>
      <c r="F259" s="333"/>
    </row>
    <row r="260" spans="1:6" x14ac:dyDescent="0.3">
      <c r="A260" s="323"/>
      <c r="C260" s="1142"/>
      <c r="D260" s="1142"/>
      <c r="E260" s="1142"/>
      <c r="F260" s="1142"/>
    </row>
    <row r="261" spans="1:6" x14ac:dyDescent="0.3">
      <c r="A261" s="323"/>
      <c r="C261" s="333"/>
      <c r="D261" s="333" t="str">
        <f ca="1">' '!$A$447</f>
        <v>Calcul</v>
      </c>
      <c r="E261" s="333"/>
      <c r="F261" s="333"/>
    </row>
    <row r="262" spans="1:6" x14ac:dyDescent="0.3">
      <c r="A262" s="323"/>
      <c r="C262" s="1142"/>
      <c r="D262" s="1142"/>
      <c r="E262" s="1142" t="s">
        <v>857</v>
      </c>
      <c r="F262" s="1142"/>
    </row>
    <row r="263" spans="1:6" x14ac:dyDescent="0.3">
      <c r="A263" s="323"/>
      <c r="C263" s="333"/>
      <c r="D263" s="334" t="str">
        <f ca="1">' '!$A$449</f>
        <v>Source</v>
      </c>
      <c r="E263" s="333" t="str">
        <f ca="1">' '!$A$450</f>
        <v>Moment de l'enquête &amp; Comparaison avec la branche</v>
      </c>
      <c r="F263" s="333"/>
    </row>
    <row r="264" spans="1:6" x14ac:dyDescent="0.3">
      <c r="A264" s="323"/>
      <c r="C264" s="1143"/>
      <c r="D264" s="1144"/>
      <c r="E264" s="1143"/>
      <c r="F264" s="1144"/>
    </row>
    <row r="265" spans="1:6" x14ac:dyDescent="0.3">
      <c r="A265" s="323"/>
      <c r="C265" s="1143"/>
      <c r="D265" s="1144"/>
      <c r="E265" s="1143"/>
      <c r="F265" s="1144"/>
    </row>
    <row r="266" spans="1:6" x14ac:dyDescent="0.3">
      <c r="A266" s="323"/>
      <c r="C266" s="1143"/>
      <c r="D266" s="1144"/>
      <c r="E266" s="1143"/>
      <c r="F266" s="1144"/>
    </row>
    <row r="267" spans="1:6" x14ac:dyDescent="0.3">
      <c r="A267" s="323"/>
      <c r="C267" s="333"/>
      <c r="D267" s="333"/>
      <c r="E267" s="333"/>
      <c r="F267" s="333"/>
    </row>
    <row r="268" spans="1:6" ht="15.6" x14ac:dyDescent="0.3">
      <c r="A268" s="323"/>
      <c r="D268" s="324"/>
    </row>
    <row r="269" spans="1:6" ht="24" customHeight="1" x14ac:dyDescent="0.3">
      <c r="A269" s="323"/>
      <c r="C269" s="330" t="s">
        <v>1907</v>
      </c>
      <c r="D269" s="331">
        <f>__s23</f>
        <v>0</v>
      </c>
      <c r="E269" s="332"/>
      <c r="F269" s="332"/>
    </row>
    <row r="270" spans="1:6" x14ac:dyDescent="0.3">
      <c r="A270" s="323"/>
    </row>
    <row r="271" spans="1:6" x14ac:dyDescent="0.3">
      <c r="A271" s="323"/>
      <c r="C271" s="333"/>
      <c r="D271" s="333" t="str">
        <f ca="1">' '!$A$448</f>
        <v>Description/Remarques</v>
      </c>
      <c r="E271" s="333"/>
      <c r="F271" s="333"/>
    </row>
    <row r="272" spans="1:6" x14ac:dyDescent="0.3">
      <c r="A272" s="323"/>
      <c r="C272" s="1142"/>
      <c r="D272" s="1142"/>
      <c r="E272" s="1142"/>
      <c r="F272" s="1142"/>
    </row>
    <row r="273" spans="1:6" x14ac:dyDescent="0.3">
      <c r="A273" s="323"/>
      <c r="C273" s="333"/>
      <c r="D273" s="333" t="str">
        <f ca="1">' '!$A$447</f>
        <v>Calcul</v>
      </c>
      <c r="E273" s="333"/>
      <c r="F273" s="333"/>
    </row>
    <row r="274" spans="1:6" x14ac:dyDescent="0.3">
      <c r="A274" s="323"/>
      <c r="C274" s="1142"/>
      <c r="D274" s="1142"/>
      <c r="E274" s="1142" t="s">
        <v>857</v>
      </c>
      <c r="F274" s="1142"/>
    </row>
    <row r="275" spans="1:6" x14ac:dyDescent="0.3">
      <c r="A275" s="323"/>
      <c r="C275" s="333"/>
      <c r="D275" s="334" t="str">
        <f ca="1">' '!$A$449</f>
        <v>Source</v>
      </c>
      <c r="E275" s="333" t="str">
        <f ca="1">' '!$A$450</f>
        <v>Moment de l'enquête &amp; Comparaison avec la branche</v>
      </c>
      <c r="F275" s="333"/>
    </row>
    <row r="276" spans="1:6" x14ac:dyDescent="0.3">
      <c r="A276" s="323"/>
      <c r="C276" s="1143"/>
      <c r="D276" s="1144"/>
      <c r="E276" s="1143"/>
      <c r="F276" s="1144"/>
    </row>
    <row r="277" spans="1:6" x14ac:dyDescent="0.3">
      <c r="A277" s="323"/>
      <c r="C277" s="1143"/>
      <c r="D277" s="1144"/>
      <c r="E277" s="1143"/>
      <c r="F277" s="1144"/>
    </row>
    <row r="278" spans="1:6" x14ac:dyDescent="0.3">
      <c r="A278" s="323"/>
      <c r="C278" s="1143"/>
      <c r="D278" s="1144"/>
      <c r="E278" s="1143"/>
      <c r="F278" s="1144"/>
    </row>
    <row r="279" spans="1:6" x14ac:dyDescent="0.3">
      <c r="A279" s="323"/>
      <c r="C279" s="333"/>
      <c r="D279" s="333"/>
      <c r="E279" s="333"/>
      <c r="F279" s="333"/>
    </row>
    <row r="280" spans="1:6" ht="15.6" x14ac:dyDescent="0.3">
      <c r="A280" s="323"/>
      <c r="D280" s="324"/>
    </row>
    <row r="281" spans="1:6" ht="24" customHeight="1" x14ac:dyDescent="0.3">
      <c r="A281" s="323"/>
      <c r="C281" s="330" t="s">
        <v>1908</v>
      </c>
      <c r="D281" s="331">
        <f>__s24</f>
        <v>0</v>
      </c>
      <c r="E281" s="332"/>
      <c r="F281" s="332"/>
    </row>
    <row r="282" spans="1:6" x14ac:dyDescent="0.3">
      <c r="A282" s="323"/>
    </row>
    <row r="283" spans="1:6" x14ac:dyDescent="0.3">
      <c r="A283" s="323"/>
      <c r="C283" s="333"/>
      <c r="D283" s="333" t="str">
        <f ca="1">' '!$A$448</f>
        <v>Description/Remarques</v>
      </c>
      <c r="E283" s="333"/>
      <c r="F283" s="333"/>
    </row>
    <row r="284" spans="1:6" x14ac:dyDescent="0.3">
      <c r="A284" s="323"/>
      <c r="C284" s="1142"/>
      <c r="D284" s="1142"/>
      <c r="E284" s="1142"/>
      <c r="F284" s="1142"/>
    </row>
    <row r="285" spans="1:6" x14ac:dyDescent="0.3">
      <c r="A285" s="323"/>
      <c r="C285" s="333"/>
      <c r="D285" s="333" t="str">
        <f ca="1">' '!$A$447</f>
        <v>Calcul</v>
      </c>
      <c r="E285" s="333"/>
      <c r="F285" s="333"/>
    </row>
    <row r="286" spans="1:6" x14ac:dyDescent="0.3">
      <c r="A286" s="323"/>
      <c r="C286" s="1142"/>
      <c r="D286" s="1142"/>
      <c r="E286" s="1142" t="s">
        <v>857</v>
      </c>
      <c r="F286" s="1142"/>
    </row>
    <row r="287" spans="1:6" x14ac:dyDescent="0.3">
      <c r="A287" s="323"/>
      <c r="C287" s="333"/>
      <c r="D287" s="334" t="str">
        <f ca="1">' '!$A$449</f>
        <v>Source</v>
      </c>
      <c r="E287" s="333" t="str">
        <f ca="1">' '!$A$450</f>
        <v>Moment de l'enquête &amp; Comparaison avec la branche</v>
      </c>
      <c r="F287" s="333"/>
    </row>
    <row r="288" spans="1:6" x14ac:dyDescent="0.3">
      <c r="A288" s="323"/>
      <c r="C288" s="1143"/>
      <c r="D288" s="1144"/>
      <c r="E288" s="1143"/>
      <c r="F288" s="1144"/>
    </row>
    <row r="289" spans="1:6" x14ac:dyDescent="0.3">
      <c r="A289" s="323"/>
      <c r="C289" s="1143"/>
      <c r="D289" s="1144"/>
      <c r="E289" s="1143"/>
      <c r="F289" s="1144"/>
    </row>
    <row r="290" spans="1:6" x14ac:dyDescent="0.3">
      <c r="A290" s="323"/>
      <c r="C290" s="1143"/>
      <c r="D290" s="1144"/>
      <c r="E290" s="1143"/>
      <c r="F290" s="1144"/>
    </row>
    <row r="291" spans="1:6" x14ac:dyDescent="0.3">
      <c r="A291" s="323"/>
      <c r="C291" s="333"/>
      <c r="D291" s="333"/>
      <c r="E291" s="333"/>
      <c r="F291" s="333"/>
    </row>
    <row r="292" spans="1:6" ht="15.6" x14ac:dyDescent="0.3">
      <c r="A292" s="323"/>
      <c r="D292" s="324"/>
    </row>
    <row r="293" spans="1:6" ht="24" customHeight="1" x14ac:dyDescent="0.3">
      <c r="A293" s="323"/>
      <c r="C293" s="330" t="s">
        <v>1909</v>
      </c>
      <c r="D293" s="331">
        <f>__s25</f>
        <v>0</v>
      </c>
      <c r="E293" s="332"/>
      <c r="F293" s="332"/>
    </row>
    <row r="294" spans="1:6" x14ac:dyDescent="0.3">
      <c r="A294" s="323"/>
    </row>
    <row r="295" spans="1:6" x14ac:dyDescent="0.3">
      <c r="A295" s="323"/>
      <c r="C295" s="333"/>
      <c r="D295" s="333" t="str">
        <f ca="1">' '!$A$448</f>
        <v>Description/Remarques</v>
      </c>
      <c r="E295" s="333"/>
      <c r="F295" s="333"/>
    </row>
    <row r="296" spans="1:6" x14ac:dyDescent="0.3">
      <c r="A296" s="323"/>
      <c r="C296" s="1142"/>
      <c r="D296" s="1142"/>
      <c r="E296" s="1142"/>
      <c r="F296" s="1142"/>
    </row>
    <row r="297" spans="1:6" x14ac:dyDescent="0.3">
      <c r="A297" s="323"/>
      <c r="C297" s="333"/>
      <c r="D297" s="333" t="str">
        <f ca="1">' '!$A$447</f>
        <v>Calcul</v>
      </c>
      <c r="E297" s="333"/>
      <c r="F297" s="333"/>
    </row>
    <row r="298" spans="1:6" x14ac:dyDescent="0.3">
      <c r="A298" s="323"/>
      <c r="C298" s="1142"/>
      <c r="D298" s="1142"/>
      <c r="E298" s="1142" t="s">
        <v>857</v>
      </c>
      <c r="F298" s="1142"/>
    </row>
    <row r="299" spans="1:6" x14ac:dyDescent="0.3">
      <c r="A299" s="323"/>
      <c r="C299" s="333"/>
      <c r="D299" s="334" t="str">
        <f ca="1">' '!$A$449</f>
        <v>Source</v>
      </c>
      <c r="E299" s="333" t="str">
        <f ca="1">' '!$A$450</f>
        <v>Moment de l'enquête &amp; Comparaison avec la branche</v>
      </c>
      <c r="F299" s="333"/>
    </row>
    <row r="300" spans="1:6" x14ac:dyDescent="0.3">
      <c r="A300" s="323"/>
      <c r="C300" s="1143"/>
      <c r="D300" s="1144"/>
      <c r="E300" s="1143"/>
      <c r="F300" s="1144"/>
    </row>
    <row r="301" spans="1:6" x14ac:dyDescent="0.3">
      <c r="A301" s="323"/>
      <c r="C301" s="1143"/>
      <c r="D301" s="1144"/>
      <c r="E301" s="1143"/>
      <c r="F301" s="1144"/>
    </row>
    <row r="302" spans="1:6" x14ac:dyDescent="0.3">
      <c r="A302" s="323"/>
      <c r="C302" s="1143"/>
      <c r="D302" s="1144"/>
      <c r="E302" s="1143"/>
      <c r="F302" s="1144"/>
    </row>
    <row r="303" spans="1:6" x14ac:dyDescent="0.3">
      <c r="A303" s="323"/>
      <c r="C303" s="333"/>
      <c r="D303" s="333"/>
      <c r="E303" s="333"/>
      <c r="F303" s="333"/>
    </row>
    <row r="304" spans="1:6" ht="15.6" x14ac:dyDescent="0.3">
      <c r="A304" s="323"/>
      <c r="D304" s="324"/>
    </row>
    <row r="305" spans="1:6" ht="24" customHeight="1" x14ac:dyDescent="0.3">
      <c r="A305" s="323"/>
      <c r="C305" s="330" t="s">
        <v>1910</v>
      </c>
      <c r="D305" s="331">
        <f>__s26</f>
        <v>0</v>
      </c>
      <c r="E305" s="332"/>
      <c r="F305" s="332"/>
    </row>
    <row r="306" spans="1:6" x14ac:dyDescent="0.3">
      <c r="A306" s="323"/>
    </row>
    <row r="307" spans="1:6" x14ac:dyDescent="0.3">
      <c r="A307" s="323"/>
      <c r="C307" s="333"/>
      <c r="D307" s="333" t="str">
        <f ca="1">' '!$A$448</f>
        <v>Description/Remarques</v>
      </c>
      <c r="E307" s="333"/>
      <c r="F307" s="333"/>
    </row>
    <row r="308" spans="1:6" x14ac:dyDescent="0.3">
      <c r="A308" s="323"/>
      <c r="C308" s="1142"/>
      <c r="D308" s="1142"/>
      <c r="E308" s="1142"/>
      <c r="F308" s="1142"/>
    </row>
    <row r="309" spans="1:6" x14ac:dyDescent="0.3">
      <c r="A309" s="323"/>
      <c r="C309" s="333"/>
      <c r="D309" s="333" t="str">
        <f ca="1">' '!$A$447</f>
        <v>Calcul</v>
      </c>
      <c r="E309" s="333"/>
      <c r="F309" s="333"/>
    </row>
    <row r="310" spans="1:6" x14ac:dyDescent="0.3">
      <c r="A310" s="323"/>
      <c r="C310" s="1142"/>
      <c r="D310" s="1142"/>
      <c r="E310" s="1142" t="s">
        <v>857</v>
      </c>
      <c r="F310" s="1142"/>
    </row>
    <row r="311" spans="1:6" x14ac:dyDescent="0.3">
      <c r="A311" s="323"/>
      <c r="C311" s="333"/>
      <c r="D311" s="334" t="str">
        <f ca="1">' '!$A$449</f>
        <v>Source</v>
      </c>
      <c r="E311" s="333" t="str">
        <f ca="1">' '!$A$450</f>
        <v>Moment de l'enquête &amp; Comparaison avec la branche</v>
      </c>
      <c r="F311" s="333"/>
    </row>
    <row r="312" spans="1:6" x14ac:dyDescent="0.3">
      <c r="A312" s="323"/>
      <c r="C312" s="1143"/>
      <c r="D312" s="1144"/>
      <c r="E312" s="1143"/>
      <c r="F312" s="1144"/>
    </row>
    <row r="313" spans="1:6" x14ac:dyDescent="0.3">
      <c r="A313" s="323"/>
      <c r="C313" s="1143"/>
      <c r="D313" s="1144"/>
      <c r="E313" s="1143"/>
      <c r="F313" s="1144"/>
    </row>
    <row r="314" spans="1:6" x14ac:dyDescent="0.3">
      <c r="A314" s="323"/>
      <c r="C314" s="1143"/>
      <c r="D314" s="1144"/>
      <c r="E314" s="1143"/>
      <c r="F314" s="1144"/>
    </row>
    <row r="315" spans="1:6" x14ac:dyDescent="0.3">
      <c r="A315" s="323"/>
      <c r="C315" s="333"/>
      <c r="D315" s="333"/>
      <c r="E315" s="333"/>
      <c r="F315" s="333"/>
    </row>
    <row r="316" spans="1:6" ht="15.6" x14ac:dyDescent="0.3">
      <c r="A316" s="323"/>
      <c r="D316" s="324"/>
    </row>
    <row r="317" spans="1:6" ht="24" customHeight="1" x14ac:dyDescent="0.3">
      <c r="A317" s="323"/>
      <c r="C317" s="330" t="s">
        <v>1911</v>
      </c>
      <c r="D317" s="331">
        <f>__s27</f>
        <v>0</v>
      </c>
      <c r="E317" s="332"/>
      <c r="F317" s="332"/>
    </row>
    <row r="318" spans="1:6" x14ac:dyDescent="0.3">
      <c r="A318" s="323"/>
    </row>
    <row r="319" spans="1:6" x14ac:dyDescent="0.3">
      <c r="A319" s="323"/>
      <c r="C319" s="333"/>
      <c r="D319" s="333" t="str">
        <f ca="1">' '!$A$448</f>
        <v>Description/Remarques</v>
      </c>
      <c r="E319" s="333"/>
      <c r="F319" s="333"/>
    </row>
    <row r="320" spans="1:6" x14ac:dyDescent="0.3">
      <c r="A320" s="323"/>
      <c r="C320" s="1142"/>
      <c r="D320" s="1142"/>
      <c r="E320" s="1142"/>
      <c r="F320" s="1142"/>
    </row>
    <row r="321" spans="1:6" x14ac:dyDescent="0.3">
      <c r="A321" s="323"/>
      <c r="C321" s="333"/>
      <c r="D321" s="333" t="str">
        <f ca="1">' '!$A$447</f>
        <v>Calcul</v>
      </c>
      <c r="E321" s="333"/>
      <c r="F321" s="333"/>
    </row>
    <row r="322" spans="1:6" x14ac:dyDescent="0.3">
      <c r="A322" s="323"/>
      <c r="C322" s="1142"/>
      <c r="D322" s="1142"/>
      <c r="E322" s="1142" t="s">
        <v>857</v>
      </c>
      <c r="F322" s="1142"/>
    </row>
    <row r="323" spans="1:6" x14ac:dyDescent="0.3">
      <c r="A323" s="323"/>
      <c r="C323" s="333"/>
      <c r="D323" s="334" t="str">
        <f ca="1">' '!$A$449</f>
        <v>Source</v>
      </c>
      <c r="E323" s="333" t="str">
        <f ca="1">' '!$A$450</f>
        <v>Moment de l'enquête &amp; Comparaison avec la branche</v>
      </c>
      <c r="F323" s="333"/>
    </row>
    <row r="324" spans="1:6" x14ac:dyDescent="0.3">
      <c r="A324" s="323"/>
      <c r="C324" s="1143"/>
      <c r="D324" s="1144"/>
      <c r="E324" s="1143"/>
      <c r="F324" s="1144"/>
    </row>
    <row r="325" spans="1:6" x14ac:dyDescent="0.3">
      <c r="A325" s="323"/>
      <c r="C325" s="1143"/>
      <c r="D325" s="1144"/>
      <c r="E325" s="1143"/>
      <c r="F325" s="1144"/>
    </row>
    <row r="326" spans="1:6" x14ac:dyDescent="0.3">
      <c r="A326" s="323"/>
      <c r="C326" s="1143"/>
      <c r="D326" s="1144"/>
      <c r="E326" s="1143"/>
      <c r="F326" s="1144"/>
    </row>
    <row r="327" spans="1:6" x14ac:dyDescent="0.3">
      <c r="A327" s="323"/>
      <c r="C327" s="333"/>
      <c r="D327" s="333"/>
      <c r="E327" s="333"/>
      <c r="F327" s="333"/>
    </row>
    <row r="328" spans="1:6" ht="15.6" x14ac:dyDescent="0.3">
      <c r="A328" s="323"/>
      <c r="D328" s="324"/>
    </row>
    <row r="329" spans="1:6" ht="24" customHeight="1" x14ac:dyDescent="0.3">
      <c r="A329" s="323"/>
      <c r="C329" s="330" t="s">
        <v>1912</v>
      </c>
      <c r="D329" s="331">
        <f>__s28</f>
        <v>0</v>
      </c>
      <c r="E329" s="332"/>
      <c r="F329" s="332"/>
    </row>
    <row r="330" spans="1:6" x14ac:dyDescent="0.3">
      <c r="A330" s="323"/>
    </row>
    <row r="331" spans="1:6" x14ac:dyDescent="0.3">
      <c r="A331" s="323"/>
      <c r="C331" s="333"/>
      <c r="D331" s="333" t="str">
        <f ca="1">' '!$A$448</f>
        <v>Description/Remarques</v>
      </c>
      <c r="E331" s="333"/>
      <c r="F331" s="333"/>
    </row>
    <row r="332" spans="1:6" x14ac:dyDescent="0.3">
      <c r="A332" s="323"/>
      <c r="C332" s="1142"/>
      <c r="D332" s="1142"/>
      <c r="E332" s="1142"/>
      <c r="F332" s="1142"/>
    </row>
    <row r="333" spans="1:6" x14ac:dyDescent="0.3">
      <c r="A333" s="323"/>
      <c r="C333" s="333"/>
      <c r="D333" s="333" t="str">
        <f ca="1">' '!$A$447</f>
        <v>Calcul</v>
      </c>
      <c r="E333" s="333"/>
      <c r="F333" s="333"/>
    </row>
    <row r="334" spans="1:6" x14ac:dyDescent="0.3">
      <c r="A334" s="323"/>
      <c r="C334" s="1142"/>
      <c r="D334" s="1142"/>
      <c r="E334" s="1142" t="s">
        <v>857</v>
      </c>
      <c r="F334" s="1142"/>
    </row>
    <row r="335" spans="1:6" x14ac:dyDescent="0.3">
      <c r="A335" s="323"/>
      <c r="C335" s="333"/>
      <c r="D335" s="334" t="str">
        <f ca="1">' '!$A$449</f>
        <v>Source</v>
      </c>
      <c r="E335" s="333" t="str">
        <f ca="1">' '!$A$450</f>
        <v>Moment de l'enquête &amp; Comparaison avec la branche</v>
      </c>
      <c r="F335" s="333"/>
    </row>
    <row r="336" spans="1:6" x14ac:dyDescent="0.3">
      <c r="A336" s="323"/>
      <c r="C336" s="1143"/>
      <c r="D336" s="1144"/>
      <c r="E336" s="1143"/>
      <c r="F336" s="1144"/>
    </row>
    <row r="337" spans="1:6" x14ac:dyDescent="0.3">
      <c r="A337" s="323"/>
      <c r="C337" s="1143"/>
      <c r="D337" s="1144"/>
      <c r="E337" s="1143"/>
      <c r="F337" s="1144"/>
    </row>
    <row r="338" spans="1:6" x14ac:dyDescent="0.3">
      <c r="A338" s="323"/>
      <c r="C338" s="1143"/>
      <c r="D338" s="1144"/>
      <c r="E338" s="1143"/>
      <c r="F338" s="1144"/>
    </row>
    <row r="339" spans="1:6" x14ac:dyDescent="0.3">
      <c r="A339" s="323"/>
      <c r="C339" s="333"/>
      <c r="D339" s="333"/>
      <c r="E339" s="333"/>
      <c r="F339" s="333"/>
    </row>
    <row r="340" spans="1:6" ht="15.6" x14ac:dyDescent="0.3">
      <c r="A340" s="323"/>
      <c r="D340" s="324"/>
    </row>
    <row r="341" spans="1:6" ht="24" customHeight="1" x14ac:dyDescent="0.3">
      <c r="A341" s="323"/>
      <c r="C341" s="330" t="s">
        <v>1913</v>
      </c>
      <c r="D341" s="331">
        <f>__s29</f>
        <v>0</v>
      </c>
      <c r="E341" s="332"/>
      <c r="F341" s="332"/>
    </row>
    <row r="342" spans="1:6" x14ac:dyDescent="0.3">
      <c r="A342" s="323"/>
    </row>
    <row r="343" spans="1:6" x14ac:dyDescent="0.3">
      <c r="A343" s="323"/>
      <c r="C343" s="333"/>
      <c r="D343" s="333" t="str">
        <f ca="1">' '!$A$448</f>
        <v>Description/Remarques</v>
      </c>
      <c r="E343" s="333"/>
      <c r="F343" s="333"/>
    </row>
    <row r="344" spans="1:6" x14ac:dyDescent="0.3">
      <c r="A344" s="323"/>
      <c r="C344" s="1142"/>
      <c r="D344" s="1142"/>
      <c r="E344" s="1142"/>
      <c r="F344" s="1142"/>
    </row>
    <row r="345" spans="1:6" x14ac:dyDescent="0.3">
      <c r="A345" s="323"/>
      <c r="C345" s="333"/>
      <c r="D345" s="333" t="str">
        <f ca="1">' '!$A$447</f>
        <v>Calcul</v>
      </c>
      <c r="E345" s="333"/>
      <c r="F345" s="333"/>
    </row>
    <row r="346" spans="1:6" x14ac:dyDescent="0.3">
      <c r="A346" s="323"/>
      <c r="C346" s="1142"/>
      <c r="D346" s="1142"/>
      <c r="E346" s="1142" t="s">
        <v>857</v>
      </c>
      <c r="F346" s="1142"/>
    </row>
    <row r="347" spans="1:6" x14ac:dyDescent="0.3">
      <c r="A347" s="323"/>
      <c r="C347" s="333"/>
      <c r="D347" s="334" t="str">
        <f ca="1">' '!$A$449</f>
        <v>Source</v>
      </c>
      <c r="E347" s="333" t="str">
        <f ca="1">' '!$A$450</f>
        <v>Moment de l'enquête &amp; Comparaison avec la branche</v>
      </c>
      <c r="F347" s="333"/>
    </row>
    <row r="348" spans="1:6" x14ac:dyDescent="0.3">
      <c r="A348" s="323"/>
      <c r="C348" s="1143"/>
      <c r="D348" s="1144"/>
      <c r="E348" s="1143"/>
      <c r="F348" s="1144"/>
    </row>
    <row r="349" spans="1:6" x14ac:dyDescent="0.3">
      <c r="A349" s="323"/>
      <c r="C349" s="1143"/>
      <c r="D349" s="1144"/>
      <c r="E349" s="1143"/>
      <c r="F349" s="1144"/>
    </row>
    <row r="350" spans="1:6" x14ac:dyDescent="0.3">
      <c r="A350" s="323"/>
      <c r="C350" s="1143"/>
      <c r="D350" s="1144"/>
      <c r="E350" s="1143"/>
      <c r="F350" s="1144"/>
    </row>
    <row r="351" spans="1:6" x14ac:dyDescent="0.3">
      <c r="A351" s="323"/>
      <c r="C351" s="333"/>
      <c r="D351" s="333"/>
      <c r="E351" s="333"/>
      <c r="F351" s="333"/>
    </row>
    <row r="352" spans="1:6" ht="15.6" x14ac:dyDescent="0.3">
      <c r="A352" s="323"/>
      <c r="D352" s="324"/>
    </row>
    <row r="353" spans="1:6" ht="24" customHeight="1" x14ac:dyDescent="0.3">
      <c r="A353" s="323"/>
      <c r="C353" s="330" t="s">
        <v>1914</v>
      </c>
      <c r="D353" s="331">
        <f>__s30</f>
        <v>0</v>
      </c>
      <c r="E353" s="332"/>
      <c r="F353" s="332"/>
    </row>
    <row r="354" spans="1:6" x14ac:dyDescent="0.3">
      <c r="A354" s="323"/>
    </row>
    <row r="355" spans="1:6" x14ac:dyDescent="0.3">
      <c r="A355" s="323"/>
      <c r="C355" s="333"/>
      <c r="D355" s="333" t="str">
        <f ca="1">' '!$A$448</f>
        <v>Description/Remarques</v>
      </c>
      <c r="E355" s="333"/>
      <c r="F355" s="333"/>
    </row>
    <row r="356" spans="1:6" x14ac:dyDescent="0.3">
      <c r="A356" s="323"/>
      <c r="C356" s="1142"/>
      <c r="D356" s="1142"/>
      <c r="E356" s="1142"/>
      <c r="F356" s="1142"/>
    </row>
    <row r="357" spans="1:6" x14ac:dyDescent="0.3">
      <c r="A357" s="323"/>
      <c r="C357" s="333"/>
      <c r="D357" s="333" t="str">
        <f ca="1">' '!$A$447</f>
        <v>Calcul</v>
      </c>
      <c r="E357" s="333"/>
      <c r="F357" s="333"/>
    </row>
    <row r="358" spans="1:6" x14ac:dyDescent="0.3">
      <c r="A358" s="323"/>
      <c r="C358" s="1142"/>
      <c r="D358" s="1142"/>
      <c r="E358" s="1142" t="s">
        <v>857</v>
      </c>
      <c r="F358" s="1142"/>
    </row>
    <row r="359" spans="1:6" x14ac:dyDescent="0.3">
      <c r="A359" s="323"/>
      <c r="C359" s="333"/>
      <c r="D359" s="334" t="str">
        <f ca="1">' '!$A$449</f>
        <v>Source</v>
      </c>
      <c r="E359" s="333" t="str">
        <f ca="1">' '!$A$450</f>
        <v>Moment de l'enquête &amp; Comparaison avec la branche</v>
      </c>
      <c r="F359" s="333"/>
    </row>
    <row r="360" spans="1:6" x14ac:dyDescent="0.3">
      <c r="A360" s="323"/>
      <c r="C360" s="1143"/>
      <c r="D360" s="1144"/>
      <c r="E360" s="1143"/>
      <c r="F360" s="1144"/>
    </row>
    <row r="361" spans="1:6" x14ac:dyDescent="0.3">
      <c r="A361" s="323"/>
      <c r="C361" s="1143"/>
      <c r="D361" s="1144"/>
      <c r="E361" s="1143"/>
      <c r="F361" s="1144"/>
    </row>
    <row r="362" spans="1:6" x14ac:dyDescent="0.3">
      <c r="A362" s="323"/>
      <c r="C362" s="1143"/>
      <c r="D362" s="1144"/>
      <c r="E362" s="1143"/>
      <c r="F362" s="1144"/>
    </row>
    <row r="363" spans="1:6" x14ac:dyDescent="0.3">
      <c r="A363" s="323"/>
      <c r="C363" s="333"/>
      <c r="D363" s="333"/>
      <c r="E363" s="333"/>
      <c r="F363" s="333"/>
    </row>
    <row r="364" spans="1:6" ht="15.6" x14ac:dyDescent="0.3">
      <c r="A364" s="323"/>
      <c r="D364" s="324"/>
    </row>
    <row r="365" spans="1:6" ht="24" customHeight="1" x14ac:dyDescent="0.3">
      <c r="A365" s="323"/>
      <c r="C365" s="330" t="s">
        <v>1915</v>
      </c>
      <c r="D365" s="331">
        <f>__s31</f>
        <v>0</v>
      </c>
      <c r="E365" s="332"/>
      <c r="F365" s="332"/>
    </row>
    <row r="366" spans="1:6" x14ac:dyDescent="0.3">
      <c r="A366" s="323"/>
    </row>
    <row r="367" spans="1:6" x14ac:dyDescent="0.3">
      <c r="A367" s="323"/>
      <c r="C367" s="333"/>
      <c r="D367" s="333" t="str">
        <f ca="1">' '!$A$448</f>
        <v>Description/Remarques</v>
      </c>
      <c r="E367" s="333"/>
      <c r="F367" s="333"/>
    </row>
    <row r="368" spans="1:6" x14ac:dyDescent="0.3">
      <c r="A368" s="323"/>
      <c r="C368" s="1142"/>
      <c r="D368" s="1142"/>
      <c r="E368" s="1142"/>
      <c r="F368" s="1142"/>
    </row>
    <row r="369" spans="1:6" x14ac:dyDescent="0.3">
      <c r="A369" s="323"/>
      <c r="C369" s="333"/>
      <c r="D369" s="333" t="str">
        <f ca="1">' '!$A$447</f>
        <v>Calcul</v>
      </c>
      <c r="E369" s="333"/>
      <c r="F369" s="333"/>
    </row>
    <row r="370" spans="1:6" x14ac:dyDescent="0.3">
      <c r="A370" s="323"/>
      <c r="C370" s="1142"/>
      <c r="D370" s="1142"/>
      <c r="E370" s="1142" t="s">
        <v>857</v>
      </c>
      <c r="F370" s="1142"/>
    </row>
    <row r="371" spans="1:6" x14ac:dyDescent="0.3">
      <c r="A371" s="323"/>
      <c r="C371" s="333"/>
      <c r="D371" s="334" t="str">
        <f ca="1">' '!$A$449</f>
        <v>Source</v>
      </c>
      <c r="E371" s="333" t="str">
        <f ca="1">' '!$A$450</f>
        <v>Moment de l'enquête &amp; Comparaison avec la branche</v>
      </c>
      <c r="F371" s="333"/>
    </row>
    <row r="372" spans="1:6" x14ac:dyDescent="0.3">
      <c r="A372" s="323"/>
      <c r="C372" s="1143"/>
      <c r="D372" s="1144"/>
      <c r="E372" s="1143"/>
      <c r="F372" s="1144"/>
    </row>
    <row r="373" spans="1:6" x14ac:dyDescent="0.3">
      <c r="A373" s="323"/>
      <c r="C373" s="1143"/>
      <c r="D373" s="1144"/>
      <c r="E373" s="1143"/>
      <c r="F373" s="1144"/>
    </row>
    <row r="374" spans="1:6" x14ac:dyDescent="0.3">
      <c r="A374" s="323"/>
      <c r="C374" s="1143"/>
      <c r="D374" s="1144"/>
      <c r="E374" s="1143"/>
      <c r="F374" s="1144"/>
    </row>
    <row r="375" spans="1:6" x14ac:dyDescent="0.3">
      <c r="A375" s="323"/>
      <c r="C375" s="333"/>
      <c r="D375" s="333"/>
      <c r="E375" s="333"/>
      <c r="F375" s="333"/>
    </row>
    <row r="376" spans="1:6" ht="15.6" x14ac:dyDescent="0.3">
      <c r="A376" s="323"/>
      <c r="D376" s="324"/>
    </row>
    <row r="377" spans="1:6" ht="24" customHeight="1" x14ac:dyDescent="0.3">
      <c r="A377" s="323"/>
      <c r="C377" s="330" t="s">
        <v>1916</v>
      </c>
      <c r="D377" s="331">
        <f>__s32</f>
        <v>0</v>
      </c>
      <c r="E377" s="332"/>
      <c r="F377" s="332"/>
    </row>
    <row r="378" spans="1:6" x14ac:dyDescent="0.3">
      <c r="A378" s="323"/>
    </row>
    <row r="379" spans="1:6" x14ac:dyDescent="0.3">
      <c r="A379" s="323"/>
      <c r="C379" s="333"/>
      <c r="D379" s="333" t="str">
        <f ca="1">' '!$A$448</f>
        <v>Description/Remarques</v>
      </c>
      <c r="E379" s="333"/>
      <c r="F379" s="333"/>
    </row>
    <row r="380" spans="1:6" x14ac:dyDescent="0.3">
      <c r="A380" s="323"/>
      <c r="C380" s="1142"/>
      <c r="D380" s="1142"/>
      <c r="E380" s="1142"/>
      <c r="F380" s="1142"/>
    </row>
    <row r="381" spans="1:6" x14ac:dyDescent="0.3">
      <c r="A381" s="323"/>
      <c r="C381" s="333"/>
      <c r="D381" s="333" t="str">
        <f ca="1">' '!$A$447</f>
        <v>Calcul</v>
      </c>
      <c r="E381" s="333"/>
      <c r="F381" s="333"/>
    </row>
    <row r="382" spans="1:6" x14ac:dyDescent="0.3">
      <c r="A382" s="323"/>
      <c r="C382" s="1142"/>
      <c r="D382" s="1142"/>
      <c r="E382" s="1142" t="s">
        <v>857</v>
      </c>
      <c r="F382" s="1142"/>
    </row>
    <row r="383" spans="1:6" x14ac:dyDescent="0.3">
      <c r="A383" s="323"/>
      <c r="C383" s="333"/>
      <c r="D383" s="334" t="str">
        <f ca="1">' '!$A$449</f>
        <v>Source</v>
      </c>
      <c r="E383" s="333" t="str">
        <f ca="1">' '!$A$450</f>
        <v>Moment de l'enquête &amp; Comparaison avec la branche</v>
      </c>
      <c r="F383" s="333"/>
    </row>
    <row r="384" spans="1:6" x14ac:dyDescent="0.3">
      <c r="A384" s="323"/>
      <c r="C384" s="1143"/>
      <c r="D384" s="1144"/>
      <c r="E384" s="1143"/>
      <c r="F384" s="1144"/>
    </row>
    <row r="385" spans="1:6" x14ac:dyDescent="0.3">
      <c r="A385" s="323"/>
      <c r="C385" s="1143"/>
      <c r="D385" s="1144"/>
      <c r="E385" s="1143"/>
      <c r="F385" s="1144"/>
    </row>
    <row r="386" spans="1:6" x14ac:dyDescent="0.3">
      <c r="A386" s="323"/>
      <c r="C386" s="1143"/>
      <c r="D386" s="1144"/>
      <c r="E386" s="1143"/>
      <c r="F386" s="1144"/>
    </row>
    <row r="387" spans="1:6" x14ac:dyDescent="0.3">
      <c r="A387" s="323"/>
      <c r="C387" s="333"/>
      <c r="D387" s="333"/>
      <c r="E387" s="333"/>
      <c r="F387" s="333"/>
    </row>
    <row r="388" spans="1:6" ht="15.6" x14ac:dyDescent="0.3">
      <c r="A388" s="323"/>
      <c r="D388" s="324"/>
    </row>
    <row r="389" spans="1:6" ht="24" customHeight="1" x14ac:dyDescent="0.3">
      <c r="A389" s="323"/>
      <c r="C389" s="330" t="s">
        <v>1917</v>
      </c>
      <c r="D389" s="331">
        <f>__s33</f>
        <v>0</v>
      </c>
      <c r="E389" s="332"/>
      <c r="F389" s="332"/>
    </row>
    <row r="390" spans="1:6" x14ac:dyDescent="0.3">
      <c r="A390" s="323"/>
    </row>
    <row r="391" spans="1:6" x14ac:dyDescent="0.3">
      <c r="A391" s="323"/>
      <c r="C391" s="333"/>
      <c r="D391" s="333" t="str">
        <f ca="1">' '!$A$448</f>
        <v>Description/Remarques</v>
      </c>
      <c r="E391" s="333"/>
      <c r="F391" s="333"/>
    </row>
    <row r="392" spans="1:6" x14ac:dyDescent="0.3">
      <c r="A392" s="323"/>
      <c r="C392" s="1142"/>
      <c r="D392" s="1142"/>
      <c r="E392" s="1142"/>
      <c r="F392" s="1142"/>
    </row>
    <row r="393" spans="1:6" x14ac:dyDescent="0.3">
      <c r="A393" s="323"/>
      <c r="C393" s="333"/>
      <c r="D393" s="333" t="str">
        <f ca="1">' '!$A$447</f>
        <v>Calcul</v>
      </c>
      <c r="E393" s="333"/>
      <c r="F393" s="333"/>
    </row>
    <row r="394" spans="1:6" x14ac:dyDescent="0.3">
      <c r="A394" s="323"/>
      <c r="C394" s="1142"/>
      <c r="D394" s="1142"/>
      <c r="E394" s="1142" t="s">
        <v>857</v>
      </c>
      <c r="F394" s="1142"/>
    </row>
    <row r="395" spans="1:6" x14ac:dyDescent="0.3">
      <c r="A395" s="323"/>
      <c r="C395" s="333"/>
      <c r="D395" s="334" t="str">
        <f ca="1">' '!$A$449</f>
        <v>Source</v>
      </c>
      <c r="E395" s="333" t="str">
        <f ca="1">' '!$A$450</f>
        <v>Moment de l'enquête &amp; Comparaison avec la branche</v>
      </c>
      <c r="F395" s="333"/>
    </row>
    <row r="396" spans="1:6" x14ac:dyDescent="0.3">
      <c r="A396" s="323"/>
      <c r="C396" s="1143"/>
      <c r="D396" s="1144"/>
      <c r="E396" s="1143"/>
      <c r="F396" s="1144"/>
    </row>
    <row r="397" spans="1:6" x14ac:dyDescent="0.3">
      <c r="A397" s="323"/>
      <c r="C397" s="1143"/>
      <c r="D397" s="1144"/>
      <c r="E397" s="1143"/>
      <c r="F397" s="1144"/>
    </row>
    <row r="398" spans="1:6" x14ac:dyDescent="0.3">
      <c r="A398" s="323"/>
      <c r="C398" s="1143"/>
      <c r="D398" s="1144"/>
      <c r="E398" s="1143"/>
      <c r="F398" s="1144"/>
    </row>
    <row r="399" spans="1:6" x14ac:dyDescent="0.3">
      <c r="A399" s="323"/>
      <c r="C399" s="333"/>
      <c r="D399" s="333"/>
      <c r="E399" s="333"/>
      <c r="F399" s="333"/>
    </row>
    <row r="400" spans="1:6" ht="15.6" x14ac:dyDescent="0.3">
      <c r="A400" s="323"/>
      <c r="D400" s="324"/>
    </row>
    <row r="401" spans="1:6" ht="24" customHeight="1" x14ac:dyDescent="0.3">
      <c r="A401" s="323"/>
      <c r="C401" s="330" t="s">
        <v>1918</v>
      </c>
      <c r="D401" s="331">
        <f>__s34</f>
        <v>0</v>
      </c>
      <c r="E401" s="332"/>
      <c r="F401" s="332"/>
    </row>
    <row r="402" spans="1:6" x14ac:dyDescent="0.3">
      <c r="A402" s="323"/>
    </row>
    <row r="403" spans="1:6" x14ac:dyDescent="0.3">
      <c r="A403" s="323"/>
      <c r="C403" s="333"/>
      <c r="D403" s="333" t="str">
        <f ca="1">' '!$A$448</f>
        <v>Description/Remarques</v>
      </c>
      <c r="E403" s="333"/>
      <c r="F403" s="333"/>
    </row>
    <row r="404" spans="1:6" x14ac:dyDescent="0.3">
      <c r="A404" s="323"/>
      <c r="C404" s="1142"/>
      <c r="D404" s="1142"/>
      <c r="E404" s="1142"/>
      <c r="F404" s="1142"/>
    </row>
    <row r="405" spans="1:6" x14ac:dyDescent="0.3">
      <c r="A405" s="323"/>
      <c r="C405" s="333"/>
      <c r="D405" s="333" t="str">
        <f ca="1">' '!$A$447</f>
        <v>Calcul</v>
      </c>
      <c r="E405" s="333"/>
      <c r="F405" s="333"/>
    </row>
    <row r="406" spans="1:6" x14ac:dyDescent="0.3">
      <c r="A406" s="323"/>
      <c r="C406" s="1142"/>
      <c r="D406" s="1142"/>
      <c r="E406" s="1142" t="s">
        <v>857</v>
      </c>
      <c r="F406" s="1142"/>
    </row>
    <row r="407" spans="1:6" x14ac:dyDescent="0.3">
      <c r="A407" s="323"/>
      <c r="C407" s="333"/>
      <c r="D407" s="334" t="str">
        <f ca="1">' '!$A$449</f>
        <v>Source</v>
      </c>
      <c r="E407" s="333" t="str">
        <f ca="1">' '!$A$450</f>
        <v>Moment de l'enquête &amp; Comparaison avec la branche</v>
      </c>
      <c r="F407" s="333"/>
    </row>
    <row r="408" spans="1:6" x14ac:dyDescent="0.3">
      <c r="A408" s="323"/>
      <c r="C408" s="1143"/>
      <c r="D408" s="1144"/>
      <c r="E408" s="1143"/>
      <c r="F408" s="1144"/>
    </row>
    <row r="409" spans="1:6" x14ac:dyDescent="0.3">
      <c r="A409" s="323"/>
      <c r="C409" s="1143"/>
      <c r="D409" s="1144"/>
      <c r="E409" s="1143"/>
      <c r="F409" s="1144"/>
    </row>
    <row r="410" spans="1:6" x14ac:dyDescent="0.3">
      <c r="A410" s="323"/>
      <c r="C410" s="1143"/>
      <c r="D410" s="1144"/>
      <c r="E410" s="1143"/>
      <c r="F410" s="1144"/>
    </row>
    <row r="411" spans="1:6" x14ac:dyDescent="0.3">
      <c r="A411" s="323"/>
      <c r="C411" s="333"/>
      <c r="D411" s="333"/>
      <c r="E411" s="333"/>
      <c r="F411" s="333"/>
    </row>
    <row r="412" spans="1:6" ht="15.6" x14ac:dyDescent="0.3">
      <c r="A412" s="323"/>
      <c r="D412" s="324"/>
    </row>
    <row r="413" spans="1:6" ht="24" customHeight="1" x14ac:dyDescent="0.3">
      <c r="A413" s="323"/>
      <c r="C413" s="330" t="s">
        <v>1919</v>
      </c>
      <c r="D413" s="331">
        <f>__s35</f>
        <v>0</v>
      </c>
      <c r="E413" s="332"/>
      <c r="F413" s="332"/>
    </row>
    <row r="414" spans="1:6" x14ac:dyDescent="0.3">
      <c r="A414" s="323"/>
    </row>
    <row r="415" spans="1:6" x14ac:dyDescent="0.3">
      <c r="A415" s="323"/>
      <c r="C415" s="333"/>
      <c r="D415" s="333" t="str">
        <f ca="1">' '!$A$448</f>
        <v>Description/Remarques</v>
      </c>
      <c r="E415" s="333"/>
      <c r="F415" s="333"/>
    </row>
    <row r="416" spans="1:6" x14ac:dyDescent="0.3">
      <c r="A416" s="323"/>
      <c r="C416" s="1142"/>
      <c r="D416" s="1142"/>
      <c r="E416" s="1142"/>
      <c r="F416" s="1142"/>
    </row>
    <row r="417" spans="1:6" x14ac:dyDescent="0.3">
      <c r="A417" s="323"/>
      <c r="C417" s="333"/>
      <c r="D417" s="333" t="str">
        <f ca="1">' '!$A$447</f>
        <v>Calcul</v>
      </c>
      <c r="E417" s="333"/>
      <c r="F417" s="333"/>
    </row>
    <row r="418" spans="1:6" x14ac:dyDescent="0.3">
      <c r="A418" s="323"/>
      <c r="C418" s="1142"/>
      <c r="D418" s="1142"/>
      <c r="E418" s="1142" t="s">
        <v>857</v>
      </c>
      <c r="F418" s="1142"/>
    </row>
    <row r="419" spans="1:6" x14ac:dyDescent="0.3">
      <c r="A419" s="323"/>
      <c r="C419" s="333"/>
      <c r="D419" s="334" t="str">
        <f ca="1">' '!$A$449</f>
        <v>Source</v>
      </c>
      <c r="E419" s="333" t="str">
        <f ca="1">' '!$A$450</f>
        <v>Moment de l'enquête &amp; Comparaison avec la branche</v>
      </c>
      <c r="F419" s="333"/>
    </row>
    <row r="420" spans="1:6" x14ac:dyDescent="0.3">
      <c r="A420" s="323"/>
      <c r="C420" s="1143"/>
      <c r="D420" s="1144"/>
      <c r="E420" s="1143"/>
      <c r="F420" s="1144"/>
    </row>
    <row r="421" spans="1:6" x14ac:dyDescent="0.3">
      <c r="A421" s="323"/>
      <c r="C421" s="1143"/>
      <c r="D421" s="1144"/>
      <c r="E421" s="1143"/>
      <c r="F421" s="1144"/>
    </row>
    <row r="422" spans="1:6" x14ac:dyDescent="0.3">
      <c r="A422" s="323"/>
      <c r="C422" s="1143"/>
      <c r="D422" s="1144"/>
      <c r="E422" s="1143"/>
      <c r="F422" s="1144"/>
    </row>
    <row r="423" spans="1:6" x14ac:dyDescent="0.3">
      <c r="A423" s="323"/>
      <c r="C423" s="333"/>
      <c r="D423" s="333"/>
      <c r="E423" s="333"/>
      <c r="F423" s="333"/>
    </row>
    <row r="424" spans="1:6" ht="15.6" x14ac:dyDescent="0.3">
      <c r="A424" s="323"/>
      <c r="D424" s="324"/>
    </row>
    <row r="425" spans="1:6" ht="24" customHeight="1" x14ac:dyDescent="0.3">
      <c r="A425" s="323"/>
      <c r="C425" s="330" t="s">
        <v>1920</v>
      </c>
      <c r="D425" s="331">
        <f>__s36</f>
        <v>0</v>
      </c>
      <c r="E425" s="332"/>
      <c r="F425" s="332"/>
    </row>
    <row r="426" spans="1:6" x14ac:dyDescent="0.3">
      <c r="A426" s="323"/>
    </row>
    <row r="427" spans="1:6" x14ac:dyDescent="0.3">
      <c r="A427" s="323"/>
      <c r="C427" s="333"/>
      <c r="D427" s="333" t="str">
        <f ca="1">' '!$A$448</f>
        <v>Description/Remarques</v>
      </c>
      <c r="E427" s="333"/>
      <c r="F427" s="333"/>
    </row>
    <row r="428" spans="1:6" x14ac:dyDescent="0.3">
      <c r="A428" s="323"/>
      <c r="C428" s="1142"/>
      <c r="D428" s="1142"/>
      <c r="E428" s="1142"/>
      <c r="F428" s="1142"/>
    </row>
    <row r="429" spans="1:6" x14ac:dyDescent="0.3">
      <c r="A429" s="323"/>
      <c r="C429" s="333"/>
      <c r="D429" s="333" t="str">
        <f ca="1">' '!$A$447</f>
        <v>Calcul</v>
      </c>
      <c r="E429" s="333"/>
      <c r="F429" s="333"/>
    </row>
    <row r="430" spans="1:6" x14ac:dyDescent="0.3">
      <c r="A430" s="323"/>
      <c r="C430" s="1142"/>
      <c r="D430" s="1142"/>
      <c r="E430" s="1142" t="s">
        <v>857</v>
      </c>
      <c r="F430" s="1142"/>
    </row>
    <row r="431" spans="1:6" x14ac:dyDescent="0.3">
      <c r="A431" s="323"/>
      <c r="C431" s="333"/>
      <c r="D431" s="334" t="str">
        <f ca="1">' '!$A$449</f>
        <v>Source</v>
      </c>
      <c r="E431" s="333" t="str">
        <f ca="1">' '!$A$450</f>
        <v>Moment de l'enquête &amp; Comparaison avec la branche</v>
      </c>
      <c r="F431" s="333"/>
    </row>
    <row r="432" spans="1:6" x14ac:dyDescent="0.3">
      <c r="A432" s="323"/>
      <c r="C432" s="1143"/>
      <c r="D432" s="1144"/>
      <c r="E432" s="1143"/>
      <c r="F432" s="1144"/>
    </row>
    <row r="433" spans="1:6" x14ac:dyDescent="0.3">
      <c r="A433" s="323"/>
      <c r="C433" s="1143"/>
      <c r="D433" s="1144"/>
      <c r="E433" s="1143"/>
      <c r="F433" s="1144"/>
    </row>
    <row r="434" spans="1:6" x14ac:dyDescent="0.3">
      <c r="A434" s="323"/>
      <c r="C434" s="1143"/>
      <c r="D434" s="1144"/>
      <c r="E434" s="1143"/>
      <c r="F434" s="1144"/>
    </row>
    <row r="435" spans="1:6" x14ac:dyDescent="0.3">
      <c r="A435" s="323"/>
      <c r="C435" s="333"/>
      <c r="D435" s="333"/>
      <c r="E435" s="333"/>
      <c r="F435" s="333"/>
    </row>
    <row r="436" spans="1:6" ht="15.6" x14ac:dyDescent="0.3">
      <c r="A436" s="323"/>
      <c r="D436" s="324"/>
    </row>
    <row r="437" spans="1:6" ht="24" customHeight="1" x14ac:dyDescent="0.3">
      <c r="A437" s="323"/>
      <c r="C437" s="330" t="s">
        <v>1921</v>
      </c>
      <c r="D437" s="331">
        <f>__s37</f>
        <v>0</v>
      </c>
      <c r="E437" s="332"/>
      <c r="F437" s="332"/>
    </row>
    <row r="438" spans="1:6" x14ac:dyDescent="0.3">
      <c r="A438" s="323"/>
    </row>
    <row r="439" spans="1:6" x14ac:dyDescent="0.3">
      <c r="A439" s="323"/>
      <c r="C439" s="333"/>
      <c r="D439" s="333" t="str">
        <f ca="1">' '!$A$448</f>
        <v>Description/Remarques</v>
      </c>
      <c r="E439" s="333"/>
      <c r="F439" s="333"/>
    </row>
    <row r="440" spans="1:6" x14ac:dyDescent="0.3">
      <c r="A440" s="323"/>
      <c r="C440" s="1142"/>
      <c r="D440" s="1142"/>
      <c r="E440" s="1142"/>
      <c r="F440" s="1142"/>
    </row>
    <row r="441" spans="1:6" x14ac:dyDescent="0.3">
      <c r="A441" s="323"/>
      <c r="C441" s="333"/>
      <c r="D441" s="333" t="str">
        <f ca="1">' '!$A$447</f>
        <v>Calcul</v>
      </c>
      <c r="E441" s="333"/>
      <c r="F441" s="333"/>
    </row>
    <row r="442" spans="1:6" x14ac:dyDescent="0.3">
      <c r="A442" s="323"/>
      <c r="C442" s="1142"/>
      <c r="D442" s="1142"/>
      <c r="E442" s="1142" t="s">
        <v>857</v>
      </c>
      <c r="F442" s="1142"/>
    </row>
    <row r="443" spans="1:6" x14ac:dyDescent="0.3">
      <c r="A443" s="323"/>
      <c r="C443" s="333"/>
      <c r="D443" s="334" t="str">
        <f ca="1">' '!$A$449</f>
        <v>Source</v>
      </c>
      <c r="E443" s="333" t="str">
        <f ca="1">' '!$A$450</f>
        <v>Moment de l'enquête &amp; Comparaison avec la branche</v>
      </c>
      <c r="F443" s="333"/>
    </row>
    <row r="444" spans="1:6" x14ac:dyDescent="0.3">
      <c r="A444" s="323"/>
      <c r="C444" s="1143"/>
      <c r="D444" s="1144"/>
      <c r="E444" s="1143"/>
      <c r="F444" s="1144"/>
    </row>
    <row r="445" spans="1:6" x14ac:dyDescent="0.3">
      <c r="A445" s="323"/>
      <c r="C445" s="1143"/>
      <c r="D445" s="1144"/>
      <c r="E445" s="1143"/>
      <c r="F445" s="1144"/>
    </row>
    <row r="446" spans="1:6" x14ac:dyDescent="0.3">
      <c r="A446" s="323"/>
      <c r="C446" s="1143"/>
      <c r="D446" s="1144"/>
      <c r="E446" s="1143"/>
      <c r="F446" s="1144"/>
    </row>
    <row r="447" spans="1:6" x14ac:dyDescent="0.3">
      <c r="A447" s="323"/>
      <c r="C447" s="333"/>
      <c r="D447" s="333"/>
      <c r="E447" s="333"/>
      <c r="F447" s="333"/>
    </row>
    <row r="448" spans="1:6" ht="15.6" x14ac:dyDescent="0.3">
      <c r="A448" s="323"/>
      <c r="D448" s="324"/>
    </row>
    <row r="449" spans="1:6" ht="24" customHeight="1" x14ac:dyDescent="0.3">
      <c r="A449" s="323"/>
      <c r="C449" s="330" t="s">
        <v>1922</v>
      </c>
      <c r="D449" s="331">
        <f>__s38</f>
        <v>0</v>
      </c>
      <c r="E449" s="332"/>
      <c r="F449" s="332"/>
    </row>
    <row r="450" spans="1:6" x14ac:dyDescent="0.3">
      <c r="A450" s="323"/>
    </row>
    <row r="451" spans="1:6" x14ac:dyDescent="0.3">
      <c r="A451" s="323"/>
      <c r="C451" s="333"/>
      <c r="D451" s="333" t="str">
        <f ca="1">' '!$A$448</f>
        <v>Description/Remarques</v>
      </c>
      <c r="E451" s="333"/>
      <c r="F451" s="333"/>
    </row>
    <row r="452" spans="1:6" x14ac:dyDescent="0.3">
      <c r="A452" s="323"/>
      <c r="C452" s="1142"/>
      <c r="D452" s="1142"/>
      <c r="E452" s="1142"/>
      <c r="F452" s="1142"/>
    </row>
    <row r="453" spans="1:6" x14ac:dyDescent="0.3">
      <c r="A453" s="323"/>
      <c r="C453" s="333"/>
      <c r="D453" s="333" t="str">
        <f ca="1">' '!$A$447</f>
        <v>Calcul</v>
      </c>
      <c r="E453" s="333"/>
      <c r="F453" s="333"/>
    </row>
    <row r="454" spans="1:6" x14ac:dyDescent="0.3">
      <c r="A454" s="323"/>
      <c r="C454" s="1142"/>
      <c r="D454" s="1142"/>
      <c r="E454" s="1142" t="s">
        <v>857</v>
      </c>
      <c r="F454" s="1142"/>
    </row>
    <row r="455" spans="1:6" x14ac:dyDescent="0.3">
      <c r="A455" s="323"/>
      <c r="C455" s="333"/>
      <c r="D455" s="334" t="str">
        <f ca="1">' '!$A$449</f>
        <v>Source</v>
      </c>
      <c r="E455" s="333" t="str">
        <f ca="1">' '!$A$450</f>
        <v>Moment de l'enquête &amp; Comparaison avec la branche</v>
      </c>
      <c r="F455" s="333"/>
    </row>
    <row r="456" spans="1:6" x14ac:dyDescent="0.3">
      <c r="A456" s="323"/>
      <c r="C456" s="1143"/>
      <c r="D456" s="1144"/>
      <c r="E456" s="1143"/>
      <c r="F456" s="1144"/>
    </row>
    <row r="457" spans="1:6" x14ac:dyDescent="0.3">
      <c r="A457" s="323"/>
      <c r="C457" s="1143"/>
      <c r="D457" s="1144"/>
      <c r="E457" s="1143"/>
      <c r="F457" s="1144"/>
    </row>
    <row r="458" spans="1:6" x14ac:dyDescent="0.3">
      <c r="A458" s="323"/>
      <c r="C458" s="1143"/>
      <c r="D458" s="1144"/>
      <c r="E458" s="1143"/>
      <c r="F458" s="1144"/>
    </row>
    <row r="459" spans="1:6" x14ac:dyDescent="0.3">
      <c r="A459" s="323"/>
      <c r="C459" s="333"/>
      <c r="D459" s="333"/>
      <c r="E459" s="333"/>
      <c r="F459" s="333"/>
    </row>
    <row r="460" spans="1:6" ht="15.6" x14ac:dyDescent="0.3">
      <c r="A460" s="323"/>
      <c r="D460" s="324"/>
    </row>
    <row r="461" spans="1:6" ht="24" customHeight="1" x14ac:dyDescent="0.3">
      <c r="A461" s="323"/>
      <c r="C461" s="330" t="s">
        <v>1923</v>
      </c>
      <c r="D461" s="331">
        <f>__s39</f>
        <v>0</v>
      </c>
      <c r="E461" s="332"/>
      <c r="F461" s="332"/>
    </row>
    <row r="462" spans="1:6" x14ac:dyDescent="0.3">
      <c r="A462" s="323"/>
    </row>
    <row r="463" spans="1:6" x14ac:dyDescent="0.3">
      <c r="A463" s="323"/>
      <c r="C463" s="333"/>
      <c r="D463" s="333" t="str">
        <f ca="1">' '!$A$448</f>
        <v>Description/Remarques</v>
      </c>
      <c r="E463" s="333"/>
      <c r="F463" s="333"/>
    </row>
    <row r="464" spans="1:6" x14ac:dyDescent="0.3">
      <c r="A464" s="323"/>
      <c r="C464" s="1142"/>
      <c r="D464" s="1142"/>
      <c r="E464" s="1142"/>
      <c r="F464" s="1142"/>
    </row>
    <row r="465" spans="1:6" x14ac:dyDescent="0.3">
      <c r="A465" s="323"/>
      <c r="C465" s="333"/>
      <c r="D465" s="333" t="str">
        <f ca="1">' '!$A$447</f>
        <v>Calcul</v>
      </c>
      <c r="E465" s="333"/>
      <c r="F465" s="333"/>
    </row>
    <row r="466" spans="1:6" x14ac:dyDescent="0.3">
      <c r="A466" s="323"/>
      <c r="C466" s="1142"/>
      <c r="D466" s="1142"/>
      <c r="E466" s="1142" t="s">
        <v>857</v>
      </c>
      <c r="F466" s="1142"/>
    </row>
    <row r="467" spans="1:6" x14ac:dyDescent="0.3">
      <c r="A467" s="323"/>
      <c r="C467" s="333"/>
      <c r="D467" s="334" t="str">
        <f ca="1">' '!$A$449</f>
        <v>Source</v>
      </c>
      <c r="E467" s="333" t="str">
        <f ca="1">' '!$A$450</f>
        <v>Moment de l'enquête &amp; Comparaison avec la branche</v>
      </c>
      <c r="F467" s="333"/>
    </row>
    <row r="468" spans="1:6" x14ac:dyDescent="0.3">
      <c r="A468" s="323"/>
      <c r="C468" s="1143"/>
      <c r="D468" s="1144"/>
      <c r="E468" s="1143"/>
      <c r="F468" s="1144"/>
    </row>
    <row r="469" spans="1:6" x14ac:dyDescent="0.3">
      <c r="A469" s="323"/>
      <c r="C469" s="1143"/>
      <c r="D469" s="1144"/>
      <c r="E469" s="1143"/>
      <c r="F469" s="1144"/>
    </row>
    <row r="470" spans="1:6" x14ac:dyDescent="0.3">
      <c r="A470" s="323"/>
      <c r="C470" s="1143"/>
      <c r="D470" s="1144"/>
      <c r="E470" s="1143"/>
      <c r="F470" s="1144"/>
    </row>
    <row r="471" spans="1:6" x14ac:dyDescent="0.3">
      <c r="A471" s="323"/>
      <c r="C471" s="333"/>
      <c r="D471" s="333"/>
      <c r="E471" s="333"/>
      <c r="F471" s="333"/>
    </row>
    <row r="472" spans="1:6" ht="15.6" x14ac:dyDescent="0.3">
      <c r="A472" s="323"/>
      <c r="D472" s="324"/>
    </row>
    <row r="473" spans="1:6" ht="24" customHeight="1" x14ac:dyDescent="0.3">
      <c r="A473" s="323"/>
      <c r="C473" s="330" t="s">
        <v>1924</v>
      </c>
      <c r="D473" s="331">
        <f>__s40</f>
        <v>0</v>
      </c>
      <c r="E473" s="332"/>
      <c r="F473" s="332"/>
    </row>
    <row r="474" spans="1:6" x14ac:dyDescent="0.3">
      <c r="A474" s="323"/>
    </row>
    <row r="475" spans="1:6" x14ac:dyDescent="0.3">
      <c r="A475" s="323"/>
      <c r="C475" s="333"/>
      <c r="D475" s="333" t="str">
        <f ca="1">' '!$A$448</f>
        <v>Description/Remarques</v>
      </c>
      <c r="E475" s="333"/>
      <c r="F475" s="333"/>
    </row>
    <row r="476" spans="1:6" x14ac:dyDescent="0.3">
      <c r="A476" s="323"/>
      <c r="C476" s="1142"/>
      <c r="D476" s="1142"/>
      <c r="E476" s="1142"/>
      <c r="F476" s="1142"/>
    </row>
    <row r="477" spans="1:6" x14ac:dyDescent="0.3">
      <c r="A477" s="323"/>
      <c r="C477" s="333"/>
      <c r="D477" s="333" t="str">
        <f ca="1">' '!$A$447</f>
        <v>Calcul</v>
      </c>
      <c r="E477" s="333"/>
      <c r="F477" s="333"/>
    </row>
    <row r="478" spans="1:6" x14ac:dyDescent="0.3">
      <c r="A478" s="323"/>
      <c r="C478" s="1142"/>
      <c r="D478" s="1142"/>
      <c r="E478" s="1142" t="s">
        <v>857</v>
      </c>
      <c r="F478" s="1142"/>
    </row>
    <row r="479" spans="1:6" x14ac:dyDescent="0.3">
      <c r="A479" s="323"/>
      <c r="C479" s="333"/>
      <c r="D479" s="334" t="str">
        <f ca="1">' '!$A$449</f>
        <v>Source</v>
      </c>
      <c r="E479" s="333" t="str">
        <f ca="1">' '!$A$450</f>
        <v>Moment de l'enquête &amp; Comparaison avec la branche</v>
      </c>
      <c r="F479" s="333"/>
    </row>
    <row r="480" spans="1:6" x14ac:dyDescent="0.3">
      <c r="A480" s="323"/>
      <c r="C480" s="1143"/>
      <c r="D480" s="1144"/>
      <c r="E480" s="1143"/>
      <c r="F480" s="1144"/>
    </row>
    <row r="481" spans="1:6" x14ac:dyDescent="0.3">
      <c r="A481" s="323"/>
      <c r="C481" s="1143"/>
      <c r="D481" s="1144"/>
      <c r="E481" s="1143"/>
      <c r="F481" s="1144"/>
    </row>
    <row r="482" spans="1:6" x14ac:dyDescent="0.3">
      <c r="A482" s="323"/>
      <c r="C482" s="1143"/>
      <c r="D482" s="1144"/>
      <c r="E482" s="1143"/>
      <c r="F482" s="1144"/>
    </row>
    <row r="483" spans="1:6" x14ac:dyDescent="0.3">
      <c r="A483" s="323"/>
      <c r="C483" s="333"/>
      <c r="D483" s="333"/>
      <c r="E483" s="333"/>
      <c r="F483" s="333"/>
    </row>
    <row r="484" spans="1:6" x14ac:dyDescent="0.3">
      <c r="C484" s="335" t="s">
        <v>1776</v>
      </c>
      <c r="D484"/>
    </row>
  </sheetData>
  <sheetProtection sheet="1" objects="1" scenarios="1" formatCells="0" formatColumns="0" formatRows="0" insertHyperlinks="0" selectLockedCells="1" sort="0" autoFilter="0"/>
  <mergeCells count="160">
    <mergeCell ref="C476:F476"/>
    <mergeCell ref="C478:F478"/>
    <mergeCell ref="C480:D482"/>
    <mergeCell ref="E480:F482"/>
    <mergeCell ref="C456:D458"/>
    <mergeCell ref="E456:F458"/>
    <mergeCell ref="C464:F464"/>
    <mergeCell ref="C466:F466"/>
    <mergeCell ref="C468:D470"/>
    <mergeCell ref="E468:F470"/>
    <mergeCell ref="C440:F440"/>
    <mergeCell ref="C442:F442"/>
    <mergeCell ref="C444:D446"/>
    <mergeCell ref="E444:F446"/>
    <mergeCell ref="C452:F452"/>
    <mergeCell ref="C454:F454"/>
    <mergeCell ref="C420:D422"/>
    <mergeCell ref="E420:F422"/>
    <mergeCell ref="C428:F428"/>
    <mergeCell ref="C430:F430"/>
    <mergeCell ref="C432:D434"/>
    <mergeCell ref="E432:F434"/>
    <mergeCell ref="C404:F404"/>
    <mergeCell ref="C406:F406"/>
    <mergeCell ref="C408:D410"/>
    <mergeCell ref="E408:F410"/>
    <mergeCell ref="C416:F416"/>
    <mergeCell ref="C418:F418"/>
    <mergeCell ref="C384:D386"/>
    <mergeCell ref="E384:F386"/>
    <mergeCell ref="C392:F392"/>
    <mergeCell ref="C394:F394"/>
    <mergeCell ref="C396:D398"/>
    <mergeCell ref="E396:F398"/>
    <mergeCell ref="C368:F368"/>
    <mergeCell ref="C370:F370"/>
    <mergeCell ref="C372:D374"/>
    <mergeCell ref="E372:F374"/>
    <mergeCell ref="C380:F380"/>
    <mergeCell ref="C382:F382"/>
    <mergeCell ref="C348:D350"/>
    <mergeCell ref="E348:F350"/>
    <mergeCell ref="C356:F356"/>
    <mergeCell ref="C358:F358"/>
    <mergeCell ref="C360:D362"/>
    <mergeCell ref="E360:F362"/>
    <mergeCell ref="C332:F332"/>
    <mergeCell ref="C334:F334"/>
    <mergeCell ref="C336:D338"/>
    <mergeCell ref="E336:F338"/>
    <mergeCell ref="C344:F344"/>
    <mergeCell ref="C346:F346"/>
    <mergeCell ref="C312:D314"/>
    <mergeCell ref="E312:F314"/>
    <mergeCell ref="C320:F320"/>
    <mergeCell ref="C322:F322"/>
    <mergeCell ref="C324:D326"/>
    <mergeCell ref="E324:F326"/>
    <mergeCell ref="C296:F296"/>
    <mergeCell ref="C298:F298"/>
    <mergeCell ref="C300:D302"/>
    <mergeCell ref="E300:F302"/>
    <mergeCell ref="C308:F308"/>
    <mergeCell ref="C310:F310"/>
    <mergeCell ref="C276:D278"/>
    <mergeCell ref="E276:F278"/>
    <mergeCell ref="C284:F284"/>
    <mergeCell ref="C286:F286"/>
    <mergeCell ref="C288:D290"/>
    <mergeCell ref="E288:F290"/>
    <mergeCell ref="C260:F260"/>
    <mergeCell ref="C262:F262"/>
    <mergeCell ref="C264:D266"/>
    <mergeCell ref="E264:F266"/>
    <mergeCell ref="C272:F272"/>
    <mergeCell ref="C274:F274"/>
    <mergeCell ref="C240:D242"/>
    <mergeCell ref="E240:F242"/>
    <mergeCell ref="C248:F248"/>
    <mergeCell ref="C250:F250"/>
    <mergeCell ref="C252:D254"/>
    <mergeCell ref="E252:F254"/>
    <mergeCell ref="C224:F224"/>
    <mergeCell ref="C226:F226"/>
    <mergeCell ref="C228:D230"/>
    <mergeCell ref="E228:F230"/>
    <mergeCell ref="C236:F236"/>
    <mergeCell ref="C238:F238"/>
    <mergeCell ref="C204:D206"/>
    <mergeCell ref="E204:F206"/>
    <mergeCell ref="C212:F212"/>
    <mergeCell ref="C214:F214"/>
    <mergeCell ref="C216:D218"/>
    <mergeCell ref="E216:F218"/>
    <mergeCell ref="C188:F188"/>
    <mergeCell ref="C190:F190"/>
    <mergeCell ref="C192:D194"/>
    <mergeCell ref="E192:F194"/>
    <mergeCell ref="C200:F200"/>
    <mergeCell ref="C202:F202"/>
    <mergeCell ref="C168:D170"/>
    <mergeCell ref="E168:F170"/>
    <mergeCell ref="C176:F176"/>
    <mergeCell ref="C178:F178"/>
    <mergeCell ref="C180:D182"/>
    <mergeCell ref="E180:F182"/>
    <mergeCell ref="C152:F152"/>
    <mergeCell ref="C154:F154"/>
    <mergeCell ref="C156:D158"/>
    <mergeCell ref="E156:F158"/>
    <mergeCell ref="C164:F164"/>
    <mergeCell ref="C166:F166"/>
    <mergeCell ref="C132:D134"/>
    <mergeCell ref="E132:F134"/>
    <mergeCell ref="C140:F140"/>
    <mergeCell ref="C142:F142"/>
    <mergeCell ref="C144:D146"/>
    <mergeCell ref="E144:F146"/>
    <mergeCell ref="C116:F116"/>
    <mergeCell ref="C118:F118"/>
    <mergeCell ref="C120:D122"/>
    <mergeCell ref="E120:F122"/>
    <mergeCell ref="C128:F128"/>
    <mergeCell ref="C130:F130"/>
    <mergeCell ref="C96:D98"/>
    <mergeCell ref="E96:F98"/>
    <mergeCell ref="C104:F104"/>
    <mergeCell ref="C106:F106"/>
    <mergeCell ref="C108:D110"/>
    <mergeCell ref="E108:F110"/>
    <mergeCell ref="C82:F82"/>
    <mergeCell ref="C84:D86"/>
    <mergeCell ref="E84:F86"/>
    <mergeCell ref="C92:F92"/>
    <mergeCell ref="C94:F94"/>
    <mergeCell ref="C60:D62"/>
    <mergeCell ref="E60:F62"/>
    <mergeCell ref="C68:F68"/>
    <mergeCell ref="C70:F70"/>
    <mergeCell ref="C72:D74"/>
    <mergeCell ref="E72:F74"/>
    <mergeCell ref="C56:F56"/>
    <mergeCell ref="C58:F58"/>
    <mergeCell ref="C24:D26"/>
    <mergeCell ref="E24:F26"/>
    <mergeCell ref="C32:F32"/>
    <mergeCell ref="C34:F34"/>
    <mergeCell ref="C36:D38"/>
    <mergeCell ref="E36:F38"/>
    <mergeCell ref="C80:F80"/>
    <mergeCell ref="C8:F8"/>
    <mergeCell ref="C10:F10"/>
    <mergeCell ref="C12:D14"/>
    <mergeCell ref="E12:F14"/>
    <mergeCell ref="C20:F20"/>
    <mergeCell ref="C22:F22"/>
    <mergeCell ref="C44:F44"/>
    <mergeCell ref="C46:F46"/>
    <mergeCell ref="C48:D50"/>
    <mergeCell ref="E48:F50"/>
  </mergeCells>
  <pageMargins left="0.7" right="0.7" top="0.78740157499999996" bottom="0.78740157499999996" header="0.3" footer="0.3"/>
  <pageSetup paperSize="9" orientation="portrait" horizontalDpi="300" verticalDpi="300" r:id="rId1"/>
  <drawing r:id="rId2"/>
  <legacyDrawing r:id="rId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Tabelle7"/>
  <dimension ref="B4:F9"/>
  <sheetViews>
    <sheetView showGridLines="0" zoomScaleNormal="100" workbookViewId="0">
      <selection activeCell="A2" sqref="A2"/>
    </sheetView>
  </sheetViews>
  <sheetFormatPr baseColWidth="10" defaultColWidth="11.5546875" defaultRowHeight="14.4" x14ac:dyDescent="0.3"/>
  <cols>
    <col min="1" max="2" width="11.5546875" style="972"/>
    <col min="3" max="3" width="0.5546875" style="972" customWidth="1"/>
    <col min="4" max="4" width="32.44140625" style="972" customWidth="1"/>
    <col min="5" max="5" width="0.44140625" style="972" customWidth="1"/>
    <col min="6" max="16384" width="11.5546875" style="972"/>
  </cols>
  <sheetData>
    <row r="4" spans="2:6" ht="20.25" customHeight="1" x14ac:dyDescent="0.3">
      <c r="B4" s="973"/>
      <c r="C4" s="973"/>
      <c r="D4" s="974" t="str">
        <f ca="1">' '!A50</f>
        <v>Votre logo:</v>
      </c>
      <c r="E4" s="973"/>
      <c r="F4" s="973"/>
    </row>
    <row r="5" spans="2:6" ht="3.75" customHeight="1" x14ac:dyDescent="0.3">
      <c r="B5" s="973"/>
      <c r="F5" s="973"/>
    </row>
    <row r="6" spans="2:6" ht="41.25" customHeight="1" x14ac:dyDescent="0.3">
      <c r="B6" s="973"/>
      <c r="D6" s="975"/>
      <c r="F6" s="973"/>
    </row>
    <row r="7" spans="2:6" ht="3" customHeight="1" x14ac:dyDescent="0.3">
      <c r="B7" s="973"/>
      <c r="F7" s="973"/>
    </row>
    <row r="8" spans="2:6" x14ac:dyDescent="0.3">
      <c r="B8" s="973"/>
      <c r="C8" s="973"/>
      <c r="D8" s="973"/>
      <c r="E8" s="973"/>
      <c r="F8" s="973"/>
    </row>
    <row r="9" spans="2:6" ht="9" customHeight="1" x14ac:dyDescent="0.3">
      <c r="B9" s="973"/>
      <c r="C9" s="973"/>
      <c r="D9" s="973"/>
      <c r="E9" s="973"/>
      <c r="F9" s="973"/>
    </row>
  </sheetData>
  <sheetProtection sheet="1" scenarios="1" formatCells="0" formatColumns="0" formatRows="0" insertHyperlinks="0" sort="0" autoFilter="0"/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37</vt:i4>
      </vt:variant>
      <vt:variant>
        <vt:lpstr>Benannte Bereiche</vt:lpstr>
      </vt:variant>
      <vt:variant>
        <vt:i4>373</vt:i4>
      </vt:variant>
    </vt:vector>
  </HeadingPairs>
  <TitlesOfParts>
    <vt:vector size="410" baseType="lpstr">
      <vt:lpstr>Menu Innovation</vt:lpstr>
      <vt:lpstr>Analyse</vt:lpstr>
      <vt:lpstr>IdeenMgmt</vt:lpstr>
      <vt:lpstr>Umsetzung</vt:lpstr>
      <vt:lpstr>Produkte</vt:lpstr>
      <vt:lpstr>Prozesse</vt:lpstr>
      <vt:lpstr>Fehler</vt:lpstr>
      <vt:lpstr>Fishbone</vt:lpstr>
      <vt:lpstr>Stakeholder</vt:lpstr>
      <vt:lpstr>Reklamationen</vt:lpstr>
      <vt:lpstr>Benchmark</vt:lpstr>
      <vt:lpstr>Trends</vt:lpstr>
      <vt:lpstr>Consumer_Trend</vt:lpstr>
      <vt:lpstr>Potenzial</vt:lpstr>
      <vt:lpstr>Swot-Analyse</vt:lpstr>
      <vt:lpstr>Canvas</vt:lpstr>
      <vt:lpstr>Forces</vt:lpstr>
      <vt:lpstr>Chances</vt:lpstr>
      <vt:lpstr>Massnahmen</vt:lpstr>
      <vt:lpstr>KostenNutzen</vt:lpstr>
      <vt:lpstr>MatrixIdee</vt:lpstr>
      <vt:lpstr>KPI</vt:lpstr>
      <vt:lpstr>Nutzen</vt:lpstr>
      <vt:lpstr>Kosten</vt:lpstr>
      <vt:lpstr>Cockpit</vt:lpstr>
      <vt:lpstr>Portfolio</vt:lpstr>
      <vt:lpstr>Risikomgmt</vt:lpstr>
      <vt:lpstr>Pareto</vt:lpstr>
      <vt:lpstr>Kommunikation</vt:lpstr>
      <vt:lpstr>2Cockpit</vt:lpstr>
      <vt:lpstr>2Strategie</vt:lpstr>
      <vt:lpstr>2BP</vt:lpstr>
      <vt:lpstr>2BSC</vt:lpstr>
      <vt:lpstr>2Projektmgmt</vt:lpstr>
      <vt:lpstr>oIndikatoren</vt:lpstr>
      <vt:lpstr>sIndikatoren</vt:lpstr>
      <vt:lpstr>Logo</vt:lpstr>
      <vt:lpstr>__10</vt:lpstr>
      <vt:lpstr>__11</vt:lpstr>
      <vt:lpstr>__12</vt:lpstr>
      <vt:lpstr>__13</vt:lpstr>
      <vt:lpstr>__14</vt:lpstr>
      <vt:lpstr>__15</vt:lpstr>
      <vt:lpstr>__16</vt:lpstr>
      <vt:lpstr>__17</vt:lpstr>
      <vt:lpstr>__18</vt:lpstr>
      <vt:lpstr>__19</vt:lpstr>
      <vt:lpstr>__20</vt:lpstr>
      <vt:lpstr>__21</vt:lpstr>
      <vt:lpstr>__22</vt:lpstr>
      <vt:lpstr>__23</vt:lpstr>
      <vt:lpstr>__24</vt:lpstr>
      <vt:lpstr>__25</vt:lpstr>
      <vt:lpstr>__26</vt:lpstr>
      <vt:lpstr>__27</vt:lpstr>
      <vt:lpstr>__28</vt:lpstr>
      <vt:lpstr>__29</vt:lpstr>
      <vt:lpstr>__30</vt:lpstr>
      <vt:lpstr>__31</vt:lpstr>
      <vt:lpstr>__32</vt:lpstr>
      <vt:lpstr>__33</vt:lpstr>
      <vt:lpstr>__34</vt:lpstr>
      <vt:lpstr>__35</vt:lpstr>
      <vt:lpstr>__36</vt:lpstr>
      <vt:lpstr>__37</vt:lpstr>
      <vt:lpstr>__38</vt:lpstr>
      <vt:lpstr>__39</vt:lpstr>
      <vt:lpstr>__40</vt:lpstr>
      <vt:lpstr>__41</vt:lpstr>
      <vt:lpstr>__42</vt:lpstr>
      <vt:lpstr>__43</vt:lpstr>
      <vt:lpstr>__44</vt:lpstr>
      <vt:lpstr>__45</vt:lpstr>
      <vt:lpstr>__46</vt:lpstr>
      <vt:lpstr>__47</vt:lpstr>
      <vt:lpstr>__48</vt:lpstr>
      <vt:lpstr>__49</vt:lpstr>
      <vt:lpstr>__50</vt:lpstr>
      <vt:lpstr>__51</vt:lpstr>
      <vt:lpstr>__52</vt:lpstr>
      <vt:lpstr>__53</vt:lpstr>
      <vt:lpstr>__54</vt:lpstr>
      <vt:lpstr>__55</vt:lpstr>
      <vt:lpstr>__56</vt:lpstr>
      <vt:lpstr>__57</vt:lpstr>
      <vt:lpstr>__58</vt:lpstr>
      <vt:lpstr>__59</vt:lpstr>
      <vt:lpstr>__60</vt:lpstr>
      <vt:lpstr>__61</vt:lpstr>
      <vt:lpstr>__62</vt:lpstr>
      <vt:lpstr>__63</vt:lpstr>
      <vt:lpstr>__64</vt:lpstr>
      <vt:lpstr>__65</vt:lpstr>
      <vt:lpstr>__66</vt:lpstr>
      <vt:lpstr>__67</vt:lpstr>
      <vt:lpstr>__68</vt:lpstr>
      <vt:lpstr>__69</vt:lpstr>
      <vt:lpstr>__70</vt:lpstr>
      <vt:lpstr>__71</vt:lpstr>
      <vt:lpstr>__72</vt:lpstr>
      <vt:lpstr>__73</vt:lpstr>
      <vt:lpstr>__74</vt:lpstr>
      <vt:lpstr>__75</vt:lpstr>
      <vt:lpstr>__76</vt:lpstr>
      <vt:lpstr>__77</vt:lpstr>
      <vt:lpstr>__78</vt:lpstr>
      <vt:lpstr>__79</vt:lpstr>
      <vt:lpstr>__80</vt:lpstr>
      <vt:lpstr>__o1</vt:lpstr>
      <vt:lpstr>__o2</vt:lpstr>
      <vt:lpstr>__o3</vt:lpstr>
      <vt:lpstr>__o4</vt:lpstr>
      <vt:lpstr>__o5</vt:lpstr>
      <vt:lpstr>__o6</vt:lpstr>
      <vt:lpstr>__o7</vt:lpstr>
      <vt:lpstr>__o8</vt:lpstr>
      <vt:lpstr>__o9</vt:lpstr>
      <vt:lpstr>Cockpit!__s1</vt:lpstr>
      <vt:lpstr>__s1</vt:lpstr>
      <vt:lpstr>Cockpit!__s10</vt:lpstr>
      <vt:lpstr>__s10</vt:lpstr>
      <vt:lpstr>Cockpit!__s11</vt:lpstr>
      <vt:lpstr>__s11</vt:lpstr>
      <vt:lpstr>Cockpit!__s12</vt:lpstr>
      <vt:lpstr>__s12</vt:lpstr>
      <vt:lpstr>Cockpit!__s13</vt:lpstr>
      <vt:lpstr>__s13</vt:lpstr>
      <vt:lpstr>Cockpit!__s14</vt:lpstr>
      <vt:lpstr>__s14</vt:lpstr>
      <vt:lpstr>Cockpit!__s15</vt:lpstr>
      <vt:lpstr>__s15</vt:lpstr>
      <vt:lpstr>Cockpit!__s16</vt:lpstr>
      <vt:lpstr>__s16</vt:lpstr>
      <vt:lpstr>Cockpit!__s17</vt:lpstr>
      <vt:lpstr>__s17</vt:lpstr>
      <vt:lpstr>Cockpit!__s18</vt:lpstr>
      <vt:lpstr>__s18</vt:lpstr>
      <vt:lpstr>Cockpit!__s19</vt:lpstr>
      <vt:lpstr>__s19</vt:lpstr>
      <vt:lpstr>Cockpit!__s2</vt:lpstr>
      <vt:lpstr>__s2</vt:lpstr>
      <vt:lpstr>Cockpit!__s20</vt:lpstr>
      <vt:lpstr>__s20</vt:lpstr>
      <vt:lpstr>Cockpit!__s21</vt:lpstr>
      <vt:lpstr>__s21</vt:lpstr>
      <vt:lpstr>Cockpit!__s22</vt:lpstr>
      <vt:lpstr>__s22</vt:lpstr>
      <vt:lpstr>Cockpit!__s23</vt:lpstr>
      <vt:lpstr>__s23</vt:lpstr>
      <vt:lpstr>Cockpit!__s24</vt:lpstr>
      <vt:lpstr>__s24</vt:lpstr>
      <vt:lpstr>Cockpit!__s25</vt:lpstr>
      <vt:lpstr>__s25</vt:lpstr>
      <vt:lpstr>Cockpit!__s26</vt:lpstr>
      <vt:lpstr>__s26</vt:lpstr>
      <vt:lpstr>Cockpit!__s27</vt:lpstr>
      <vt:lpstr>__s27</vt:lpstr>
      <vt:lpstr>Cockpit!__s28</vt:lpstr>
      <vt:lpstr>__s28</vt:lpstr>
      <vt:lpstr>Cockpit!__s29</vt:lpstr>
      <vt:lpstr>__s29</vt:lpstr>
      <vt:lpstr>Cockpit!__s3</vt:lpstr>
      <vt:lpstr>__s3</vt:lpstr>
      <vt:lpstr>Cockpit!__s30</vt:lpstr>
      <vt:lpstr>__s30</vt:lpstr>
      <vt:lpstr>Cockpit!__s31</vt:lpstr>
      <vt:lpstr>__s31</vt:lpstr>
      <vt:lpstr>Cockpit!__s32</vt:lpstr>
      <vt:lpstr>__s32</vt:lpstr>
      <vt:lpstr>Cockpit!__s33</vt:lpstr>
      <vt:lpstr>__s33</vt:lpstr>
      <vt:lpstr>Cockpit!__s34</vt:lpstr>
      <vt:lpstr>__s34</vt:lpstr>
      <vt:lpstr>Cockpit!__s35</vt:lpstr>
      <vt:lpstr>__s35</vt:lpstr>
      <vt:lpstr>Cockpit!__s36</vt:lpstr>
      <vt:lpstr>__s36</vt:lpstr>
      <vt:lpstr>Cockpit!__s37</vt:lpstr>
      <vt:lpstr>__s37</vt:lpstr>
      <vt:lpstr>Cockpit!__s38</vt:lpstr>
      <vt:lpstr>__s38</vt:lpstr>
      <vt:lpstr>Cockpit!__s39</vt:lpstr>
      <vt:lpstr>__s39</vt:lpstr>
      <vt:lpstr>Cockpit!__s4</vt:lpstr>
      <vt:lpstr>__s4</vt:lpstr>
      <vt:lpstr>Cockpit!__s40</vt:lpstr>
      <vt:lpstr>__s40</vt:lpstr>
      <vt:lpstr>Cockpit!__s5</vt:lpstr>
      <vt:lpstr>__s5</vt:lpstr>
      <vt:lpstr>Cockpit!__s6</vt:lpstr>
      <vt:lpstr>__s6</vt:lpstr>
      <vt:lpstr>Cockpit!__s7</vt:lpstr>
      <vt:lpstr>__s7</vt:lpstr>
      <vt:lpstr>Cockpit!__s8</vt:lpstr>
      <vt:lpstr>__s8</vt:lpstr>
      <vt:lpstr>Cockpit!__s9</vt:lpstr>
      <vt:lpstr>__s9</vt:lpstr>
      <vt:lpstr>_o1</vt:lpstr>
      <vt:lpstr>_o10</vt:lpstr>
      <vt:lpstr>_o11</vt:lpstr>
      <vt:lpstr>_o12</vt:lpstr>
      <vt:lpstr>_o13</vt:lpstr>
      <vt:lpstr>_o14</vt:lpstr>
      <vt:lpstr>_o15</vt:lpstr>
      <vt:lpstr>_o16</vt:lpstr>
      <vt:lpstr>_o17</vt:lpstr>
      <vt:lpstr>_o18</vt:lpstr>
      <vt:lpstr>_o19</vt:lpstr>
      <vt:lpstr>_o2</vt:lpstr>
      <vt:lpstr>_o20</vt:lpstr>
      <vt:lpstr>_o21</vt:lpstr>
      <vt:lpstr>_o22</vt:lpstr>
      <vt:lpstr>_o23</vt:lpstr>
      <vt:lpstr>_o24</vt:lpstr>
      <vt:lpstr>_o25</vt:lpstr>
      <vt:lpstr>_o26</vt:lpstr>
      <vt:lpstr>_o27</vt:lpstr>
      <vt:lpstr>_o28</vt:lpstr>
      <vt:lpstr>_o29</vt:lpstr>
      <vt:lpstr>_o3</vt:lpstr>
      <vt:lpstr>_o30</vt:lpstr>
      <vt:lpstr>_o31</vt:lpstr>
      <vt:lpstr>_o32</vt:lpstr>
      <vt:lpstr>_o33</vt:lpstr>
      <vt:lpstr>_o34</vt:lpstr>
      <vt:lpstr>_o35</vt:lpstr>
      <vt:lpstr>_o36</vt:lpstr>
      <vt:lpstr>_o37</vt:lpstr>
      <vt:lpstr>_o38</vt:lpstr>
      <vt:lpstr>_o39</vt:lpstr>
      <vt:lpstr>_o4</vt:lpstr>
      <vt:lpstr>_o40</vt:lpstr>
      <vt:lpstr>_o41</vt:lpstr>
      <vt:lpstr>_o42</vt:lpstr>
      <vt:lpstr>_o43</vt:lpstr>
      <vt:lpstr>_o44</vt:lpstr>
      <vt:lpstr>_o45</vt:lpstr>
      <vt:lpstr>_o46</vt:lpstr>
      <vt:lpstr>_o47</vt:lpstr>
      <vt:lpstr>_o48</vt:lpstr>
      <vt:lpstr>_o49</vt:lpstr>
      <vt:lpstr>_o5</vt:lpstr>
      <vt:lpstr>_o50</vt:lpstr>
      <vt:lpstr>_o51</vt:lpstr>
      <vt:lpstr>_o52</vt:lpstr>
      <vt:lpstr>_o53</vt:lpstr>
      <vt:lpstr>_o54</vt:lpstr>
      <vt:lpstr>_o55</vt:lpstr>
      <vt:lpstr>_o56</vt:lpstr>
      <vt:lpstr>_o57</vt:lpstr>
      <vt:lpstr>_o58</vt:lpstr>
      <vt:lpstr>_o59</vt:lpstr>
      <vt:lpstr>_o6</vt:lpstr>
      <vt:lpstr>_o60</vt:lpstr>
      <vt:lpstr>_o61</vt:lpstr>
      <vt:lpstr>_o62</vt:lpstr>
      <vt:lpstr>_o63</vt:lpstr>
      <vt:lpstr>_o64</vt:lpstr>
      <vt:lpstr>_o65</vt:lpstr>
      <vt:lpstr>_o66</vt:lpstr>
      <vt:lpstr>_o67</vt:lpstr>
      <vt:lpstr>_o68</vt:lpstr>
      <vt:lpstr>_o69</vt:lpstr>
      <vt:lpstr>_o7</vt:lpstr>
      <vt:lpstr>_o70</vt:lpstr>
      <vt:lpstr>_o71</vt:lpstr>
      <vt:lpstr>_o72</vt:lpstr>
      <vt:lpstr>_o73</vt:lpstr>
      <vt:lpstr>_o74</vt:lpstr>
      <vt:lpstr>_o75</vt:lpstr>
      <vt:lpstr>_o76</vt:lpstr>
      <vt:lpstr>_o77</vt:lpstr>
      <vt:lpstr>_o78</vt:lpstr>
      <vt:lpstr>_o79</vt:lpstr>
      <vt:lpstr>_o8</vt:lpstr>
      <vt:lpstr>_o9</vt:lpstr>
      <vt:lpstr>_s1</vt:lpstr>
      <vt:lpstr>_s10</vt:lpstr>
      <vt:lpstr>_s11</vt:lpstr>
      <vt:lpstr>_s12</vt:lpstr>
      <vt:lpstr>_s13</vt:lpstr>
      <vt:lpstr>_s14</vt:lpstr>
      <vt:lpstr>_s15</vt:lpstr>
      <vt:lpstr>_s16</vt:lpstr>
      <vt:lpstr>_s17</vt:lpstr>
      <vt:lpstr>_s18</vt:lpstr>
      <vt:lpstr>_s19</vt:lpstr>
      <vt:lpstr>_s2</vt:lpstr>
      <vt:lpstr>_s20</vt:lpstr>
      <vt:lpstr>_s21</vt:lpstr>
      <vt:lpstr>_s22</vt:lpstr>
      <vt:lpstr>_s23</vt:lpstr>
      <vt:lpstr>_s24</vt:lpstr>
      <vt:lpstr>_s25</vt:lpstr>
      <vt:lpstr>_s26</vt:lpstr>
      <vt:lpstr>_s27</vt:lpstr>
      <vt:lpstr>_s28</vt:lpstr>
      <vt:lpstr>_s29</vt:lpstr>
      <vt:lpstr>_s3</vt:lpstr>
      <vt:lpstr>_s30</vt:lpstr>
      <vt:lpstr>_s31</vt:lpstr>
      <vt:lpstr>_s32</vt:lpstr>
      <vt:lpstr>_s33</vt:lpstr>
      <vt:lpstr>_s34</vt:lpstr>
      <vt:lpstr>_s35</vt:lpstr>
      <vt:lpstr>_s36</vt:lpstr>
      <vt:lpstr>_s37</vt:lpstr>
      <vt:lpstr>_s38</vt:lpstr>
      <vt:lpstr>_s39</vt:lpstr>
      <vt:lpstr>_s4</vt:lpstr>
      <vt:lpstr>_s40</vt:lpstr>
      <vt:lpstr>_s5</vt:lpstr>
      <vt:lpstr>_s6</vt:lpstr>
      <vt:lpstr>_s7</vt:lpstr>
      <vt:lpstr>_s8</vt:lpstr>
      <vt:lpstr>_s9</vt:lpstr>
      <vt:lpstr>Datum</vt:lpstr>
      <vt:lpstr>'2BP'!Druckbereich</vt:lpstr>
      <vt:lpstr>'2BSC'!Druckbereich</vt:lpstr>
      <vt:lpstr>'2Cockpit'!Druckbereich</vt:lpstr>
      <vt:lpstr>'2Projektmgmt'!Druckbereich</vt:lpstr>
      <vt:lpstr>'2Strategie'!Druckbereich</vt:lpstr>
      <vt:lpstr>Analyse!Druckbereich</vt:lpstr>
      <vt:lpstr>Benchmark!Druckbereich</vt:lpstr>
      <vt:lpstr>Canvas!Druckbereich</vt:lpstr>
      <vt:lpstr>Chances!Druckbereich</vt:lpstr>
      <vt:lpstr>Cockpit!Druckbereich</vt:lpstr>
      <vt:lpstr>Consumer_Trend!Druckbereich</vt:lpstr>
      <vt:lpstr>Fehler!Druckbereich</vt:lpstr>
      <vt:lpstr>Fishbone!Druckbereich</vt:lpstr>
      <vt:lpstr>Forces!Druckbereich</vt:lpstr>
      <vt:lpstr>IdeenMgmt!Druckbereich</vt:lpstr>
      <vt:lpstr>Kommunikation!Druckbereich</vt:lpstr>
      <vt:lpstr>Kosten!Druckbereich</vt:lpstr>
      <vt:lpstr>KostenNutzen!Druckbereich</vt:lpstr>
      <vt:lpstr>KPI!Druckbereich</vt:lpstr>
      <vt:lpstr>Massnahmen!Druckbereich</vt:lpstr>
      <vt:lpstr>'Menu Innovation'!Druckbereich</vt:lpstr>
      <vt:lpstr>Nutzen!Druckbereich</vt:lpstr>
      <vt:lpstr>oIndikatoren!Druckbereich</vt:lpstr>
      <vt:lpstr>Pareto!Druckbereich</vt:lpstr>
      <vt:lpstr>Portfolio!Druckbereich</vt:lpstr>
      <vt:lpstr>Potenzial!Druckbereich</vt:lpstr>
      <vt:lpstr>Produkte!Druckbereich</vt:lpstr>
      <vt:lpstr>Prozesse!Druckbereich</vt:lpstr>
      <vt:lpstr>Reklamationen!Druckbereich</vt:lpstr>
      <vt:lpstr>Risikomgmt!Druckbereich</vt:lpstr>
      <vt:lpstr>sIndikatoren!Druckbereich</vt:lpstr>
      <vt:lpstr>Stakeholder!Druckbereich</vt:lpstr>
      <vt:lpstr>'Swot-Analyse'!Druckbereich</vt:lpstr>
      <vt:lpstr>Trends!Druckbereich</vt:lpstr>
      <vt:lpstr>Umsetzung!Druckbereich</vt:lpstr>
      <vt:lpstr>'2BP'!Drucktitel</vt:lpstr>
      <vt:lpstr>'2BSC'!Drucktitel</vt:lpstr>
      <vt:lpstr>'2Cockpit'!Drucktitel</vt:lpstr>
      <vt:lpstr>'2Projektmgmt'!Drucktitel</vt:lpstr>
      <vt:lpstr>'2Strategie'!Drucktitel</vt:lpstr>
      <vt:lpstr>Canvas!Drucktitel</vt:lpstr>
      <vt:lpstr>Chances!Drucktitel</vt:lpstr>
      <vt:lpstr>Cockpit!Drucktitel</vt:lpstr>
      <vt:lpstr>Consumer_Trend!Drucktitel</vt:lpstr>
      <vt:lpstr>Forces!Drucktitel</vt:lpstr>
      <vt:lpstr>Kommunikation!Drucktitel</vt:lpstr>
      <vt:lpstr>KPI!Drucktitel</vt:lpstr>
      <vt:lpstr>Massnahmen!Drucktitel</vt:lpstr>
      <vt:lpstr>sIndikatoren!durchAlterDerMA</vt:lpstr>
      <vt:lpstr>graph_2_stakeholder</vt:lpstr>
      <vt:lpstr>Chances!graph_chances</vt:lpstr>
      <vt:lpstr>graph_forces</vt:lpstr>
      <vt:lpstr>Graph_Kunden</vt:lpstr>
      <vt:lpstr>graph_pestel</vt:lpstr>
      <vt:lpstr>Graph_Produkte</vt:lpstr>
      <vt:lpstr>Portfolio!Graph_Risk</vt:lpstr>
      <vt:lpstr>Graph_Risk</vt:lpstr>
      <vt:lpstr>graph_stakeholder</vt:lpstr>
      <vt:lpstr>Cockpit!rechts_massnahmen</vt:lpstr>
      <vt:lpstr>Sprachen</vt:lpstr>
      <vt:lpstr>Cockpit!Strategie_1</vt:lpstr>
      <vt:lpstr>Strategie_1</vt:lpstr>
      <vt:lpstr>Cockpit!Strategie_10</vt:lpstr>
      <vt:lpstr>Strategie_10</vt:lpstr>
      <vt:lpstr>Cockpit!Strategie_2</vt:lpstr>
      <vt:lpstr>Strategie_2</vt:lpstr>
      <vt:lpstr>Cockpit!Strategie_3</vt:lpstr>
      <vt:lpstr>Strategie_3</vt:lpstr>
      <vt:lpstr>Cockpit!Strategie_4</vt:lpstr>
      <vt:lpstr>Strategie_4</vt:lpstr>
      <vt:lpstr>Cockpit!Strategie_5</vt:lpstr>
      <vt:lpstr>Strategie_5</vt:lpstr>
      <vt:lpstr>Cockpit!Strategie_6</vt:lpstr>
      <vt:lpstr>Strategie_6</vt:lpstr>
      <vt:lpstr>Cockpit!Strategie_7</vt:lpstr>
      <vt:lpstr>Strategie_7</vt:lpstr>
      <vt:lpstr>Cockpit!Strategie_8</vt:lpstr>
      <vt:lpstr>Strategie_8</vt:lpstr>
      <vt:lpstr>Cockpit!Strategie_9</vt:lpstr>
      <vt:lpstr>Strategie_9</vt:lpstr>
      <vt:lpstr>top</vt:lpstr>
      <vt:lpstr>Chances!top_chances</vt:lpstr>
      <vt:lpstr>top_forces</vt:lpstr>
      <vt:lpstr>'2BP'!top_kennzahlen</vt:lpstr>
      <vt:lpstr>'2BSC'!top_kennzahlen</vt:lpstr>
      <vt:lpstr>'2Cockpit'!top_kennzahlen</vt:lpstr>
      <vt:lpstr>'2Projektmgmt'!top_kennzahlen</vt:lpstr>
      <vt:lpstr>'2Strategie'!top_kennzahlen</vt:lpstr>
      <vt:lpstr>Stakeholder!top_kunden</vt:lpstr>
      <vt:lpstr>Cockpit!top_massnahmen</vt:lpstr>
      <vt:lpstr>top_massnahmen</vt:lpstr>
      <vt:lpstr>Kommunikation!top_Porter</vt:lpstr>
      <vt:lpstr>top_swot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Quality Management</dc:title>
  <dc:creator>iSerge</dc:creator>
  <cp:lastModifiedBy>Imboden Serge</cp:lastModifiedBy>
  <cp:lastPrinted>2014-11-30T07:43:50Z</cp:lastPrinted>
  <dcterms:created xsi:type="dcterms:W3CDTF">1901-01-01T04:00:00Z</dcterms:created>
  <dcterms:modified xsi:type="dcterms:W3CDTF">2026-01-27T10:28:24Z</dcterms:modified>
</cp:coreProperties>
</file>